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34865043802\OneDrive - UDESC Universidade do Estado de Santa Catarina\UFV\Pos Doc\PosDoc UFV\BR-CORTE\BRCORTE 2023\"/>
    </mc:Choice>
  </mc:AlternateContent>
  <xr:revisionPtr revIDLastSave="56" documentId="8_{CD5DBC61-98A6-42D4-A162-FDC72D149573}" xr6:coauthVersionLast="36" xr6:coauthVersionMax="36" xr10:uidLastSave="{2CE52FE0-C5EF-4311-B9F5-4F16057DDAFC}"/>
  <bookViews>
    <workbookView xWindow="25605" yWindow="465" windowWidth="27315" windowHeight="14535" tabRatio="501" firstSheet="4" activeTab="4" xr2:uid="{00000000-000D-0000-FFFF-FFFF00000000}"/>
  </bookViews>
  <sheets>
    <sheet name="PBmic1" sheetId="9" state="hidden" r:id="rId1"/>
    <sheet name="PBmic Cresc e Term" sheetId="5" state="hidden" r:id="rId2"/>
    <sheet name="PBmic Vacas" sheetId="6" state="hidden" r:id="rId3"/>
    <sheet name="PBmic Bezerros" sheetId="7" state="hidden" r:id="rId4"/>
    <sheet name="Crescimento" sheetId="4" r:id="rId5"/>
    <sheet name="Vacas e Bezerros" sheetId="11" r:id="rId6"/>
    <sheet name="Cálculo de exigências" sheetId="10" state="hidden" r:id="rId7"/>
  </sheets>
  <definedNames>
    <definedName name="_xlnm.Print_Area" localSheetId="6">'Cálculo de exigências'!$E$6:$K$56</definedName>
    <definedName name="Corte" localSheetId="6">'Cálculo de exigências'!$B$73</definedName>
    <definedName name="Corte">#REF!</definedName>
    <definedName name="Leite" localSheetId="6">'Cálculo de exigências'!$C$73</definedName>
    <definedName name="Leite">#REF!</definedName>
    <definedName name="solver_adj" localSheetId="6" hidden="1">'Cálculo de exigências'!$C$28:$C$29</definedName>
    <definedName name="solver_cvg" localSheetId="6" hidden="1">0.0001</definedName>
    <definedName name="solver_drv" localSheetId="6" hidden="1">1</definedName>
    <definedName name="solver_eng" localSheetId="6" hidden="1">1</definedName>
    <definedName name="solver_itr" localSheetId="6" hidden="1">2147483647</definedName>
    <definedName name="solver_lin" localSheetId="6" hidden="1">2</definedName>
    <definedName name="solver_mip" localSheetId="6" hidden="1">2147483647</definedName>
    <definedName name="solver_mni" localSheetId="6" hidden="1">30</definedName>
    <definedName name="solver_mrt" localSheetId="6" hidden="1">0.075</definedName>
    <definedName name="solver_msl" localSheetId="6" hidden="1">2</definedName>
    <definedName name="solver_neg" localSheetId="6" hidden="1">1</definedName>
    <definedName name="solver_nod" localSheetId="6" hidden="1">2147483647</definedName>
    <definedName name="solver_num" localSheetId="6" hidden="1">0</definedName>
    <definedName name="solver_opt" localSheetId="6" hidden="1">'Cálculo de exigências'!$I$14</definedName>
    <definedName name="solver_pre" localSheetId="6" hidden="1">0.000001</definedName>
    <definedName name="solver_rbv" localSheetId="6" hidden="1">1</definedName>
    <definedName name="solver_rlx" localSheetId="6" hidden="1">2</definedName>
    <definedName name="solver_rsd" localSheetId="6" hidden="1">0</definedName>
    <definedName name="solver_scl" localSheetId="6" hidden="1">1</definedName>
    <definedName name="solver_sho" localSheetId="6" hidden="1">2</definedName>
    <definedName name="solver_ssz" localSheetId="6" hidden="1">100</definedName>
    <definedName name="solver_tim" localSheetId="6" hidden="1">2147483647</definedName>
    <definedName name="solver_tol" localSheetId="6" hidden="1">0.01</definedName>
    <definedName name="solver_typ" localSheetId="6" hidden="1">3</definedName>
    <definedName name="solver_val" localSheetId="6" hidden="1">0.8182</definedName>
    <definedName name="solver_ver" localSheetId="6" hidden="1">2</definedName>
    <definedName name="Z_DABD9BA2_D7B8_4948_BBF0_14D327C4BA24_.wvu.PrintArea" localSheetId="6" hidden="1">'Cálculo de exigências'!$E$6:$K$56</definedName>
  </definedNames>
  <calcPr calcId="191029"/>
  <customWorkbookViews>
    <customWorkbookView name="Usuário do Microsoft Office - Modo de exibição pessoal" guid="{DABD9BA2-D7B8-4948-BBF0-14D327C4BA24}" mergeInterval="0" personalView="1" windowWidth="1920" windowHeight="784" tabRatio="50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4" i="11" l="1"/>
  <c r="C148" i="11"/>
  <c r="C310" i="11"/>
  <c r="C304" i="11"/>
  <c r="C298" i="11"/>
  <c r="C292" i="11"/>
  <c r="C286" i="11"/>
  <c r="C280" i="11"/>
  <c r="C274" i="11"/>
  <c r="C268" i="11"/>
  <c r="C262" i="11"/>
  <c r="K16" i="4" l="1"/>
  <c r="Q10" i="4" l="1"/>
  <c r="Q11" i="4" s="1"/>
  <c r="C257" i="11"/>
  <c r="C255" i="11"/>
  <c r="C251" i="11"/>
  <c r="C249" i="11"/>
  <c r="C222" i="11" l="1"/>
  <c r="C177" i="11"/>
  <c r="C175" i="11"/>
  <c r="C178" i="11"/>
  <c r="C171" i="11"/>
  <c r="C170" i="11"/>
  <c r="C164" i="11"/>
  <c r="C163" i="11"/>
  <c r="C22" i="11"/>
  <c r="C242" i="11"/>
  <c r="C236" i="11"/>
  <c r="C230" i="11"/>
  <c r="C216" i="11"/>
  <c r="C180" i="11"/>
  <c r="C139" i="11"/>
  <c r="C132" i="11"/>
  <c r="C125" i="11"/>
  <c r="C118" i="11"/>
  <c r="C111" i="11"/>
  <c r="C104" i="11"/>
  <c r="C97" i="11"/>
  <c r="C90" i="11"/>
  <c r="C83" i="11"/>
  <c r="C76" i="11"/>
  <c r="C67" i="11"/>
  <c r="C61" i="11"/>
  <c r="C29" i="11"/>
  <c r="C27" i="11"/>
  <c r="O26" i="11" s="1"/>
  <c r="C21" i="11"/>
  <c r="O14" i="11" s="1"/>
  <c r="C176" i="11" l="1"/>
  <c r="AA21" i="11"/>
  <c r="C206" i="11"/>
  <c r="AA33" i="11" s="1"/>
  <c r="C207" i="11"/>
  <c r="C256" i="11"/>
  <c r="C250" i="11"/>
  <c r="AA12" i="11"/>
  <c r="C231" i="11"/>
  <c r="C232" i="11" s="1"/>
  <c r="C234" i="11" s="1"/>
  <c r="AG17" i="11" s="1"/>
  <c r="C141" i="11"/>
  <c r="O18" i="11"/>
  <c r="C237" i="11"/>
  <c r="C238" i="11" s="1"/>
  <c r="C240" i="11" s="1"/>
  <c r="AG19" i="11" s="1"/>
  <c r="C165" i="11"/>
  <c r="C172" i="11" s="1"/>
  <c r="C78" i="11"/>
  <c r="O28" i="11"/>
  <c r="C92" i="11"/>
  <c r="C113" i="11"/>
  <c r="C25" i="11"/>
  <c r="C106" i="11"/>
  <c r="C127" i="11"/>
  <c r="C120" i="11"/>
  <c r="C85" i="11"/>
  <c r="C179" i="11"/>
  <c r="C223" i="11" s="1"/>
  <c r="C224" i="11" s="1"/>
  <c r="C226" i="11" s="1"/>
  <c r="C28" i="11"/>
  <c r="C62" i="11"/>
  <c r="C69" i="11"/>
  <c r="C99" i="11"/>
  <c r="C134" i="11"/>
  <c r="AA26" i="11"/>
  <c r="M18" i="10"/>
  <c r="M17" i="10"/>
  <c r="M16" i="10"/>
  <c r="M15" i="10"/>
  <c r="M10" i="10"/>
  <c r="M9" i="10"/>
  <c r="J13" i="10"/>
  <c r="K13" i="10" s="1"/>
  <c r="C133" i="11" l="1"/>
  <c r="C155" i="11"/>
  <c r="C156" i="11" s="1"/>
  <c r="C158" i="11" s="1"/>
  <c r="U40" i="11" s="1"/>
  <c r="C149" i="11"/>
  <c r="C150" i="11" s="1"/>
  <c r="C152" i="11" s="1"/>
  <c r="U38" i="11" s="1"/>
  <c r="AA13" i="11"/>
  <c r="C287" i="11"/>
  <c r="C288" i="11" s="1"/>
  <c r="C290" i="11" s="1"/>
  <c r="AG32" i="11" s="1"/>
  <c r="C275" i="11"/>
  <c r="C276" i="11" s="1"/>
  <c r="C278" i="11" s="1"/>
  <c r="AG28" i="11" s="1"/>
  <c r="C281" i="11"/>
  <c r="C282" i="11" s="1"/>
  <c r="C284" i="11" s="1"/>
  <c r="AG30" i="11" s="1"/>
  <c r="C293" i="11"/>
  <c r="C294" i="11" s="1"/>
  <c r="C296" i="11" s="1"/>
  <c r="AG34" i="11" s="1"/>
  <c r="C299" i="11"/>
  <c r="C300" i="11" s="1"/>
  <c r="C302" i="11" s="1"/>
  <c r="AG36" i="11" s="1"/>
  <c r="C305" i="11"/>
  <c r="C306" i="11" s="1"/>
  <c r="C308" i="11" s="1"/>
  <c r="AG38" i="11" s="1"/>
  <c r="C263" i="11"/>
  <c r="C264" i="11" s="1"/>
  <c r="C266" i="11" s="1"/>
  <c r="AG23" i="11" s="1"/>
  <c r="C311" i="11"/>
  <c r="C312" i="11" s="1"/>
  <c r="C314" i="11" s="1"/>
  <c r="AG40" i="11" s="1"/>
  <c r="C269" i="11"/>
  <c r="C270" i="11" s="1"/>
  <c r="C272" i="11" s="1"/>
  <c r="AG26" i="11" s="1"/>
  <c r="O21" i="11"/>
  <c r="O12" i="11"/>
  <c r="C166" i="11" s="1"/>
  <c r="C217" i="11"/>
  <c r="C218" i="11" s="1"/>
  <c r="C220" i="11" s="1"/>
  <c r="AG12" i="11" s="1"/>
  <c r="C243" i="11"/>
  <c r="C244" i="11" s="1"/>
  <c r="C246" i="11" s="1"/>
  <c r="AG21" i="11" s="1"/>
  <c r="AG14" i="11"/>
  <c r="C105" i="11"/>
  <c r="C107" i="11" s="1"/>
  <c r="C109" i="11" s="1"/>
  <c r="U26" i="11" s="1"/>
  <c r="C60" i="11"/>
  <c r="C63" i="11" s="1"/>
  <c r="C65" i="11" s="1"/>
  <c r="C140" i="11"/>
  <c r="C142" i="11" s="1"/>
  <c r="C144" i="11" s="1"/>
  <c r="U36" i="11" s="1"/>
  <c r="C112" i="11"/>
  <c r="C114" i="11" s="1"/>
  <c r="C116" i="11" s="1"/>
  <c r="U28" i="11" s="1"/>
  <c r="C77" i="11"/>
  <c r="C79" i="11" s="1"/>
  <c r="C81" i="11" s="1"/>
  <c r="U17" i="11" s="1"/>
  <c r="C48" i="11"/>
  <c r="O27" i="11" s="1"/>
  <c r="C126" i="11"/>
  <c r="C128" i="11" s="1"/>
  <c r="C130" i="11" s="1"/>
  <c r="U32" i="11" s="1"/>
  <c r="O19" i="11"/>
  <c r="O16" i="11"/>
  <c r="C68" i="11"/>
  <c r="C70" i="11" s="1"/>
  <c r="C72" i="11" s="1"/>
  <c r="U14" i="11" s="1"/>
  <c r="C91" i="11"/>
  <c r="C93" i="11" s="1"/>
  <c r="C95" i="11" s="1"/>
  <c r="U21" i="11" s="1"/>
  <c r="C119" i="11"/>
  <c r="C121" i="11" s="1"/>
  <c r="C123" i="11" s="1"/>
  <c r="U30" i="11" s="1"/>
  <c r="C98" i="11"/>
  <c r="C100" i="11" s="1"/>
  <c r="C102" i="11" s="1"/>
  <c r="U23" i="11" s="1"/>
  <c r="C84" i="11"/>
  <c r="C86" i="11" s="1"/>
  <c r="C88" i="11" s="1"/>
  <c r="U19" i="11" s="1"/>
  <c r="O17" i="11"/>
  <c r="AA17" i="11"/>
  <c r="AA16" i="11"/>
  <c r="C202" i="11"/>
  <c r="C203" i="11"/>
  <c r="AA18" i="11"/>
  <c r="C135" i="11"/>
  <c r="C137" i="11" s="1"/>
  <c r="U34" i="11" s="1"/>
  <c r="D175" i="4"/>
  <c r="D272" i="4"/>
  <c r="D271" i="4"/>
  <c r="D41" i="4"/>
  <c r="P9" i="10"/>
  <c r="P20" i="10" s="1"/>
  <c r="AC10" i="10"/>
  <c r="AC56" i="10" s="1"/>
  <c r="H53" i="10" s="1"/>
  <c r="I11" i="10"/>
  <c r="H13" i="10"/>
  <c r="I13" i="10"/>
  <c r="P13" i="10"/>
  <c r="C30" i="10"/>
  <c r="D212" i="10" s="1"/>
  <c r="H212" i="10" s="1"/>
  <c r="I38" i="10"/>
  <c r="I41" i="10"/>
  <c r="AC41" i="10"/>
  <c r="H38" i="10" s="1"/>
  <c r="I44" i="10"/>
  <c r="I47" i="10"/>
  <c r="M58" i="10"/>
  <c r="P58" i="10"/>
  <c r="AC60" i="10"/>
  <c r="H9" i="10" s="1"/>
  <c r="AC62" i="10"/>
  <c r="H11" i="10" s="1"/>
  <c r="D76" i="10"/>
  <c r="D79" i="10" s="1"/>
  <c r="E82" i="10"/>
  <c r="C147" i="10"/>
  <c r="D147" i="10"/>
  <c r="F147" i="10"/>
  <c r="C166" i="10"/>
  <c r="D166" i="10"/>
  <c r="C167" i="10"/>
  <c r="D167" i="10"/>
  <c r="F167" i="10"/>
  <c r="C172" i="10"/>
  <c r="C176" i="10"/>
  <c r="C178" i="10"/>
  <c r="D178" i="10"/>
  <c r="F178" i="10"/>
  <c r="D192" i="10"/>
  <c r="D193" i="10" s="1"/>
  <c r="F192" i="10"/>
  <c r="F193" i="10" s="1"/>
  <c r="C195" i="10"/>
  <c r="D195" i="10"/>
  <c r="F195" i="10"/>
  <c r="C197" i="10"/>
  <c r="G197" i="10" s="1"/>
  <c r="D197" i="10"/>
  <c r="F197" i="10"/>
  <c r="C200" i="10"/>
  <c r="D200" i="10"/>
  <c r="F200" i="10"/>
  <c r="G200" i="10"/>
  <c r="C202" i="10"/>
  <c r="F202" i="10"/>
  <c r="C205" i="10"/>
  <c r="F205" i="10"/>
  <c r="G205" i="10"/>
  <c r="F206" i="10"/>
  <c r="C211" i="10"/>
  <c r="D211" i="10"/>
  <c r="H211" i="10" s="1"/>
  <c r="F211" i="10"/>
  <c r="G211" i="10"/>
  <c r="C212" i="10"/>
  <c r="G212" i="10" s="1"/>
  <c r="C213" i="10"/>
  <c r="G213" i="10" s="1"/>
  <c r="D213" i="10"/>
  <c r="H213" i="10" s="1"/>
  <c r="F213" i="10"/>
  <c r="AA14" i="11" l="1"/>
  <c r="C186" i="11" s="1"/>
  <c r="O29" i="11"/>
  <c r="O20" i="11"/>
  <c r="O22" i="11" s="1"/>
  <c r="AA27" i="11"/>
  <c r="C228" i="11"/>
  <c r="AF16" i="11" s="1"/>
  <c r="C74" i="11"/>
  <c r="T16" i="11" s="1"/>
  <c r="U12" i="11"/>
  <c r="D174" i="4"/>
  <c r="D99" i="4"/>
  <c r="D106" i="4"/>
  <c r="D22" i="4"/>
  <c r="AC36" i="10"/>
  <c r="H59" i="10" s="1"/>
  <c r="C192" i="10"/>
  <c r="C193" i="10" s="1"/>
  <c r="C207" i="10" s="1"/>
  <c r="C208" i="10" s="1"/>
  <c r="D82" i="10"/>
  <c r="I15" i="10" s="1"/>
  <c r="F180" i="10"/>
  <c r="C81" i="10"/>
  <c r="AC52" i="10"/>
  <c r="H49" i="10" s="1"/>
  <c r="D210" i="10"/>
  <c r="H210" i="10" s="1"/>
  <c r="H215" i="10" s="1"/>
  <c r="C210" i="10"/>
  <c r="C215" i="10" s="1"/>
  <c r="AC58" i="10"/>
  <c r="H55" i="10" s="1"/>
  <c r="H14" i="10"/>
  <c r="AC59" i="10"/>
  <c r="H56" i="10" s="1"/>
  <c r="AC57" i="10"/>
  <c r="H54" i="10" s="1"/>
  <c r="C203" i="10"/>
  <c r="G203" i="10" s="1"/>
  <c r="C194" i="10"/>
  <c r="C196" i="10" s="1"/>
  <c r="AC38" i="10"/>
  <c r="H35" i="10" s="1"/>
  <c r="H197" i="10"/>
  <c r="F207" i="10"/>
  <c r="F208" i="10" s="1"/>
  <c r="G207" i="10"/>
  <c r="G208" i="10" s="1"/>
  <c r="H207" i="10"/>
  <c r="F194" i="10"/>
  <c r="F209" i="10" s="1"/>
  <c r="F203" i="10"/>
  <c r="F204" i="10" s="1"/>
  <c r="D203" i="10"/>
  <c r="D207" i="10"/>
  <c r="AC50" i="10" s="1"/>
  <c r="H47" i="10" s="1"/>
  <c r="D194" i="10"/>
  <c r="D196" i="10" s="1"/>
  <c r="G202" i="10"/>
  <c r="D91" i="10"/>
  <c r="E91" i="10"/>
  <c r="D202" i="10"/>
  <c r="D78" i="10"/>
  <c r="P31" i="10"/>
  <c r="P35" i="10"/>
  <c r="D77" i="10"/>
  <c r="AC53" i="10"/>
  <c r="H50" i="10" s="1"/>
  <c r="P10" i="10"/>
  <c r="AC12" i="10"/>
  <c r="D205" i="10"/>
  <c r="D180" i="10"/>
  <c r="C180" i="10"/>
  <c r="G180" i="10" s="1"/>
  <c r="F146" i="10"/>
  <c r="G76" i="10"/>
  <c r="G77" i="10" s="1"/>
  <c r="AC55" i="10"/>
  <c r="I35" i="10"/>
  <c r="P12" i="10"/>
  <c r="P57" i="10" s="1"/>
  <c r="P21" i="10" s="1"/>
  <c r="P11" i="10" s="1"/>
  <c r="P33" i="10" s="1"/>
  <c r="H15" i="10"/>
  <c r="D146" i="10"/>
  <c r="F210" i="10"/>
  <c r="H200" i="10"/>
  <c r="F166" i="10"/>
  <c r="F168" i="10" s="1"/>
  <c r="C146" i="10"/>
  <c r="C76" i="10"/>
  <c r="AC14" i="10"/>
  <c r="P14" i="10"/>
  <c r="P38" i="10"/>
  <c r="AC11" i="10"/>
  <c r="D206" i="10"/>
  <c r="H206" i="10" s="1"/>
  <c r="AC54" i="10"/>
  <c r="H51" i="10" s="1"/>
  <c r="F212" i="10"/>
  <c r="C206" i="10"/>
  <c r="G206" i="10" s="1"/>
  <c r="AC13" i="10"/>
  <c r="I9" i="10"/>
  <c r="C185" i="11" l="1"/>
  <c r="C191" i="11" s="1"/>
  <c r="AA19" i="11" s="1"/>
  <c r="AA20" i="11" s="1"/>
  <c r="C194" i="11" s="1"/>
  <c r="AA23" i="11" s="1"/>
  <c r="AA28" i="11"/>
  <c r="C42" i="11"/>
  <c r="O23" i="11" s="1"/>
  <c r="O24" i="11" s="1"/>
  <c r="C204" i="10"/>
  <c r="G204" i="10"/>
  <c r="G210" i="10"/>
  <c r="G215" i="10" s="1"/>
  <c r="D215" i="10"/>
  <c r="AC47" i="10" s="1"/>
  <c r="H44" i="10" s="1"/>
  <c r="F214" i="10"/>
  <c r="H196" i="10"/>
  <c r="H198" i="10" s="1"/>
  <c r="D198" i="10"/>
  <c r="AC37" i="10" s="1"/>
  <c r="H34" i="10" s="1"/>
  <c r="AC39" i="10"/>
  <c r="H36" i="10" s="1"/>
  <c r="H180" i="10"/>
  <c r="AC33" i="10"/>
  <c r="C149" i="10"/>
  <c r="C148" i="10"/>
  <c r="C168" i="10"/>
  <c r="F196" i="10"/>
  <c r="F198" i="10" s="1"/>
  <c r="F199" i="10"/>
  <c r="F201" i="10" s="1"/>
  <c r="I14" i="10"/>
  <c r="C110" i="10"/>
  <c r="I31" i="10" s="1"/>
  <c r="I59" i="10"/>
  <c r="K59" i="10" s="1"/>
  <c r="G110" i="10"/>
  <c r="H205" i="10"/>
  <c r="H208" i="10" s="1"/>
  <c r="D208" i="10"/>
  <c r="AC49" i="10" s="1"/>
  <c r="H46" i="10" s="1"/>
  <c r="AC51" i="10"/>
  <c r="H48" i="10" s="1"/>
  <c r="F169" i="10"/>
  <c r="F173" i="10" s="1"/>
  <c r="F179" i="10" s="1"/>
  <c r="F177" i="10"/>
  <c r="F215" i="10"/>
  <c r="D209" i="10"/>
  <c r="D149" i="10"/>
  <c r="AC61" i="10"/>
  <c r="H10" i="10" s="1"/>
  <c r="D168" i="10"/>
  <c r="D148" i="10"/>
  <c r="D80" i="10"/>
  <c r="D89" i="10"/>
  <c r="D92" i="10" s="1"/>
  <c r="E89" i="10"/>
  <c r="E92" i="10" s="1"/>
  <c r="P36" i="10"/>
  <c r="P34" i="10" s="1"/>
  <c r="P39" i="10"/>
  <c r="P37" i="10" s="1"/>
  <c r="P32" i="10"/>
  <c r="P30" i="10" s="1"/>
  <c r="D90" i="10"/>
  <c r="E90" i="10"/>
  <c r="C209" i="10"/>
  <c r="H52" i="10"/>
  <c r="I52" i="10"/>
  <c r="K52" i="10" s="1"/>
  <c r="C199" i="10"/>
  <c r="H202" i="10"/>
  <c r="H204" i="10" s="1"/>
  <c r="D204" i="10"/>
  <c r="AC43" i="10" s="1"/>
  <c r="H40" i="10" s="1"/>
  <c r="AC45" i="10"/>
  <c r="H42" i="10" s="1"/>
  <c r="F149" i="10"/>
  <c r="F148" i="10"/>
  <c r="F150" i="10" s="1"/>
  <c r="D199" i="10"/>
  <c r="C78" i="10"/>
  <c r="C90" i="10" s="1"/>
  <c r="C77" i="10"/>
  <c r="C79" i="10"/>
  <c r="C91" i="10" s="1"/>
  <c r="H203" i="10"/>
  <c r="AC44" i="10"/>
  <c r="H41" i="10" s="1"/>
  <c r="M38" i="10"/>
  <c r="M31" i="10"/>
  <c r="M35" i="10"/>
  <c r="M20" i="10"/>
  <c r="G196" i="10"/>
  <c r="G198" i="10" s="1"/>
  <c r="C198" i="10"/>
  <c r="P19" i="10"/>
  <c r="AA22" i="11" l="1"/>
  <c r="AA24" i="11"/>
  <c r="E94" i="10"/>
  <c r="I89" i="10"/>
  <c r="H89" i="10"/>
  <c r="G90" i="10" s="1"/>
  <c r="D94" i="10"/>
  <c r="C95" i="10" s="1"/>
  <c r="I12" i="10"/>
  <c r="I10" i="10"/>
  <c r="D93" i="10"/>
  <c r="F153" i="10"/>
  <c r="F154" i="10" s="1"/>
  <c r="F155" i="10" s="1"/>
  <c r="F156" i="10" s="1"/>
  <c r="F157" i="10"/>
  <c r="G199" i="10"/>
  <c r="G201" i="10" s="1"/>
  <c r="C201" i="10"/>
  <c r="D150" i="10"/>
  <c r="D151" i="10"/>
  <c r="D152" i="10"/>
  <c r="AC63" i="10"/>
  <c r="H12" i="10" s="1"/>
  <c r="C177" i="10"/>
  <c r="C170" i="10"/>
  <c r="C174" i="10" s="1"/>
  <c r="C171" i="10"/>
  <c r="C175" i="10" s="1"/>
  <c r="C169" i="10"/>
  <c r="C173" i="10" s="1"/>
  <c r="H209" i="10"/>
  <c r="H214" i="10" s="1"/>
  <c r="AC48" i="10"/>
  <c r="H45" i="10" s="1"/>
  <c r="D214" i="10"/>
  <c r="D177" i="10"/>
  <c r="D170" i="10"/>
  <c r="D174" i="10" s="1"/>
  <c r="D171" i="10"/>
  <c r="D175" i="10" s="1"/>
  <c r="D169" i="10"/>
  <c r="G209" i="10"/>
  <c r="G214" i="10" s="1"/>
  <c r="C214" i="10"/>
  <c r="C150" i="10"/>
  <c r="C152" i="10"/>
  <c r="C151" i="10"/>
  <c r="C80" i="10"/>
  <c r="C93" i="10" s="1"/>
  <c r="C89" i="10"/>
  <c r="C92" i="10" s="1"/>
  <c r="AC21" i="10"/>
  <c r="H20" i="10" s="1"/>
  <c r="H31" i="10"/>
  <c r="F181" i="10"/>
  <c r="G181" i="10"/>
  <c r="H181" i="10"/>
  <c r="H199" i="10"/>
  <c r="H201" i="10" s="1"/>
  <c r="D201" i="10"/>
  <c r="AC40" i="10" s="1"/>
  <c r="H37" i="10" s="1"/>
  <c r="AC42" i="10"/>
  <c r="H39" i="10" s="1"/>
  <c r="C199" i="11" l="1"/>
  <c r="F158" i="10"/>
  <c r="F159" i="10" s="1"/>
  <c r="F182" i="10" s="1"/>
  <c r="F183" i="10" s="1"/>
  <c r="C179" i="10"/>
  <c r="C181" i="10" s="1"/>
  <c r="AC46" i="10"/>
  <c r="H43" i="10" s="1"/>
  <c r="C97" i="10"/>
  <c r="C102" i="10" s="1"/>
  <c r="I61" i="10" s="1"/>
  <c r="C96" i="10"/>
  <c r="I21" i="10"/>
  <c r="G91" i="10"/>
  <c r="G92" i="10"/>
  <c r="G93" i="10" s="1"/>
  <c r="G94" i="10" s="1"/>
  <c r="I20" i="10"/>
  <c r="C160" i="10"/>
  <c r="C153" i="10"/>
  <c r="C154" i="10" s="1"/>
  <c r="H184" i="10"/>
  <c r="F184" i="10"/>
  <c r="F185" i="10" s="1"/>
  <c r="AC20" i="10"/>
  <c r="H19" i="10" s="1"/>
  <c r="D160" i="10"/>
  <c r="AC22" i="10" s="1"/>
  <c r="H21" i="10" s="1"/>
  <c r="D153" i="10"/>
  <c r="D154" i="10" s="1"/>
  <c r="G89" i="10"/>
  <c r="C94" i="10"/>
  <c r="D122" i="10"/>
  <c r="D124" i="10"/>
  <c r="C123" i="10"/>
  <c r="D123" i="10"/>
  <c r="C124" i="10"/>
  <c r="I55" i="10"/>
  <c r="I54" i="10"/>
  <c r="I51" i="10"/>
  <c r="C121" i="10"/>
  <c r="D121" i="10"/>
  <c r="C122" i="10"/>
  <c r="I53" i="10"/>
  <c r="C125" i="10"/>
  <c r="D125" i="10"/>
  <c r="I56" i="10"/>
  <c r="K56" i="10" s="1"/>
  <c r="I49" i="10"/>
  <c r="I50" i="10"/>
  <c r="D173" i="10"/>
  <c r="D172" i="10"/>
  <c r="G184" i="10"/>
  <c r="K61" i="10" l="1"/>
  <c r="I36" i="10"/>
  <c r="I34" i="10" s="1"/>
  <c r="H94" i="10"/>
  <c r="G95" i="10" s="1"/>
  <c r="I42" i="10"/>
  <c r="I40" i="10" s="1"/>
  <c r="I48" i="10"/>
  <c r="I46" i="10" s="1"/>
  <c r="I39" i="10"/>
  <c r="I45" i="10"/>
  <c r="I43" i="10" s="1"/>
  <c r="G96" i="10"/>
  <c r="D111" i="10"/>
  <c r="E111" i="10"/>
  <c r="G111" i="10"/>
  <c r="C112" i="10"/>
  <c r="D112" i="10"/>
  <c r="D113" i="10"/>
  <c r="E113" i="10"/>
  <c r="C111" i="10"/>
  <c r="E112" i="10"/>
  <c r="C113" i="10"/>
  <c r="D155" i="10"/>
  <c r="D157" i="10"/>
  <c r="AC19" i="10" s="1"/>
  <c r="H61" i="10" s="1"/>
  <c r="H157" i="10"/>
  <c r="AC24" i="10"/>
  <c r="H63" i="10" s="1"/>
  <c r="I63" i="10"/>
  <c r="E98" i="10"/>
  <c r="C98" i="10"/>
  <c r="D98" i="10"/>
  <c r="C99" i="10" s="1"/>
  <c r="I19" i="10"/>
  <c r="D176" i="10"/>
  <c r="AC35" i="10" s="1"/>
  <c r="H33" i="10" s="1"/>
  <c r="D179" i="10"/>
  <c r="C155" i="10"/>
  <c r="C156" i="10" s="1"/>
  <c r="C157" i="10"/>
  <c r="G157" i="10"/>
  <c r="D168" i="4"/>
  <c r="K63" i="10" l="1"/>
  <c r="E114" i="10"/>
  <c r="I37" i="10"/>
  <c r="C114" i="10"/>
  <c r="D114" i="10"/>
  <c r="I62" i="10"/>
  <c r="C100" i="10"/>
  <c r="D100" i="10"/>
  <c r="C101" i="10" s="1"/>
  <c r="I60" i="10" s="1"/>
  <c r="C158" i="10"/>
  <c r="C159" i="10" s="1"/>
  <c r="C182" i="10" s="1"/>
  <c r="G156" i="10"/>
  <c r="AC23" i="10"/>
  <c r="H62" i="10" s="1"/>
  <c r="D156" i="10"/>
  <c r="AC34" i="10"/>
  <c r="D181" i="10"/>
  <c r="K62" i="10" l="1"/>
  <c r="C115" i="10"/>
  <c r="I33" i="10" s="1"/>
  <c r="AC18" i="10"/>
  <c r="H156" i="10"/>
  <c r="D158" i="10"/>
  <c r="D159" i="10" s="1"/>
  <c r="D182" i="10" s="1"/>
  <c r="D183" i="10" s="1"/>
  <c r="H32" i="10"/>
  <c r="AC32" i="10"/>
  <c r="H30" i="10" s="1"/>
  <c r="C183" i="10"/>
  <c r="C184" i="10"/>
  <c r="I18" i="10"/>
  <c r="FV4" i="7" l="1"/>
  <c r="I32" i="10"/>
  <c r="I30" i="10" s="1"/>
  <c r="G185" i="10"/>
  <c r="C185" i="10"/>
  <c r="I17" i="10"/>
  <c r="C33" i="10"/>
  <c r="H185" i="10"/>
  <c r="AC26" i="10"/>
  <c r="AC17" i="10"/>
  <c r="H60" i="10"/>
  <c r="K60" i="10" s="1"/>
  <c r="D184" i="10"/>
  <c r="AC29" i="10" s="1"/>
  <c r="FJ4" i="7" l="1"/>
  <c r="FI5" i="7" s="1"/>
  <c r="FJ5" i="7" s="1"/>
  <c r="FI6" i="7" s="1"/>
  <c r="FJ6" i="7" s="1"/>
  <c r="FI7" i="7" s="1"/>
  <c r="FU5" i="7"/>
  <c r="FV5" i="7" s="1"/>
  <c r="FU6" i="7" s="1"/>
  <c r="FV6" i="7" s="1"/>
  <c r="FU7" i="7" s="1"/>
  <c r="FY4" i="7"/>
  <c r="FX5" i="7" s="1"/>
  <c r="FY5" i="7" s="1"/>
  <c r="FX6" i="7" s="1"/>
  <c r="FY6" i="7" s="1"/>
  <c r="D185" i="10"/>
  <c r="AC16" i="10"/>
  <c r="H18" i="10"/>
  <c r="H24" i="10"/>
  <c r="AC25" i="10"/>
  <c r="H22" i="10" s="1"/>
  <c r="H23" i="10" s="1"/>
  <c r="M63" i="10"/>
  <c r="N63" i="10" s="1"/>
  <c r="M62" i="10"/>
  <c r="P62" i="10"/>
  <c r="P59" i="10" s="1"/>
  <c r="P15" i="10" s="1"/>
  <c r="P18" i="10" s="1"/>
  <c r="P17" i="10" s="1"/>
  <c r="P16" i="10" s="1"/>
  <c r="P60" i="10" s="1"/>
  <c r="P26" i="10" s="1"/>
  <c r="P63" i="10"/>
  <c r="I16" i="10"/>
  <c r="H28" i="10"/>
  <c r="CS4" i="7"/>
  <c r="CR5" i="7" s="1"/>
  <c r="CS5" i="7" s="1"/>
  <c r="CR6" i="7" s="1"/>
  <c r="BX4" i="7"/>
  <c r="BW5" i="7" s="1"/>
  <c r="BX5" i="7" s="1"/>
  <c r="BW6" i="7" s="1"/>
  <c r="CG4" i="7"/>
  <c r="CF5" i="7" s="1"/>
  <c r="CG5" i="7" s="1"/>
  <c r="CF6" i="7" s="1"/>
  <c r="EU4" i="7"/>
  <c r="GB4" i="7"/>
  <c r="GA5" i="7" s="1"/>
  <c r="GB5" i="7" s="1"/>
  <c r="GA6" i="7" s="1"/>
  <c r="GB6" i="7" s="1"/>
  <c r="GA7" i="7" s="1"/>
  <c r="CD4" i="7"/>
  <c r="AZ4" i="7"/>
  <c r="FA4" i="7"/>
  <c r="EZ5" i="7" s="1"/>
  <c r="FA5" i="7" s="1"/>
  <c r="EZ6" i="7" s="1"/>
  <c r="FA6" i="7" s="1"/>
  <c r="EZ7" i="7" s="1"/>
  <c r="DE4" i="7"/>
  <c r="FS4" i="7"/>
  <c r="FR5" i="7" s="1"/>
  <c r="FS5" i="7" s="1"/>
  <c r="FR6" i="7" s="1"/>
  <c r="FS6" i="7" s="1"/>
  <c r="BO4" i="7"/>
  <c r="BN5" i="7" s="1"/>
  <c r="BO5" i="7" s="1"/>
  <c r="BN6" i="7" s="1"/>
  <c r="BO6" i="7" s="1"/>
  <c r="BL4" i="7"/>
  <c r="BK5" i="7" s="1"/>
  <c r="BL5" i="7" s="1"/>
  <c r="BK6" i="7" s="1"/>
  <c r="BL6" i="7" s="1"/>
  <c r="DW4" i="7"/>
  <c r="DV5" i="7" s="1"/>
  <c r="DW5" i="7" s="1"/>
  <c r="DV6" i="7" s="1"/>
  <c r="DW6" i="7" s="1"/>
  <c r="DV7" i="7" s="1"/>
  <c r="DW7" i="7" s="1"/>
  <c r="DV8" i="7" s="1"/>
  <c r="DW8" i="7" s="1"/>
  <c r="DV9" i="7" s="1"/>
  <c r="DW9" i="7" s="1"/>
  <c r="DV10" i="7" s="1"/>
  <c r="DW10" i="7" s="1"/>
  <c r="DV11" i="7" s="1"/>
  <c r="DW11" i="7" s="1"/>
  <c r="DV12" i="7" s="1"/>
  <c r="DW12" i="7" s="1"/>
  <c r="DV13" i="7" s="1"/>
  <c r="DW13" i="7" s="1"/>
  <c r="DV14" i="7" s="1"/>
  <c r="DW14" i="7" s="1"/>
  <c r="DV15" i="7" s="1"/>
  <c r="DW15" i="7" s="1"/>
  <c r="DV16" i="7" s="1"/>
  <c r="DW16" i="7" s="1"/>
  <c r="DV17" i="7" s="1"/>
  <c r="DW17" i="7" s="1"/>
  <c r="DV18" i="7" s="1"/>
  <c r="DW18" i="7" s="1"/>
  <c r="DV19" i="7" s="1"/>
  <c r="DW19" i="7" s="1"/>
  <c r="DV20" i="7" s="1"/>
  <c r="DW20" i="7" s="1"/>
  <c r="DV21" i="7" s="1"/>
  <c r="DW21" i="7" s="1"/>
  <c r="DV22" i="7" s="1"/>
  <c r="DW22" i="7" s="1"/>
  <c r="DV23" i="7" s="1"/>
  <c r="DW23" i="7" s="1"/>
  <c r="DV24" i="7" s="1"/>
  <c r="DW24" i="7" s="1"/>
  <c r="DV25" i="7" s="1"/>
  <c r="DW25" i="7" s="1"/>
  <c r="DV26" i="7" s="1"/>
  <c r="DW26" i="7" s="1"/>
  <c r="DV27" i="7" s="1"/>
  <c r="DW27" i="7" s="1"/>
  <c r="DV28" i="7" s="1"/>
  <c r="DW28" i="7" s="1"/>
  <c r="DV29" i="7" s="1"/>
  <c r="DW29" i="7" s="1"/>
  <c r="DV30" i="7" s="1"/>
  <c r="DW30" i="7" s="1"/>
  <c r="DV31" i="7" s="1"/>
  <c r="DW31" i="7" s="1"/>
  <c r="DV32" i="7" s="1"/>
  <c r="DW32" i="7" s="1"/>
  <c r="DV33" i="7" s="1"/>
  <c r="DW33" i="7" s="1"/>
  <c r="DV34" i="7" s="1"/>
  <c r="DW34" i="7" s="1"/>
  <c r="DV35" i="7" s="1"/>
  <c r="DW35" i="7" s="1"/>
  <c r="DV36" i="7" s="1"/>
  <c r="DW36" i="7" s="1"/>
  <c r="DV37" i="7" s="1"/>
  <c r="DW37" i="7" s="1"/>
  <c r="DV38" i="7" s="1"/>
  <c r="DW38" i="7" s="1"/>
  <c r="DV39" i="7" s="1"/>
  <c r="DW39" i="7" s="1"/>
  <c r="DV40" i="7" s="1"/>
  <c r="DW40" i="7" s="1"/>
  <c r="DV41" i="7" s="1"/>
  <c r="DW41" i="7" s="1"/>
  <c r="DV42" i="7" s="1"/>
  <c r="DW42" i="7" s="1"/>
  <c r="DV43" i="7" s="1"/>
  <c r="DW43" i="7" s="1"/>
  <c r="DV44" i="7" s="1"/>
  <c r="DW44" i="7" s="1"/>
  <c r="DV45" i="7" s="1"/>
  <c r="DW45" i="7" s="1"/>
  <c r="DV46" i="7" s="1"/>
  <c r="DW46" i="7" s="1"/>
  <c r="DV47" i="7" s="1"/>
  <c r="DW47" i="7" s="1"/>
  <c r="DV48" i="7" s="1"/>
  <c r="DW48" i="7" s="1"/>
  <c r="DV49" i="7" s="1"/>
  <c r="DW49" i="7" s="1"/>
  <c r="DV50" i="7" s="1"/>
  <c r="DW50" i="7" s="1"/>
  <c r="DV51" i="7" s="1"/>
  <c r="DW51" i="7" s="1"/>
  <c r="DV52" i="7" s="1"/>
  <c r="DW52" i="7" s="1"/>
  <c r="DV53" i="7" s="1"/>
  <c r="DW53" i="7" s="1"/>
  <c r="DV54" i="7" s="1"/>
  <c r="DW54" i="7" s="1"/>
  <c r="DV55" i="7" s="1"/>
  <c r="DW55" i="7" s="1"/>
  <c r="DV56" i="7" s="1"/>
  <c r="DW56" i="7" s="1"/>
  <c r="DV57" i="7" s="1"/>
  <c r="DW57" i="7" s="1"/>
  <c r="DV58" i="7" s="1"/>
  <c r="DW58" i="7" s="1"/>
  <c r="DV59" i="7" s="1"/>
  <c r="DW59" i="7" s="1"/>
  <c r="DV60" i="7" s="1"/>
  <c r="DW60" i="7" s="1"/>
  <c r="DV61" i="7" s="1"/>
  <c r="DW61" i="7" s="1"/>
  <c r="DV62" i="7" s="1"/>
  <c r="DW62" i="7" s="1"/>
  <c r="DV63" i="7" s="1"/>
  <c r="DW63" i="7" s="1"/>
  <c r="DV64" i="7" s="1"/>
  <c r="DW64" i="7" s="1"/>
  <c r="DV65" i="7" s="1"/>
  <c r="DW65" i="7" s="1"/>
  <c r="DV66" i="7" s="1"/>
  <c r="DW66" i="7" s="1"/>
  <c r="DV67" i="7" s="1"/>
  <c r="DW67" i="7" s="1"/>
  <c r="DV68" i="7" s="1"/>
  <c r="DW68" i="7" s="1"/>
  <c r="DV69" i="7" s="1"/>
  <c r="DW69" i="7" s="1"/>
  <c r="DV70" i="7" s="1"/>
  <c r="DW70" i="7" s="1"/>
  <c r="DV71" i="7" s="1"/>
  <c r="DW71" i="7" s="1"/>
  <c r="DV72" i="7" s="1"/>
  <c r="DW72" i="7" s="1"/>
  <c r="DV73" i="7" s="1"/>
  <c r="DW73" i="7" s="1"/>
  <c r="DV74" i="7" s="1"/>
  <c r="DW74" i="7" s="1"/>
  <c r="DV75" i="7" s="1"/>
  <c r="DW75" i="7" s="1"/>
  <c r="DV76" i="7" s="1"/>
  <c r="DW76" i="7" s="1"/>
  <c r="DV77" i="7" s="1"/>
  <c r="DW77" i="7" s="1"/>
  <c r="DV78" i="7" s="1"/>
  <c r="DW78" i="7" s="1"/>
  <c r="DV79" i="7" s="1"/>
  <c r="DW79" i="7" s="1"/>
  <c r="DV80" i="7" s="1"/>
  <c r="DW80" i="7" s="1"/>
  <c r="DV81" i="7" s="1"/>
  <c r="DW81" i="7" s="1"/>
  <c r="DV82" i="7" s="1"/>
  <c r="DW82" i="7" s="1"/>
  <c r="DV83" i="7" s="1"/>
  <c r="DW83" i="7" s="1"/>
  <c r="DV84" i="7" s="1"/>
  <c r="DW84" i="7" s="1"/>
  <c r="DV85" i="7" s="1"/>
  <c r="DW85" i="7" s="1"/>
  <c r="DV86" i="7" s="1"/>
  <c r="DW86" i="7" s="1"/>
  <c r="DV87" i="7" s="1"/>
  <c r="DW87" i="7" s="1"/>
  <c r="DV88" i="7" s="1"/>
  <c r="DW88" i="7" s="1"/>
  <c r="DV89" i="7" s="1"/>
  <c r="DW89" i="7" s="1"/>
  <c r="DV90" i="7" s="1"/>
  <c r="DW90" i="7" s="1"/>
  <c r="DV91" i="7" s="1"/>
  <c r="DW91" i="7" s="1"/>
  <c r="DV92" i="7" s="1"/>
  <c r="DW92" i="7" s="1"/>
  <c r="DV93" i="7" s="1"/>
  <c r="DW93" i="7" s="1"/>
  <c r="DV94" i="7" s="1"/>
  <c r="DW94" i="7" s="1"/>
  <c r="DV95" i="7" s="1"/>
  <c r="DW95" i="7" s="1"/>
  <c r="DV96" i="7" s="1"/>
  <c r="DW96" i="7" s="1"/>
  <c r="DV97" i="7" s="1"/>
  <c r="DW97" i="7" s="1"/>
  <c r="DV98" i="7" s="1"/>
  <c r="DW98" i="7" s="1"/>
  <c r="DV99" i="7" s="1"/>
  <c r="DW99" i="7" s="1"/>
  <c r="DV100" i="7" s="1"/>
  <c r="DW100" i="7" s="1"/>
  <c r="DV101" i="7" s="1"/>
  <c r="DW101" i="7" s="1"/>
  <c r="DV102" i="7" s="1"/>
  <c r="DW102" i="7" s="1"/>
  <c r="DV103" i="7" s="1"/>
  <c r="DW103" i="7" s="1"/>
  <c r="DT4" i="7"/>
  <c r="DS5" i="7" s="1"/>
  <c r="DT5" i="7" s="1"/>
  <c r="DS6" i="7" s="1"/>
  <c r="DT6" i="7" s="1"/>
  <c r="DS7" i="7" s="1"/>
  <c r="DN4" i="7"/>
  <c r="DM5" i="7" s="1"/>
  <c r="DN5" i="7" s="1"/>
  <c r="DM6" i="7" s="1"/>
  <c r="DN6" i="7" s="1"/>
  <c r="DM7" i="7" s="1"/>
  <c r="EI4" i="7"/>
  <c r="EH5" i="7" s="1"/>
  <c r="EI5" i="7" s="1"/>
  <c r="EH6" i="7" s="1"/>
  <c r="EI6" i="7" s="1"/>
  <c r="EH7" i="7" s="1"/>
  <c r="EC4" i="7"/>
  <c r="EB5" i="7" s="1"/>
  <c r="EC5" i="7" s="1"/>
  <c r="EB6" i="7" s="1"/>
  <c r="EC6" i="7" s="1"/>
  <c r="EB7" i="7" s="1"/>
  <c r="GE4" i="7"/>
  <c r="GD5" i="7" s="1"/>
  <c r="GE5" i="7" s="1"/>
  <c r="GD6" i="7" s="1"/>
  <c r="GE6" i="7" s="1"/>
  <c r="GD7" i="7" s="1"/>
  <c r="D43" i="4"/>
  <c r="J11" i="10" l="1"/>
  <c r="K11" i="10" s="1"/>
  <c r="AC31" i="10"/>
  <c r="H29" i="10" s="1"/>
  <c r="P43" i="10"/>
  <c r="P40" i="10"/>
  <c r="P54" i="10"/>
  <c r="P52" i="10"/>
  <c r="P55" i="10"/>
  <c r="P51" i="10"/>
  <c r="P53" i="10"/>
  <c r="P49" i="10"/>
  <c r="P46" i="10"/>
  <c r="P56" i="10"/>
  <c r="P50" i="10"/>
  <c r="Q37" i="10"/>
  <c r="Q34" i="10"/>
  <c r="N62" i="10"/>
  <c r="M59" i="10"/>
  <c r="N59" i="10" s="1"/>
  <c r="P27" i="10"/>
  <c r="P24" i="10"/>
  <c r="P28" i="10"/>
  <c r="AC27" i="10"/>
  <c r="H25" i="10" s="1"/>
  <c r="H17" i="10"/>
  <c r="AC15" i="10"/>
  <c r="A1" i="9"/>
  <c r="B1" i="9" s="1"/>
  <c r="A2" i="9" s="1"/>
  <c r="B2" i="9" s="1"/>
  <c r="A3" i="9" s="1"/>
  <c r="B3" i="9" s="1"/>
  <c r="A4" i="9" s="1"/>
  <c r="B4" i="9" s="1"/>
  <c r="A5" i="9" s="1"/>
  <c r="B5" i="9" s="1"/>
  <c r="A6" i="9" s="1"/>
  <c r="B6" i="9" s="1"/>
  <c r="A7" i="9" s="1"/>
  <c r="B7" i="9" s="1"/>
  <c r="ET5" i="7"/>
  <c r="EU5" i="7" s="1"/>
  <c r="ET6" i="7" s="1"/>
  <c r="EU6" i="7" s="1"/>
  <c r="ET7" i="7" s="1"/>
  <c r="AY5" i="7"/>
  <c r="AZ5" i="7" s="1"/>
  <c r="AY6" i="7" s="1"/>
  <c r="CC5" i="7"/>
  <c r="CD5" i="7" s="1"/>
  <c r="CC6" i="7" s="1"/>
  <c r="CD6" i="7" s="1"/>
  <c r="BC4" i="7"/>
  <c r="BB5" i="7" s="1"/>
  <c r="BC5" i="7" s="1"/>
  <c r="BB6" i="7" s="1"/>
  <c r="BC6" i="7" s="1"/>
  <c r="DD5" i="7"/>
  <c r="DE5" i="7" s="1"/>
  <c r="DD6" i="7" s="1"/>
  <c r="DE6" i="7" s="1"/>
  <c r="DD7" i="7" s="1"/>
  <c r="DE7" i="7" s="1"/>
  <c r="DD8" i="7" s="1"/>
  <c r="DE8" i="7" s="1"/>
  <c r="DD9" i="7" s="1"/>
  <c r="DE9" i="7" s="1"/>
  <c r="DD10" i="7" s="1"/>
  <c r="DE10" i="7" s="1"/>
  <c r="DD11" i="7" s="1"/>
  <c r="DE11" i="7" s="1"/>
  <c r="DD12" i="7" s="1"/>
  <c r="DE12" i="7" s="1"/>
  <c r="DD13" i="7" s="1"/>
  <c r="DE13" i="7" s="1"/>
  <c r="DD14" i="7" s="1"/>
  <c r="DE14" i="7" s="1"/>
  <c r="DD15" i="7" s="1"/>
  <c r="DE15" i="7" s="1"/>
  <c r="DD16" i="7" s="1"/>
  <c r="DE16" i="7" s="1"/>
  <c r="DD17" i="7" s="1"/>
  <c r="DE17" i="7" s="1"/>
  <c r="DD18" i="7" s="1"/>
  <c r="DE18" i="7" s="1"/>
  <c r="DD19" i="7" s="1"/>
  <c r="DE19" i="7" s="1"/>
  <c r="DD20" i="7" s="1"/>
  <c r="DE20" i="7" s="1"/>
  <c r="DD21" i="7" s="1"/>
  <c r="DE21" i="7" s="1"/>
  <c r="DD22" i="7" s="1"/>
  <c r="DE22" i="7" s="1"/>
  <c r="DD23" i="7" s="1"/>
  <c r="DE23" i="7" s="1"/>
  <c r="DD24" i="7" s="1"/>
  <c r="DE24" i="7" s="1"/>
  <c r="DD25" i="7" s="1"/>
  <c r="DE25" i="7" s="1"/>
  <c r="DD26" i="7" s="1"/>
  <c r="DE26" i="7" s="1"/>
  <c r="DD27" i="7" s="1"/>
  <c r="DE27" i="7" s="1"/>
  <c r="DD28" i="7" s="1"/>
  <c r="DE28" i="7" s="1"/>
  <c r="DD29" i="7" s="1"/>
  <c r="DE29" i="7" s="1"/>
  <c r="DD30" i="7" s="1"/>
  <c r="DE30" i="7" s="1"/>
  <c r="DD31" i="7" s="1"/>
  <c r="DE31" i="7" s="1"/>
  <c r="DD32" i="7" s="1"/>
  <c r="DE32" i="7" s="1"/>
  <c r="DD33" i="7" s="1"/>
  <c r="DE33" i="7" s="1"/>
  <c r="DD34" i="7" s="1"/>
  <c r="DE34" i="7" s="1"/>
  <c r="DD35" i="7" s="1"/>
  <c r="DE35" i="7" s="1"/>
  <c r="DD36" i="7" s="1"/>
  <c r="DE36" i="7" s="1"/>
  <c r="DD37" i="7" s="1"/>
  <c r="DE37" i="7" s="1"/>
  <c r="DD38" i="7" s="1"/>
  <c r="DE38" i="7" s="1"/>
  <c r="DD39" i="7" s="1"/>
  <c r="DE39" i="7" s="1"/>
  <c r="DD40" i="7" s="1"/>
  <c r="DE40" i="7" s="1"/>
  <c r="DD41" i="7" s="1"/>
  <c r="DE41" i="7" s="1"/>
  <c r="DD42" i="7" s="1"/>
  <c r="DE42" i="7" s="1"/>
  <c r="DD43" i="7" s="1"/>
  <c r="DE43" i="7" s="1"/>
  <c r="DD44" i="7" s="1"/>
  <c r="DE44" i="7" s="1"/>
  <c r="DD45" i="7" s="1"/>
  <c r="DE45" i="7" s="1"/>
  <c r="DD46" i="7" s="1"/>
  <c r="DE46" i="7" s="1"/>
  <c r="DD47" i="7" s="1"/>
  <c r="DE47" i="7" s="1"/>
  <c r="DD48" i="7" s="1"/>
  <c r="DE48" i="7" s="1"/>
  <c r="DD49" i="7" s="1"/>
  <c r="DE49" i="7" s="1"/>
  <c r="DD50" i="7" s="1"/>
  <c r="DE50" i="7" s="1"/>
  <c r="DD51" i="7" s="1"/>
  <c r="DE51" i="7" s="1"/>
  <c r="DD52" i="7" s="1"/>
  <c r="DE52" i="7" s="1"/>
  <c r="DD53" i="7" s="1"/>
  <c r="DE53" i="7" s="1"/>
  <c r="DD54" i="7" s="1"/>
  <c r="DE54" i="7" s="1"/>
  <c r="DD55" i="7" s="1"/>
  <c r="DE55" i="7" s="1"/>
  <c r="DD56" i="7" s="1"/>
  <c r="DE56" i="7" s="1"/>
  <c r="DD57" i="7" s="1"/>
  <c r="DE57" i="7" s="1"/>
  <c r="DD58" i="7" s="1"/>
  <c r="DE58" i="7" s="1"/>
  <c r="DD59" i="7" s="1"/>
  <c r="DE59" i="7" s="1"/>
  <c r="DD60" i="7" s="1"/>
  <c r="DE60" i="7" s="1"/>
  <c r="DD61" i="7" s="1"/>
  <c r="DE61" i="7" s="1"/>
  <c r="DD62" i="7" s="1"/>
  <c r="DE62" i="7" s="1"/>
  <c r="DD63" i="7" s="1"/>
  <c r="DE63" i="7" s="1"/>
  <c r="DD64" i="7" s="1"/>
  <c r="DE64" i="7" s="1"/>
  <c r="DD65" i="7" s="1"/>
  <c r="DE65" i="7" s="1"/>
  <c r="DD66" i="7" s="1"/>
  <c r="DE66" i="7" s="1"/>
  <c r="DD67" i="7" s="1"/>
  <c r="DE67" i="7" s="1"/>
  <c r="DD68" i="7" s="1"/>
  <c r="DE68" i="7" s="1"/>
  <c r="DD69" i="7" s="1"/>
  <c r="DE69" i="7" s="1"/>
  <c r="DD70" i="7" s="1"/>
  <c r="DE70" i="7" s="1"/>
  <c r="DD71" i="7" s="1"/>
  <c r="DE71" i="7" s="1"/>
  <c r="DD72" i="7" s="1"/>
  <c r="DE72" i="7" s="1"/>
  <c r="DD73" i="7" s="1"/>
  <c r="DE73" i="7" s="1"/>
  <c r="DD74" i="7" s="1"/>
  <c r="DE74" i="7" s="1"/>
  <c r="DD75" i="7" s="1"/>
  <c r="DE75" i="7" s="1"/>
  <c r="DD76" i="7" s="1"/>
  <c r="DE76" i="7" s="1"/>
  <c r="DD77" i="7" s="1"/>
  <c r="DE77" i="7" s="1"/>
  <c r="DD78" i="7" s="1"/>
  <c r="DE78" i="7" s="1"/>
  <c r="DD79" i="7" s="1"/>
  <c r="DE79" i="7" s="1"/>
  <c r="DD80" i="7" s="1"/>
  <c r="DE80" i="7" s="1"/>
  <c r="DD81" i="7" s="1"/>
  <c r="DE81" i="7" s="1"/>
  <c r="DD82" i="7" s="1"/>
  <c r="DE82" i="7" s="1"/>
  <c r="DD83" i="7" s="1"/>
  <c r="DE83" i="7" s="1"/>
  <c r="DD84" i="7" s="1"/>
  <c r="DE84" i="7" s="1"/>
  <c r="DD85" i="7" s="1"/>
  <c r="DE85" i="7" s="1"/>
  <c r="DD86" i="7" s="1"/>
  <c r="DE86" i="7" s="1"/>
  <c r="DD87" i="7" s="1"/>
  <c r="DE87" i="7" s="1"/>
  <c r="DD88" i="7" s="1"/>
  <c r="DE88" i="7" s="1"/>
  <c r="DD89" i="7" s="1"/>
  <c r="DE89" i="7" s="1"/>
  <c r="DD90" i="7" s="1"/>
  <c r="DE90" i="7" s="1"/>
  <c r="DD91" i="7" s="1"/>
  <c r="DE91" i="7" s="1"/>
  <c r="DD92" i="7" s="1"/>
  <c r="DE92" i="7" s="1"/>
  <c r="DD93" i="7" s="1"/>
  <c r="DE93" i="7" s="1"/>
  <c r="DD94" i="7" s="1"/>
  <c r="DE94" i="7" s="1"/>
  <c r="DD95" i="7" s="1"/>
  <c r="DE95" i="7" s="1"/>
  <c r="DD96" i="7" s="1"/>
  <c r="DE96" i="7" s="1"/>
  <c r="DD97" i="7" s="1"/>
  <c r="DE97" i="7" s="1"/>
  <c r="DD98" i="7" s="1"/>
  <c r="DE98" i="7" s="1"/>
  <c r="DD99" i="7" s="1"/>
  <c r="DE99" i="7" s="1"/>
  <c r="DD100" i="7" s="1"/>
  <c r="DE100" i="7" s="1"/>
  <c r="DD101" i="7" s="1"/>
  <c r="DE101" i="7" s="1"/>
  <c r="DD102" i="7" s="1"/>
  <c r="DE102" i="7" s="1"/>
  <c r="DD103" i="7" s="1"/>
  <c r="DE103" i="7" s="1"/>
  <c r="D4" i="7"/>
  <c r="C5" i="7" s="1"/>
  <c r="D5" i="7" s="1"/>
  <c r="CU5" i="7"/>
  <c r="FV7" i="7"/>
  <c r="FU8" i="7" s="1"/>
  <c r="DZ4" i="7"/>
  <c r="DY5" i="7" s="1"/>
  <c r="DZ5" i="7" s="1"/>
  <c r="DY6" i="7" s="1"/>
  <c r="DZ6" i="7" s="1"/>
  <c r="CM4" i="7"/>
  <c r="CL5" i="7" s="1"/>
  <c r="CM5" i="7" s="1"/>
  <c r="CL6" i="7" s="1"/>
  <c r="M4" i="7"/>
  <c r="L5" i="7" s="1"/>
  <c r="M5" i="7" s="1"/>
  <c r="L6" i="7" s="1"/>
  <c r="M6" i="7" s="1"/>
  <c r="L7" i="7" s="1"/>
  <c r="M7" i="7" s="1"/>
  <c r="L8" i="7" s="1"/>
  <c r="M8" i="7" s="1"/>
  <c r="L9" i="7" s="1"/>
  <c r="M9" i="7" s="1"/>
  <c r="L10" i="7" s="1"/>
  <c r="M10" i="7" s="1"/>
  <c r="L11" i="7" s="1"/>
  <c r="M11" i="7" s="1"/>
  <c r="L12" i="7" s="1"/>
  <c r="M12" i="7" s="1"/>
  <c r="L13" i="7" s="1"/>
  <c r="M13" i="7" s="1"/>
  <c r="L14" i="7" s="1"/>
  <c r="M14" i="7" s="1"/>
  <c r="L15" i="7" s="1"/>
  <c r="M15" i="7" s="1"/>
  <c r="L16" i="7" s="1"/>
  <c r="M16" i="7" s="1"/>
  <c r="L17" i="7" s="1"/>
  <c r="M17" i="7" s="1"/>
  <c r="L18" i="7" s="1"/>
  <c r="M18" i="7" s="1"/>
  <c r="L19" i="7" s="1"/>
  <c r="M19" i="7" s="1"/>
  <c r="L20" i="7" s="1"/>
  <c r="M20" i="7" s="1"/>
  <c r="L21" i="7" s="1"/>
  <c r="M21" i="7" s="1"/>
  <c r="L22" i="7" s="1"/>
  <c r="M22" i="7" s="1"/>
  <c r="L23" i="7" s="1"/>
  <c r="M23" i="7" s="1"/>
  <c r="L24" i="7" s="1"/>
  <c r="M24" i="7" s="1"/>
  <c r="L25" i="7" s="1"/>
  <c r="M25" i="7" s="1"/>
  <c r="L26" i="7" s="1"/>
  <c r="M26" i="7" s="1"/>
  <c r="L27" i="7" s="1"/>
  <c r="M27" i="7" s="1"/>
  <c r="L28" i="7" s="1"/>
  <c r="M28" i="7" s="1"/>
  <c r="L29" i="7" s="1"/>
  <c r="M29" i="7" s="1"/>
  <c r="L30" i="7" s="1"/>
  <c r="M30" i="7" s="1"/>
  <c r="L31" i="7" s="1"/>
  <c r="M31" i="7" s="1"/>
  <c r="L32" i="7" s="1"/>
  <c r="M32" i="7" s="1"/>
  <c r="L33" i="7" s="1"/>
  <c r="M33" i="7" s="1"/>
  <c r="L34" i="7" s="1"/>
  <c r="M34" i="7" s="1"/>
  <c r="L35" i="7" s="1"/>
  <c r="M35" i="7" s="1"/>
  <c r="L36" i="7" s="1"/>
  <c r="M36" i="7" s="1"/>
  <c r="L37" i="7" s="1"/>
  <c r="M37" i="7" s="1"/>
  <c r="L38" i="7" s="1"/>
  <c r="M38" i="7" s="1"/>
  <c r="L39" i="7" s="1"/>
  <c r="M39" i="7" s="1"/>
  <c r="L40" i="7" s="1"/>
  <c r="M40" i="7" s="1"/>
  <c r="L41" i="7" s="1"/>
  <c r="M41" i="7" s="1"/>
  <c r="L42" i="7" s="1"/>
  <c r="M42" i="7" s="1"/>
  <c r="L43" i="7" s="1"/>
  <c r="M43" i="7" s="1"/>
  <c r="L44" i="7" s="1"/>
  <c r="M44" i="7" s="1"/>
  <c r="L45" i="7" s="1"/>
  <c r="M45" i="7" s="1"/>
  <c r="L46" i="7" s="1"/>
  <c r="M46" i="7" s="1"/>
  <c r="L47" i="7" s="1"/>
  <c r="M47" i="7" s="1"/>
  <c r="L48" i="7" s="1"/>
  <c r="M48" i="7" s="1"/>
  <c r="L49" i="7" s="1"/>
  <c r="M49" i="7" s="1"/>
  <c r="L50" i="7" s="1"/>
  <c r="M50" i="7" s="1"/>
  <c r="L51" i="7" s="1"/>
  <c r="M51" i="7" s="1"/>
  <c r="L52" i="7" s="1"/>
  <c r="M52" i="7" s="1"/>
  <c r="L53" i="7" s="1"/>
  <c r="M53" i="7" s="1"/>
  <c r="L54" i="7" s="1"/>
  <c r="M54" i="7" s="1"/>
  <c r="L55" i="7" s="1"/>
  <c r="M55" i="7" s="1"/>
  <c r="L56" i="7" s="1"/>
  <c r="M56" i="7" s="1"/>
  <c r="L57" i="7" s="1"/>
  <c r="M57" i="7" s="1"/>
  <c r="L58" i="7" s="1"/>
  <c r="M58" i="7" s="1"/>
  <c r="L59" i="7" s="1"/>
  <c r="M59" i="7" s="1"/>
  <c r="L60" i="7" s="1"/>
  <c r="M60" i="7" s="1"/>
  <c r="L61" i="7" s="1"/>
  <c r="M61" i="7" s="1"/>
  <c r="L62" i="7" s="1"/>
  <c r="M62" i="7" s="1"/>
  <c r="L63" i="7" s="1"/>
  <c r="M63" i="7" s="1"/>
  <c r="L64" i="7" s="1"/>
  <c r="M64" i="7" s="1"/>
  <c r="L65" i="7" s="1"/>
  <c r="M65" i="7" s="1"/>
  <c r="L66" i="7" s="1"/>
  <c r="M66" i="7" s="1"/>
  <c r="L67" i="7" s="1"/>
  <c r="M67" i="7" s="1"/>
  <c r="L68" i="7" s="1"/>
  <c r="M68" i="7" s="1"/>
  <c r="L69" i="7" s="1"/>
  <c r="M69" i="7" s="1"/>
  <c r="L70" i="7" s="1"/>
  <c r="M70" i="7" s="1"/>
  <c r="L71" i="7" s="1"/>
  <c r="M71" i="7" s="1"/>
  <c r="L72" i="7" s="1"/>
  <c r="M72" i="7" s="1"/>
  <c r="L73" i="7" s="1"/>
  <c r="M73" i="7" s="1"/>
  <c r="L74" i="7" s="1"/>
  <c r="M74" i="7" s="1"/>
  <c r="L75" i="7" s="1"/>
  <c r="M75" i="7" s="1"/>
  <c r="L76" i="7" s="1"/>
  <c r="M76" i="7" s="1"/>
  <c r="L77" i="7" s="1"/>
  <c r="M77" i="7" s="1"/>
  <c r="L78" i="7" s="1"/>
  <c r="M78" i="7" s="1"/>
  <c r="L79" i="7" s="1"/>
  <c r="M79" i="7" s="1"/>
  <c r="L80" i="7" s="1"/>
  <c r="M80" i="7" s="1"/>
  <c r="L81" i="7" s="1"/>
  <c r="M81" i="7" s="1"/>
  <c r="L82" i="7" s="1"/>
  <c r="M82" i="7" s="1"/>
  <c r="L83" i="7" s="1"/>
  <c r="M83" i="7" s="1"/>
  <c r="L84" i="7" s="1"/>
  <c r="M84" i="7" s="1"/>
  <c r="L85" i="7" s="1"/>
  <c r="M85" i="7" s="1"/>
  <c r="L86" i="7" s="1"/>
  <c r="M86" i="7" s="1"/>
  <c r="L87" i="7" s="1"/>
  <c r="M87" i="7" s="1"/>
  <c r="L88" i="7" s="1"/>
  <c r="M88" i="7" s="1"/>
  <c r="L89" i="7" s="1"/>
  <c r="M89" i="7" s="1"/>
  <c r="L90" i="7" s="1"/>
  <c r="M90" i="7" s="1"/>
  <c r="L91" i="7" s="1"/>
  <c r="M91" i="7" s="1"/>
  <c r="L92" i="7" s="1"/>
  <c r="M92" i="7" s="1"/>
  <c r="L93" i="7" s="1"/>
  <c r="M93" i="7" s="1"/>
  <c r="L94" i="7" s="1"/>
  <c r="M94" i="7" s="1"/>
  <c r="L95" i="7" s="1"/>
  <c r="M95" i="7" s="1"/>
  <c r="L96" i="7" s="1"/>
  <c r="M96" i="7" s="1"/>
  <c r="L97" i="7" s="1"/>
  <c r="M97" i="7" s="1"/>
  <c r="L98" i="7" s="1"/>
  <c r="M98" i="7" s="1"/>
  <c r="L99" i="7" s="1"/>
  <c r="M99" i="7" s="1"/>
  <c r="L100" i="7" s="1"/>
  <c r="M100" i="7" s="1"/>
  <c r="L101" i="7" s="1"/>
  <c r="M101" i="7" s="1"/>
  <c r="L102" i="7" s="1"/>
  <c r="M102" i="7" s="1"/>
  <c r="L103" i="7" s="1"/>
  <c r="M103" i="7" s="1"/>
  <c r="G4" i="7"/>
  <c r="F5" i="7" s="1"/>
  <c r="G5" i="7" s="1"/>
  <c r="F6" i="7" s="1"/>
  <c r="G6" i="7" s="1"/>
  <c r="F7" i="7" s="1"/>
  <c r="G7" i="7" s="1"/>
  <c r="F8" i="7" s="1"/>
  <c r="G8" i="7" s="1"/>
  <c r="F9" i="7" s="1"/>
  <c r="G9" i="7" s="1"/>
  <c r="F10" i="7" s="1"/>
  <c r="G10" i="7" s="1"/>
  <c r="F11" i="7" s="1"/>
  <c r="G11" i="7" s="1"/>
  <c r="F12" i="7" s="1"/>
  <c r="G12" i="7" s="1"/>
  <c r="F13" i="7" s="1"/>
  <c r="G13" i="7" s="1"/>
  <c r="F14" i="7" s="1"/>
  <c r="G14" i="7" s="1"/>
  <c r="F15" i="7" s="1"/>
  <c r="G15" i="7" s="1"/>
  <c r="F16" i="7" s="1"/>
  <c r="G16" i="7" s="1"/>
  <c r="F17" i="7" s="1"/>
  <c r="G17" i="7" s="1"/>
  <c r="F18" i="7" s="1"/>
  <c r="G18" i="7" s="1"/>
  <c r="F19" i="7" s="1"/>
  <c r="G19" i="7" s="1"/>
  <c r="F20" i="7" s="1"/>
  <c r="G20" i="7" s="1"/>
  <c r="F21" i="7" s="1"/>
  <c r="G21" i="7" s="1"/>
  <c r="F22" i="7" s="1"/>
  <c r="G22" i="7" s="1"/>
  <c r="F23" i="7" s="1"/>
  <c r="G23" i="7" s="1"/>
  <c r="F24" i="7" s="1"/>
  <c r="G24" i="7" s="1"/>
  <c r="F25" i="7" s="1"/>
  <c r="G25" i="7" s="1"/>
  <c r="F26" i="7" s="1"/>
  <c r="G26" i="7" s="1"/>
  <c r="F27" i="7" s="1"/>
  <c r="G27" i="7" s="1"/>
  <c r="F28" i="7" s="1"/>
  <c r="G28" i="7" s="1"/>
  <c r="F29" i="7" s="1"/>
  <c r="G29" i="7" s="1"/>
  <c r="F30" i="7" s="1"/>
  <c r="G30" i="7" s="1"/>
  <c r="F31" i="7" s="1"/>
  <c r="G31" i="7" s="1"/>
  <c r="F32" i="7" s="1"/>
  <c r="G32" i="7" s="1"/>
  <c r="F33" i="7" s="1"/>
  <c r="G33" i="7" s="1"/>
  <c r="F34" i="7" s="1"/>
  <c r="G34" i="7" s="1"/>
  <c r="F35" i="7" s="1"/>
  <c r="G35" i="7" s="1"/>
  <c r="F36" i="7" s="1"/>
  <c r="G36" i="7" s="1"/>
  <c r="F37" i="7" s="1"/>
  <c r="G37" i="7" s="1"/>
  <c r="F38" i="7" s="1"/>
  <c r="G38" i="7" s="1"/>
  <c r="F39" i="7" s="1"/>
  <c r="G39" i="7" s="1"/>
  <c r="F40" i="7" s="1"/>
  <c r="G40" i="7" s="1"/>
  <c r="F41" i="7" s="1"/>
  <c r="G41" i="7" s="1"/>
  <c r="F42" i="7" s="1"/>
  <c r="G42" i="7" s="1"/>
  <c r="F43" i="7" s="1"/>
  <c r="G43" i="7" s="1"/>
  <c r="F44" i="7" s="1"/>
  <c r="G44" i="7" s="1"/>
  <c r="F45" i="7" s="1"/>
  <c r="G45" i="7" s="1"/>
  <c r="F46" i="7" s="1"/>
  <c r="G46" i="7" s="1"/>
  <c r="F47" i="7" s="1"/>
  <c r="G47" i="7" s="1"/>
  <c r="F48" i="7" s="1"/>
  <c r="G48" i="7" s="1"/>
  <c r="F49" i="7" s="1"/>
  <c r="G49" i="7" s="1"/>
  <c r="F50" i="7" s="1"/>
  <c r="G50" i="7" s="1"/>
  <c r="F51" i="7" s="1"/>
  <c r="G51" i="7" s="1"/>
  <c r="F52" i="7" s="1"/>
  <c r="G52" i="7" s="1"/>
  <c r="F53" i="7" s="1"/>
  <c r="G53" i="7" s="1"/>
  <c r="F54" i="7" s="1"/>
  <c r="G54" i="7" s="1"/>
  <c r="F55" i="7" s="1"/>
  <c r="G55" i="7" s="1"/>
  <c r="F56" i="7" s="1"/>
  <c r="G56" i="7" s="1"/>
  <c r="F57" i="7" s="1"/>
  <c r="G57" i="7" s="1"/>
  <c r="F58" i="7" s="1"/>
  <c r="G58" i="7" s="1"/>
  <c r="F59" i="7" s="1"/>
  <c r="G59" i="7" s="1"/>
  <c r="F60" i="7" s="1"/>
  <c r="G60" i="7" s="1"/>
  <c r="F61" i="7" s="1"/>
  <c r="G61" i="7" s="1"/>
  <c r="F62" i="7" s="1"/>
  <c r="G62" i="7" s="1"/>
  <c r="F63" i="7" s="1"/>
  <c r="G63" i="7" s="1"/>
  <c r="F64" i="7" s="1"/>
  <c r="G64" i="7" s="1"/>
  <c r="F65" i="7" s="1"/>
  <c r="G65" i="7" s="1"/>
  <c r="F66" i="7" s="1"/>
  <c r="G66" i="7" s="1"/>
  <c r="F67" i="7" s="1"/>
  <c r="G67" i="7" s="1"/>
  <c r="F68" i="7" s="1"/>
  <c r="G68" i="7" s="1"/>
  <c r="F69" i="7" s="1"/>
  <c r="G69" i="7" s="1"/>
  <c r="F70" i="7" s="1"/>
  <c r="G70" i="7" s="1"/>
  <c r="F71" i="7" s="1"/>
  <c r="G71" i="7" s="1"/>
  <c r="F72" i="7" s="1"/>
  <c r="G72" i="7" s="1"/>
  <c r="F73" i="7" s="1"/>
  <c r="G73" i="7" s="1"/>
  <c r="F74" i="7" s="1"/>
  <c r="G74" i="7" s="1"/>
  <c r="F75" i="7" s="1"/>
  <c r="G75" i="7" s="1"/>
  <c r="F76" i="7" s="1"/>
  <c r="G76" i="7" s="1"/>
  <c r="F77" i="7" s="1"/>
  <c r="G77" i="7" s="1"/>
  <c r="F78" i="7" s="1"/>
  <c r="G78" i="7" s="1"/>
  <c r="F79" i="7" s="1"/>
  <c r="G79" i="7" s="1"/>
  <c r="F80" i="7" s="1"/>
  <c r="G80" i="7" s="1"/>
  <c r="F81" i="7" s="1"/>
  <c r="G81" i="7" s="1"/>
  <c r="F82" i="7" s="1"/>
  <c r="G82" i="7" s="1"/>
  <c r="F83" i="7" s="1"/>
  <c r="G83" i="7" s="1"/>
  <c r="F84" i="7" s="1"/>
  <c r="G84" i="7" s="1"/>
  <c r="F85" i="7" s="1"/>
  <c r="G85" i="7" s="1"/>
  <c r="F86" i="7" s="1"/>
  <c r="G86" i="7" s="1"/>
  <c r="F87" i="7" s="1"/>
  <c r="G87" i="7" s="1"/>
  <c r="F88" i="7" s="1"/>
  <c r="G88" i="7" s="1"/>
  <c r="F89" i="7" s="1"/>
  <c r="G89" i="7" s="1"/>
  <c r="F90" i="7" s="1"/>
  <c r="G90" i="7" s="1"/>
  <c r="F91" i="7" s="1"/>
  <c r="G91" i="7" s="1"/>
  <c r="F92" i="7" s="1"/>
  <c r="G92" i="7" s="1"/>
  <c r="F93" i="7" s="1"/>
  <c r="G93" i="7" s="1"/>
  <c r="F94" i="7" s="1"/>
  <c r="G94" i="7" s="1"/>
  <c r="F95" i="7" s="1"/>
  <c r="G95" i="7" s="1"/>
  <c r="F96" i="7" s="1"/>
  <c r="G96" i="7" s="1"/>
  <c r="F97" i="7" s="1"/>
  <c r="G97" i="7" s="1"/>
  <c r="F98" i="7" s="1"/>
  <c r="G98" i="7" s="1"/>
  <c r="F99" i="7" s="1"/>
  <c r="G99" i="7" s="1"/>
  <c r="F100" i="7" s="1"/>
  <c r="G100" i="7" s="1"/>
  <c r="F101" i="7" s="1"/>
  <c r="G101" i="7" s="1"/>
  <c r="F102" i="7" s="1"/>
  <c r="G102" i="7" s="1"/>
  <c r="F103" i="7" s="1"/>
  <c r="G103" i="7" s="1"/>
  <c r="P4" i="7"/>
  <c r="O5" i="7" s="1"/>
  <c r="P5" i="7" s="1"/>
  <c r="O6" i="7" s="1"/>
  <c r="P6" i="7" s="1"/>
  <c r="O7" i="7" s="1"/>
  <c r="P7" i="7" s="1"/>
  <c r="O8" i="7" s="1"/>
  <c r="P8" i="7" s="1"/>
  <c r="O9" i="7" s="1"/>
  <c r="P9" i="7" s="1"/>
  <c r="Y4" i="7"/>
  <c r="X5" i="7" s="1"/>
  <c r="Y5" i="7" s="1"/>
  <c r="X6" i="7" s="1"/>
  <c r="Y6" i="7" s="1"/>
  <c r="X7" i="7" s="1"/>
  <c r="Y7" i="7" s="1"/>
  <c r="X8" i="7" s="1"/>
  <c r="Y8" i="7" s="1"/>
  <c r="X9" i="7" s="1"/>
  <c r="Y9" i="7" s="1"/>
  <c r="X10" i="7" s="1"/>
  <c r="Y10" i="7" s="1"/>
  <c r="X11" i="7" s="1"/>
  <c r="Y11" i="7" s="1"/>
  <c r="X12" i="7" s="1"/>
  <c r="Y12" i="7" s="1"/>
  <c r="X13" i="7" s="1"/>
  <c r="Y13" i="7" s="1"/>
  <c r="X14" i="7" s="1"/>
  <c r="Y14" i="7" s="1"/>
  <c r="X15" i="7" s="1"/>
  <c r="Y15" i="7" s="1"/>
  <c r="X16" i="7" s="1"/>
  <c r="Y16" i="7" s="1"/>
  <c r="X17" i="7" s="1"/>
  <c r="Y17" i="7" s="1"/>
  <c r="X18" i="7" s="1"/>
  <c r="Y18" i="7" s="1"/>
  <c r="X19" i="7" s="1"/>
  <c r="Y19" i="7" s="1"/>
  <c r="X20" i="7" s="1"/>
  <c r="Y20" i="7" s="1"/>
  <c r="X21" i="7" s="1"/>
  <c r="Y21" i="7" s="1"/>
  <c r="X22" i="7" s="1"/>
  <c r="Y22" i="7" s="1"/>
  <c r="X23" i="7" s="1"/>
  <c r="Y23" i="7" s="1"/>
  <c r="X24" i="7" s="1"/>
  <c r="Y24" i="7" s="1"/>
  <c r="X25" i="7" s="1"/>
  <c r="Y25" i="7" s="1"/>
  <c r="X26" i="7" s="1"/>
  <c r="Y26" i="7" s="1"/>
  <c r="X27" i="7" s="1"/>
  <c r="Y27" i="7" s="1"/>
  <c r="X28" i="7" s="1"/>
  <c r="Y28" i="7" s="1"/>
  <c r="X29" i="7" s="1"/>
  <c r="Y29" i="7" s="1"/>
  <c r="X30" i="7" s="1"/>
  <c r="Y30" i="7" s="1"/>
  <c r="X31" i="7" s="1"/>
  <c r="Y31" i="7" s="1"/>
  <c r="X32" i="7" s="1"/>
  <c r="Y32" i="7" s="1"/>
  <c r="X33" i="7" s="1"/>
  <c r="Y33" i="7" s="1"/>
  <c r="X34" i="7" s="1"/>
  <c r="Y34" i="7" s="1"/>
  <c r="X35" i="7" s="1"/>
  <c r="Y35" i="7" s="1"/>
  <c r="X36" i="7" s="1"/>
  <c r="Y36" i="7" s="1"/>
  <c r="X37" i="7" s="1"/>
  <c r="Y37" i="7" s="1"/>
  <c r="X38" i="7" s="1"/>
  <c r="Y38" i="7" s="1"/>
  <c r="X39" i="7" s="1"/>
  <c r="Y39" i="7" s="1"/>
  <c r="X40" i="7" s="1"/>
  <c r="Y40" i="7" s="1"/>
  <c r="X41" i="7" s="1"/>
  <c r="Y41" i="7" s="1"/>
  <c r="X42" i="7" s="1"/>
  <c r="Y42" i="7" s="1"/>
  <c r="X43" i="7" s="1"/>
  <c r="Y43" i="7" s="1"/>
  <c r="X44" i="7" s="1"/>
  <c r="Y44" i="7" s="1"/>
  <c r="X45" i="7" s="1"/>
  <c r="Y45" i="7" s="1"/>
  <c r="X46" i="7" s="1"/>
  <c r="Y46" i="7" s="1"/>
  <c r="X47" i="7" s="1"/>
  <c r="Y47" i="7" s="1"/>
  <c r="X48" i="7" s="1"/>
  <c r="Y48" i="7" s="1"/>
  <c r="X49" i="7" s="1"/>
  <c r="Y49" i="7" s="1"/>
  <c r="X50" i="7" s="1"/>
  <c r="Y50" i="7" s="1"/>
  <c r="X51" i="7" s="1"/>
  <c r="Y51" i="7" s="1"/>
  <c r="X52" i="7" s="1"/>
  <c r="Y52" i="7" s="1"/>
  <c r="X53" i="7" s="1"/>
  <c r="Y53" i="7" s="1"/>
  <c r="X54" i="7" s="1"/>
  <c r="Y54" i="7" s="1"/>
  <c r="X55" i="7" s="1"/>
  <c r="Y55" i="7" s="1"/>
  <c r="X56" i="7" s="1"/>
  <c r="Y56" i="7" s="1"/>
  <c r="X57" i="7" s="1"/>
  <c r="Y57" i="7" s="1"/>
  <c r="X58" i="7" s="1"/>
  <c r="Y58" i="7" s="1"/>
  <c r="X59" i="7" s="1"/>
  <c r="Y59" i="7" s="1"/>
  <c r="X60" i="7" s="1"/>
  <c r="Y60" i="7" s="1"/>
  <c r="X61" i="7" s="1"/>
  <c r="Y61" i="7" s="1"/>
  <c r="X62" i="7" s="1"/>
  <c r="Y62" i="7" s="1"/>
  <c r="X63" i="7" s="1"/>
  <c r="Y63" i="7" s="1"/>
  <c r="X64" i="7" s="1"/>
  <c r="Y64" i="7" s="1"/>
  <c r="X65" i="7" s="1"/>
  <c r="Y65" i="7" s="1"/>
  <c r="X66" i="7" s="1"/>
  <c r="Y66" i="7" s="1"/>
  <c r="X67" i="7" s="1"/>
  <c r="Y67" i="7" s="1"/>
  <c r="X68" i="7" s="1"/>
  <c r="Y68" i="7" s="1"/>
  <c r="X69" i="7" s="1"/>
  <c r="Y69" i="7" s="1"/>
  <c r="X70" i="7" s="1"/>
  <c r="Y70" i="7" s="1"/>
  <c r="X71" i="7" s="1"/>
  <c r="Y71" i="7" s="1"/>
  <c r="X72" i="7" s="1"/>
  <c r="Y72" i="7" s="1"/>
  <c r="X73" i="7" s="1"/>
  <c r="Y73" i="7" s="1"/>
  <c r="X74" i="7" s="1"/>
  <c r="Y74" i="7" s="1"/>
  <c r="X75" i="7" s="1"/>
  <c r="Y75" i="7" s="1"/>
  <c r="X76" i="7" s="1"/>
  <c r="Y76" i="7" s="1"/>
  <c r="X77" i="7" s="1"/>
  <c r="Y77" i="7" s="1"/>
  <c r="X78" i="7" s="1"/>
  <c r="Y78" i="7" s="1"/>
  <c r="X79" i="7" s="1"/>
  <c r="Y79" i="7" s="1"/>
  <c r="X80" i="7" s="1"/>
  <c r="Y80" i="7" s="1"/>
  <c r="X81" i="7" s="1"/>
  <c r="Y81" i="7" s="1"/>
  <c r="X82" i="7" s="1"/>
  <c r="Y82" i="7" s="1"/>
  <c r="X83" i="7" s="1"/>
  <c r="Y83" i="7" s="1"/>
  <c r="X84" i="7" s="1"/>
  <c r="Y84" i="7" s="1"/>
  <c r="X85" i="7" s="1"/>
  <c r="Y85" i="7" s="1"/>
  <c r="X86" i="7" s="1"/>
  <c r="Y86" i="7" s="1"/>
  <c r="X87" i="7" s="1"/>
  <c r="Y87" i="7" s="1"/>
  <c r="X88" i="7" s="1"/>
  <c r="Y88" i="7" s="1"/>
  <c r="X89" i="7" s="1"/>
  <c r="Y89" i="7" s="1"/>
  <c r="X90" i="7" s="1"/>
  <c r="Y90" i="7" s="1"/>
  <c r="X91" i="7" s="1"/>
  <c r="Y91" i="7" s="1"/>
  <c r="X92" i="7" s="1"/>
  <c r="Y92" i="7" s="1"/>
  <c r="X93" i="7" s="1"/>
  <c r="Y93" i="7" s="1"/>
  <c r="X94" i="7" s="1"/>
  <c r="Y94" i="7" s="1"/>
  <c r="X95" i="7" s="1"/>
  <c r="Y95" i="7" s="1"/>
  <c r="X96" i="7" s="1"/>
  <c r="Y96" i="7" s="1"/>
  <c r="X97" i="7" s="1"/>
  <c r="Y97" i="7" s="1"/>
  <c r="X98" i="7" s="1"/>
  <c r="Y98" i="7" s="1"/>
  <c r="X99" i="7" s="1"/>
  <c r="Y99" i="7" s="1"/>
  <c r="X100" i="7" s="1"/>
  <c r="Y100" i="7" s="1"/>
  <c r="X101" i="7" s="1"/>
  <c r="Y101" i="7" s="1"/>
  <c r="X102" i="7" s="1"/>
  <c r="Y102" i="7" s="1"/>
  <c r="X103" i="7" s="1"/>
  <c r="Y103" i="7" s="1"/>
  <c r="AQ4" i="7"/>
  <c r="AP5" i="7" s="1"/>
  <c r="AQ5" i="7" s="1"/>
  <c r="AP6" i="7" s="1"/>
  <c r="AQ6" i="7" s="1"/>
  <c r="AP7" i="7" s="1"/>
  <c r="AQ7" i="7" s="1"/>
  <c r="AP8" i="7" s="1"/>
  <c r="AQ8" i="7" s="1"/>
  <c r="AP9" i="7" s="1"/>
  <c r="AQ9" i="7" s="1"/>
  <c r="AP10" i="7" s="1"/>
  <c r="AQ10" i="7" s="1"/>
  <c r="AP11" i="7" s="1"/>
  <c r="AQ11" i="7" s="1"/>
  <c r="AP12" i="7" s="1"/>
  <c r="AQ12" i="7" s="1"/>
  <c r="AP13" i="7" s="1"/>
  <c r="AQ13" i="7" s="1"/>
  <c r="AP14" i="7" s="1"/>
  <c r="AQ14" i="7" s="1"/>
  <c r="AP15" i="7" s="1"/>
  <c r="AQ15" i="7" s="1"/>
  <c r="AP16" i="7" s="1"/>
  <c r="AQ16" i="7" s="1"/>
  <c r="AP17" i="7" s="1"/>
  <c r="AQ17" i="7" s="1"/>
  <c r="AP18" i="7" s="1"/>
  <c r="AQ18" i="7" s="1"/>
  <c r="AP19" i="7" s="1"/>
  <c r="AQ19" i="7" s="1"/>
  <c r="AP20" i="7" s="1"/>
  <c r="AQ20" i="7" s="1"/>
  <c r="AP21" i="7" s="1"/>
  <c r="AQ21" i="7" s="1"/>
  <c r="AP22" i="7" s="1"/>
  <c r="AQ22" i="7" s="1"/>
  <c r="AP23" i="7" s="1"/>
  <c r="AQ23" i="7" s="1"/>
  <c r="AP24" i="7" s="1"/>
  <c r="AQ24" i="7" s="1"/>
  <c r="AP25" i="7" s="1"/>
  <c r="AQ25" i="7" s="1"/>
  <c r="AP26" i="7" s="1"/>
  <c r="AQ26" i="7" s="1"/>
  <c r="AP27" i="7" s="1"/>
  <c r="AQ27" i="7" s="1"/>
  <c r="AP28" i="7" s="1"/>
  <c r="AQ28" i="7" s="1"/>
  <c r="AP29" i="7" s="1"/>
  <c r="AQ29" i="7" s="1"/>
  <c r="AP30" i="7" s="1"/>
  <c r="AQ30" i="7" s="1"/>
  <c r="AP31" i="7" s="1"/>
  <c r="AQ31" i="7" s="1"/>
  <c r="AP32" i="7" s="1"/>
  <c r="AQ32" i="7" s="1"/>
  <c r="AP33" i="7" s="1"/>
  <c r="AQ33" i="7" s="1"/>
  <c r="AP34" i="7" s="1"/>
  <c r="AQ34" i="7" s="1"/>
  <c r="AP35" i="7" s="1"/>
  <c r="AQ35" i="7" s="1"/>
  <c r="AP36" i="7" s="1"/>
  <c r="AQ36" i="7" s="1"/>
  <c r="AP37" i="7" s="1"/>
  <c r="AQ37" i="7" s="1"/>
  <c r="AP38" i="7" s="1"/>
  <c r="AQ38" i="7" s="1"/>
  <c r="AP39" i="7" s="1"/>
  <c r="AQ39" i="7" s="1"/>
  <c r="AP40" i="7" s="1"/>
  <c r="AQ40" i="7" s="1"/>
  <c r="AP41" i="7" s="1"/>
  <c r="AQ41" i="7" s="1"/>
  <c r="AP42" i="7" s="1"/>
  <c r="AQ42" i="7" s="1"/>
  <c r="AP43" i="7" s="1"/>
  <c r="AQ43" i="7" s="1"/>
  <c r="AP44" i="7" s="1"/>
  <c r="AQ44" i="7" s="1"/>
  <c r="AP45" i="7" s="1"/>
  <c r="AQ45" i="7" s="1"/>
  <c r="AP46" i="7" s="1"/>
  <c r="AQ46" i="7" s="1"/>
  <c r="AP47" i="7" s="1"/>
  <c r="AQ47" i="7" s="1"/>
  <c r="AP48" i="7" s="1"/>
  <c r="AQ48" i="7" s="1"/>
  <c r="AP49" i="7" s="1"/>
  <c r="AQ49" i="7" s="1"/>
  <c r="AP50" i="7" s="1"/>
  <c r="AQ50" i="7" s="1"/>
  <c r="AP51" i="7" s="1"/>
  <c r="AQ51" i="7" s="1"/>
  <c r="AP52" i="7" s="1"/>
  <c r="AQ52" i="7" s="1"/>
  <c r="AP53" i="7" s="1"/>
  <c r="AQ53" i="7" s="1"/>
  <c r="AP54" i="7" s="1"/>
  <c r="AQ54" i="7" s="1"/>
  <c r="AP55" i="7" s="1"/>
  <c r="AQ55" i="7" s="1"/>
  <c r="AP56" i="7" s="1"/>
  <c r="AQ56" i="7" s="1"/>
  <c r="AP57" i="7" s="1"/>
  <c r="AQ57" i="7" s="1"/>
  <c r="AP58" i="7" s="1"/>
  <c r="AQ58" i="7" s="1"/>
  <c r="AP59" i="7" s="1"/>
  <c r="AQ59" i="7" s="1"/>
  <c r="AP60" i="7" s="1"/>
  <c r="AQ60" i="7" s="1"/>
  <c r="AP61" i="7" s="1"/>
  <c r="AQ61" i="7" s="1"/>
  <c r="AP62" i="7" s="1"/>
  <c r="AQ62" i="7" s="1"/>
  <c r="AP63" i="7" s="1"/>
  <c r="AQ63" i="7" s="1"/>
  <c r="AP64" i="7" s="1"/>
  <c r="AQ64" i="7" s="1"/>
  <c r="AP65" i="7" s="1"/>
  <c r="AQ65" i="7" s="1"/>
  <c r="AP66" i="7" s="1"/>
  <c r="AQ66" i="7" s="1"/>
  <c r="AP67" i="7" s="1"/>
  <c r="AQ67" i="7" s="1"/>
  <c r="AP68" i="7" s="1"/>
  <c r="AQ68" i="7" s="1"/>
  <c r="AP69" i="7" s="1"/>
  <c r="AQ69" i="7" s="1"/>
  <c r="AP70" i="7" s="1"/>
  <c r="AQ70" i="7" s="1"/>
  <c r="AP71" i="7" s="1"/>
  <c r="AQ71" i="7" s="1"/>
  <c r="AP72" i="7" s="1"/>
  <c r="AQ72" i="7" s="1"/>
  <c r="AP73" i="7" s="1"/>
  <c r="AQ73" i="7" s="1"/>
  <c r="AP74" i="7" s="1"/>
  <c r="AQ74" i="7" s="1"/>
  <c r="AP75" i="7" s="1"/>
  <c r="AQ75" i="7" s="1"/>
  <c r="AP76" i="7" s="1"/>
  <c r="AQ76" i="7" s="1"/>
  <c r="AP77" i="7" s="1"/>
  <c r="AQ77" i="7" s="1"/>
  <c r="AP78" i="7" s="1"/>
  <c r="AQ78" i="7" s="1"/>
  <c r="AP79" i="7" s="1"/>
  <c r="AQ79" i="7" s="1"/>
  <c r="AP80" i="7" s="1"/>
  <c r="AQ80" i="7" s="1"/>
  <c r="AP81" i="7" s="1"/>
  <c r="AQ81" i="7" s="1"/>
  <c r="AP82" i="7" s="1"/>
  <c r="AQ82" i="7" s="1"/>
  <c r="AP83" i="7" s="1"/>
  <c r="AQ83" i="7" s="1"/>
  <c r="AP84" i="7" s="1"/>
  <c r="AQ84" i="7" s="1"/>
  <c r="AP85" i="7" s="1"/>
  <c r="AQ85" i="7" s="1"/>
  <c r="AP86" i="7" s="1"/>
  <c r="AQ86" i="7" s="1"/>
  <c r="AP87" i="7" s="1"/>
  <c r="AQ87" i="7" s="1"/>
  <c r="AP88" i="7" s="1"/>
  <c r="AQ88" i="7" s="1"/>
  <c r="AP89" i="7" s="1"/>
  <c r="AQ89" i="7" s="1"/>
  <c r="AP90" i="7" s="1"/>
  <c r="AQ90" i="7" s="1"/>
  <c r="AP91" i="7" s="1"/>
  <c r="AQ91" i="7" s="1"/>
  <c r="AP92" i="7" s="1"/>
  <c r="AQ92" i="7" s="1"/>
  <c r="AP93" i="7" s="1"/>
  <c r="AQ93" i="7" s="1"/>
  <c r="AP94" i="7" s="1"/>
  <c r="AQ94" i="7" s="1"/>
  <c r="AP95" i="7" s="1"/>
  <c r="AQ95" i="7" s="1"/>
  <c r="AP96" i="7" s="1"/>
  <c r="AQ96" i="7" s="1"/>
  <c r="AP97" i="7" s="1"/>
  <c r="AQ97" i="7" s="1"/>
  <c r="AP98" i="7" s="1"/>
  <c r="AQ98" i="7" s="1"/>
  <c r="AP99" i="7" s="1"/>
  <c r="AQ99" i="7" s="1"/>
  <c r="AP100" i="7" s="1"/>
  <c r="AQ100" i="7" s="1"/>
  <c r="AP101" i="7" s="1"/>
  <c r="AQ101" i="7" s="1"/>
  <c r="AP102" i="7" s="1"/>
  <c r="AQ102" i="7" s="1"/>
  <c r="AP103" i="7" s="1"/>
  <c r="AQ103" i="7" s="1"/>
  <c r="AW4" i="7"/>
  <c r="AV5" i="7" s="1"/>
  <c r="AW5" i="7" s="1"/>
  <c r="AV6" i="7" s="1"/>
  <c r="AW6" i="7" s="1"/>
  <c r="AV7" i="7" s="1"/>
  <c r="AW7" i="7" s="1"/>
  <c r="AV8" i="7" s="1"/>
  <c r="AW8" i="7" s="1"/>
  <c r="AV9" i="7" s="1"/>
  <c r="AW9" i="7" s="1"/>
  <c r="AV10" i="7" s="1"/>
  <c r="AW10" i="7" s="1"/>
  <c r="AV11" i="7" s="1"/>
  <c r="AW11" i="7" s="1"/>
  <c r="AV12" i="7" s="1"/>
  <c r="AW12" i="7" s="1"/>
  <c r="AV13" i="7" s="1"/>
  <c r="AW13" i="7" s="1"/>
  <c r="AV14" i="7" s="1"/>
  <c r="AW14" i="7" s="1"/>
  <c r="AV15" i="7" s="1"/>
  <c r="AW15" i="7" s="1"/>
  <c r="AV16" i="7" s="1"/>
  <c r="AW16" i="7" s="1"/>
  <c r="AV17" i="7" s="1"/>
  <c r="AW17" i="7" s="1"/>
  <c r="AV18" i="7" s="1"/>
  <c r="AW18" i="7" s="1"/>
  <c r="AV19" i="7" s="1"/>
  <c r="AW19" i="7" s="1"/>
  <c r="AV20" i="7" s="1"/>
  <c r="AW20" i="7" s="1"/>
  <c r="AV21" i="7" s="1"/>
  <c r="AW21" i="7" s="1"/>
  <c r="AV22" i="7" s="1"/>
  <c r="AW22" i="7" s="1"/>
  <c r="AV23" i="7" s="1"/>
  <c r="AW23" i="7" s="1"/>
  <c r="AV24" i="7" s="1"/>
  <c r="AW24" i="7" s="1"/>
  <c r="AV25" i="7" s="1"/>
  <c r="AW25" i="7" s="1"/>
  <c r="AV26" i="7" s="1"/>
  <c r="AW26" i="7" s="1"/>
  <c r="AV27" i="7" s="1"/>
  <c r="AW27" i="7" s="1"/>
  <c r="AV28" i="7" s="1"/>
  <c r="AW28" i="7" s="1"/>
  <c r="AV29" i="7" s="1"/>
  <c r="AW29" i="7" s="1"/>
  <c r="AV30" i="7" s="1"/>
  <c r="AW30" i="7" s="1"/>
  <c r="AV31" i="7" s="1"/>
  <c r="AW31" i="7" s="1"/>
  <c r="AV32" i="7" s="1"/>
  <c r="AW32" i="7" s="1"/>
  <c r="AV33" i="7" s="1"/>
  <c r="AW33" i="7" s="1"/>
  <c r="AV34" i="7" s="1"/>
  <c r="AW34" i="7" s="1"/>
  <c r="AV35" i="7" s="1"/>
  <c r="AW35" i="7" s="1"/>
  <c r="AV36" i="7" s="1"/>
  <c r="AW36" i="7" s="1"/>
  <c r="AV37" i="7" s="1"/>
  <c r="AW37" i="7" s="1"/>
  <c r="AV38" i="7" s="1"/>
  <c r="AW38" i="7" s="1"/>
  <c r="AV39" i="7" s="1"/>
  <c r="AW39" i="7" s="1"/>
  <c r="AV40" i="7" s="1"/>
  <c r="AW40" i="7" s="1"/>
  <c r="AV41" i="7" s="1"/>
  <c r="AW41" i="7" s="1"/>
  <c r="AV42" i="7" s="1"/>
  <c r="AW42" i="7" s="1"/>
  <c r="AV43" i="7" s="1"/>
  <c r="AW43" i="7" s="1"/>
  <c r="AV44" i="7" s="1"/>
  <c r="AW44" i="7" s="1"/>
  <c r="AV45" i="7" s="1"/>
  <c r="AW45" i="7" s="1"/>
  <c r="AV46" i="7" s="1"/>
  <c r="AW46" i="7" s="1"/>
  <c r="AV47" i="7" s="1"/>
  <c r="AW47" i="7" s="1"/>
  <c r="AV48" i="7" s="1"/>
  <c r="AW48" i="7" s="1"/>
  <c r="AV49" i="7" s="1"/>
  <c r="AW49" i="7" s="1"/>
  <c r="AV50" i="7" s="1"/>
  <c r="AW50" i="7" s="1"/>
  <c r="AV51" i="7" s="1"/>
  <c r="AW51" i="7" s="1"/>
  <c r="AV52" i="7" s="1"/>
  <c r="AW52" i="7" s="1"/>
  <c r="AV53" i="7" s="1"/>
  <c r="AW53" i="7" s="1"/>
  <c r="AV54" i="7" s="1"/>
  <c r="AW54" i="7" s="1"/>
  <c r="AV55" i="7" s="1"/>
  <c r="AW55" i="7" s="1"/>
  <c r="AV56" i="7" s="1"/>
  <c r="AW56" i="7" s="1"/>
  <c r="AV57" i="7" s="1"/>
  <c r="AW57" i="7" s="1"/>
  <c r="AV58" i="7" s="1"/>
  <c r="AW58" i="7" s="1"/>
  <c r="AV59" i="7" s="1"/>
  <c r="AW59" i="7" s="1"/>
  <c r="AV60" i="7" s="1"/>
  <c r="AW60" i="7" s="1"/>
  <c r="AV61" i="7" s="1"/>
  <c r="AW61" i="7" s="1"/>
  <c r="AV62" i="7" s="1"/>
  <c r="AW62" i="7" s="1"/>
  <c r="AV63" i="7" s="1"/>
  <c r="AW63" i="7" s="1"/>
  <c r="AV64" i="7" s="1"/>
  <c r="AW64" i="7" s="1"/>
  <c r="AV65" i="7" s="1"/>
  <c r="AW65" i="7" s="1"/>
  <c r="AV66" i="7" s="1"/>
  <c r="AW66" i="7" s="1"/>
  <c r="AV67" i="7" s="1"/>
  <c r="AW67" i="7" s="1"/>
  <c r="AV68" i="7" s="1"/>
  <c r="AW68" i="7" s="1"/>
  <c r="AV69" i="7" s="1"/>
  <c r="AW69" i="7" s="1"/>
  <c r="AV70" i="7" s="1"/>
  <c r="AW70" i="7" s="1"/>
  <c r="AV71" i="7" s="1"/>
  <c r="AW71" i="7" s="1"/>
  <c r="AV72" i="7" s="1"/>
  <c r="AW72" i="7" s="1"/>
  <c r="AV73" i="7" s="1"/>
  <c r="AW73" i="7" s="1"/>
  <c r="AV74" i="7" s="1"/>
  <c r="AW74" i="7" s="1"/>
  <c r="AV75" i="7" s="1"/>
  <c r="AW75" i="7" s="1"/>
  <c r="AV76" i="7" s="1"/>
  <c r="AW76" i="7" s="1"/>
  <c r="AV77" i="7" s="1"/>
  <c r="AW77" i="7" s="1"/>
  <c r="AV78" i="7" s="1"/>
  <c r="AW78" i="7" s="1"/>
  <c r="AV79" i="7" s="1"/>
  <c r="AW79" i="7" s="1"/>
  <c r="AV80" i="7" s="1"/>
  <c r="AW80" i="7" s="1"/>
  <c r="AV81" i="7" s="1"/>
  <c r="AW81" i="7" s="1"/>
  <c r="AV82" i="7" s="1"/>
  <c r="AW82" i="7" s="1"/>
  <c r="AV83" i="7" s="1"/>
  <c r="AW83" i="7" s="1"/>
  <c r="AV84" i="7" s="1"/>
  <c r="AW84" i="7" s="1"/>
  <c r="AV85" i="7" s="1"/>
  <c r="AW85" i="7" s="1"/>
  <c r="AV86" i="7" s="1"/>
  <c r="AW86" i="7" s="1"/>
  <c r="AV87" i="7" s="1"/>
  <c r="AW87" i="7" s="1"/>
  <c r="AV88" i="7" s="1"/>
  <c r="AW88" i="7" s="1"/>
  <c r="AV89" i="7" s="1"/>
  <c r="AW89" i="7" s="1"/>
  <c r="AV90" i="7" s="1"/>
  <c r="AW90" i="7" s="1"/>
  <c r="AV91" i="7" s="1"/>
  <c r="AW91" i="7" s="1"/>
  <c r="AV92" i="7" s="1"/>
  <c r="AW92" i="7" s="1"/>
  <c r="AV93" i="7" s="1"/>
  <c r="AW93" i="7" s="1"/>
  <c r="AV94" i="7" s="1"/>
  <c r="AW94" i="7" s="1"/>
  <c r="AV95" i="7" s="1"/>
  <c r="AW95" i="7" s="1"/>
  <c r="AV96" i="7" s="1"/>
  <c r="AW96" i="7" s="1"/>
  <c r="AV97" i="7" s="1"/>
  <c r="AW97" i="7" s="1"/>
  <c r="AV98" i="7" s="1"/>
  <c r="AW98" i="7" s="1"/>
  <c r="AV99" i="7" s="1"/>
  <c r="AW99" i="7" s="1"/>
  <c r="AV100" i="7" s="1"/>
  <c r="AW100" i="7" s="1"/>
  <c r="AV101" i="7" s="1"/>
  <c r="AW101" i="7" s="1"/>
  <c r="AV102" i="7" s="1"/>
  <c r="AW102" i="7" s="1"/>
  <c r="AV103" i="7" s="1"/>
  <c r="AW103" i="7" s="1"/>
  <c r="CS6" i="7"/>
  <c r="CR7" i="7" s="1"/>
  <c r="AH4" i="7"/>
  <c r="AG5" i="7" s="1"/>
  <c r="AH5" i="7" s="1"/>
  <c r="AG6" i="7" s="1"/>
  <c r="AH6" i="7" s="1"/>
  <c r="AG7" i="7" s="1"/>
  <c r="AH7" i="7" s="1"/>
  <c r="AG8" i="7" s="1"/>
  <c r="AH8" i="7" s="1"/>
  <c r="AG9" i="7" s="1"/>
  <c r="AH9" i="7" s="1"/>
  <c r="AG10" i="7" s="1"/>
  <c r="AH10" i="7" s="1"/>
  <c r="AG11" i="7" s="1"/>
  <c r="AH11" i="7" s="1"/>
  <c r="AG12" i="7" s="1"/>
  <c r="AH12" i="7" s="1"/>
  <c r="AG13" i="7" s="1"/>
  <c r="AH13" i="7" s="1"/>
  <c r="AG14" i="7" s="1"/>
  <c r="AH14" i="7" s="1"/>
  <c r="AG15" i="7" s="1"/>
  <c r="AH15" i="7" s="1"/>
  <c r="AG16" i="7" s="1"/>
  <c r="AH16" i="7" s="1"/>
  <c r="AG17" i="7" s="1"/>
  <c r="AH17" i="7" s="1"/>
  <c r="AG18" i="7" s="1"/>
  <c r="AH18" i="7" s="1"/>
  <c r="AG19" i="7" s="1"/>
  <c r="AH19" i="7" s="1"/>
  <c r="AG20" i="7" s="1"/>
  <c r="AH20" i="7" s="1"/>
  <c r="AG21" i="7" s="1"/>
  <c r="AH21" i="7" s="1"/>
  <c r="AG22" i="7" s="1"/>
  <c r="AH22" i="7" s="1"/>
  <c r="AG23" i="7" s="1"/>
  <c r="AH23" i="7" s="1"/>
  <c r="AG24" i="7" s="1"/>
  <c r="AH24" i="7" s="1"/>
  <c r="AG25" i="7" s="1"/>
  <c r="AH25" i="7" s="1"/>
  <c r="AG26" i="7" s="1"/>
  <c r="AH26" i="7" s="1"/>
  <c r="AG27" i="7" s="1"/>
  <c r="AH27" i="7" s="1"/>
  <c r="AG28" i="7" s="1"/>
  <c r="AH28" i="7" s="1"/>
  <c r="AG29" i="7" s="1"/>
  <c r="AH29" i="7" s="1"/>
  <c r="AG30" i="7" s="1"/>
  <c r="AH30" i="7" s="1"/>
  <c r="AG31" i="7" s="1"/>
  <c r="AH31" i="7" s="1"/>
  <c r="AG32" i="7" s="1"/>
  <c r="AH32" i="7" s="1"/>
  <c r="AG33" i="7" s="1"/>
  <c r="AH33" i="7" s="1"/>
  <c r="AG34" i="7" s="1"/>
  <c r="AH34" i="7" s="1"/>
  <c r="AG35" i="7" s="1"/>
  <c r="AH35" i="7" s="1"/>
  <c r="AG36" i="7" s="1"/>
  <c r="AH36" i="7" s="1"/>
  <c r="AG37" i="7" s="1"/>
  <c r="AH37" i="7" s="1"/>
  <c r="AG38" i="7" s="1"/>
  <c r="AH38" i="7" s="1"/>
  <c r="AG39" i="7" s="1"/>
  <c r="AH39" i="7" s="1"/>
  <c r="AG40" i="7" s="1"/>
  <c r="AH40" i="7" s="1"/>
  <c r="AG41" i="7" s="1"/>
  <c r="AH41" i="7" s="1"/>
  <c r="AG42" i="7" s="1"/>
  <c r="AH42" i="7" s="1"/>
  <c r="AG43" i="7" s="1"/>
  <c r="AH43" i="7" s="1"/>
  <c r="AG44" i="7" s="1"/>
  <c r="AH44" i="7" s="1"/>
  <c r="AG45" i="7" s="1"/>
  <c r="AH45" i="7" s="1"/>
  <c r="AG46" i="7" s="1"/>
  <c r="AH46" i="7" s="1"/>
  <c r="AG47" i="7" s="1"/>
  <c r="AH47" i="7" s="1"/>
  <c r="AG48" i="7" s="1"/>
  <c r="AH48" i="7" s="1"/>
  <c r="AG49" i="7" s="1"/>
  <c r="AH49" i="7" s="1"/>
  <c r="AG50" i="7" s="1"/>
  <c r="AH50" i="7" s="1"/>
  <c r="AG51" i="7" s="1"/>
  <c r="AH51" i="7" s="1"/>
  <c r="AG52" i="7" s="1"/>
  <c r="AH52" i="7" s="1"/>
  <c r="AG53" i="7" s="1"/>
  <c r="AH53" i="7" s="1"/>
  <c r="AG54" i="7" s="1"/>
  <c r="AH54" i="7" s="1"/>
  <c r="AG55" i="7" s="1"/>
  <c r="AH55" i="7" s="1"/>
  <c r="AG56" i="7" s="1"/>
  <c r="AH56" i="7" s="1"/>
  <c r="AG57" i="7" s="1"/>
  <c r="AH57" i="7" s="1"/>
  <c r="AG58" i="7" s="1"/>
  <c r="AH58" i="7" s="1"/>
  <c r="AG59" i="7" s="1"/>
  <c r="AH59" i="7" s="1"/>
  <c r="AG60" i="7" s="1"/>
  <c r="AH60" i="7" s="1"/>
  <c r="AG61" i="7" s="1"/>
  <c r="AH61" i="7" s="1"/>
  <c r="AG62" i="7" s="1"/>
  <c r="AH62" i="7" s="1"/>
  <c r="AG63" i="7" s="1"/>
  <c r="AH63" i="7" s="1"/>
  <c r="AG64" i="7" s="1"/>
  <c r="AH64" i="7" s="1"/>
  <c r="AG65" i="7" s="1"/>
  <c r="AH65" i="7" s="1"/>
  <c r="AG66" i="7" s="1"/>
  <c r="AH66" i="7" s="1"/>
  <c r="AG67" i="7" s="1"/>
  <c r="AH67" i="7" s="1"/>
  <c r="AG68" i="7" s="1"/>
  <c r="AH68" i="7" s="1"/>
  <c r="AG69" i="7" s="1"/>
  <c r="AH69" i="7" s="1"/>
  <c r="AG70" i="7" s="1"/>
  <c r="AH70" i="7" s="1"/>
  <c r="AG71" i="7" s="1"/>
  <c r="AH71" i="7" s="1"/>
  <c r="AG72" i="7" s="1"/>
  <c r="AH72" i="7" s="1"/>
  <c r="AG73" i="7" s="1"/>
  <c r="AH73" i="7" s="1"/>
  <c r="AG74" i="7" s="1"/>
  <c r="AH74" i="7" s="1"/>
  <c r="AG75" i="7" s="1"/>
  <c r="AH75" i="7" s="1"/>
  <c r="AG76" i="7" s="1"/>
  <c r="AH76" i="7" s="1"/>
  <c r="AG77" i="7" s="1"/>
  <c r="AH77" i="7" s="1"/>
  <c r="AG78" i="7" s="1"/>
  <c r="AH78" i="7" s="1"/>
  <c r="AG79" i="7" s="1"/>
  <c r="AH79" i="7" s="1"/>
  <c r="AG80" i="7" s="1"/>
  <c r="AH80" i="7" s="1"/>
  <c r="AG81" i="7" s="1"/>
  <c r="AH81" i="7" s="1"/>
  <c r="AG82" i="7" s="1"/>
  <c r="AH82" i="7" s="1"/>
  <c r="AG83" i="7" s="1"/>
  <c r="AH83" i="7" s="1"/>
  <c r="AG84" i="7" s="1"/>
  <c r="AH84" i="7" s="1"/>
  <c r="AG85" i="7" s="1"/>
  <c r="AH85" i="7" s="1"/>
  <c r="AG86" i="7" s="1"/>
  <c r="AH86" i="7" s="1"/>
  <c r="AG87" i="7" s="1"/>
  <c r="AH87" i="7" s="1"/>
  <c r="AG88" i="7" s="1"/>
  <c r="AH88" i="7" s="1"/>
  <c r="AG89" i="7" s="1"/>
  <c r="AH89" i="7" s="1"/>
  <c r="AG90" i="7" s="1"/>
  <c r="AH90" i="7" s="1"/>
  <c r="AG91" i="7" s="1"/>
  <c r="AH91" i="7" s="1"/>
  <c r="AG92" i="7" s="1"/>
  <c r="AH92" i="7" s="1"/>
  <c r="AG93" i="7" s="1"/>
  <c r="AH93" i="7" s="1"/>
  <c r="AG94" i="7" s="1"/>
  <c r="AH94" i="7" s="1"/>
  <c r="AG95" i="7" s="1"/>
  <c r="AH95" i="7" s="1"/>
  <c r="AG96" i="7" s="1"/>
  <c r="AH96" i="7" s="1"/>
  <c r="AG97" i="7" s="1"/>
  <c r="AH97" i="7" s="1"/>
  <c r="AG98" i="7" s="1"/>
  <c r="AH98" i="7" s="1"/>
  <c r="AG99" i="7" s="1"/>
  <c r="AH99" i="7" s="1"/>
  <c r="AG100" i="7" s="1"/>
  <c r="AH100" i="7" s="1"/>
  <c r="AG101" i="7" s="1"/>
  <c r="AH101" i="7" s="1"/>
  <c r="AG102" i="7" s="1"/>
  <c r="AH102" i="7" s="1"/>
  <c r="AG103" i="7" s="1"/>
  <c r="AH103" i="7" s="1"/>
  <c r="AB4" i="7"/>
  <c r="AA5" i="7" s="1"/>
  <c r="AB5" i="7" s="1"/>
  <c r="AA6" i="7" s="1"/>
  <c r="AB6" i="7" s="1"/>
  <c r="AA7" i="7" s="1"/>
  <c r="AB7" i="7" s="1"/>
  <c r="AA8" i="7" s="1"/>
  <c r="AB8" i="7" s="1"/>
  <c r="AA9" i="7" s="1"/>
  <c r="AB9" i="7" s="1"/>
  <c r="AA10" i="7" s="1"/>
  <c r="AB10" i="7" s="1"/>
  <c r="AA11" i="7" s="1"/>
  <c r="AB11" i="7" s="1"/>
  <c r="AA12" i="7" s="1"/>
  <c r="AB12" i="7" s="1"/>
  <c r="AA13" i="7" s="1"/>
  <c r="AB13" i="7" s="1"/>
  <c r="AA14" i="7" s="1"/>
  <c r="AB14" i="7" s="1"/>
  <c r="AA15" i="7" s="1"/>
  <c r="AB15" i="7" s="1"/>
  <c r="AA16" i="7" s="1"/>
  <c r="AB16" i="7" s="1"/>
  <c r="AA17" i="7" s="1"/>
  <c r="AB17" i="7" s="1"/>
  <c r="AA18" i="7" s="1"/>
  <c r="AB18" i="7" s="1"/>
  <c r="AA19" i="7" s="1"/>
  <c r="AB19" i="7" s="1"/>
  <c r="AA20" i="7" s="1"/>
  <c r="AB20" i="7" s="1"/>
  <c r="AA21" i="7" s="1"/>
  <c r="AB21" i="7" s="1"/>
  <c r="AA22" i="7" s="1"/>
  <c r="AB22" i="7" s="1"/>
  <c r="AA23" i="7" s="1"/>
  <c r="AB23" i="7" s="1"/>
  <c r="AA24" i="7" s="1"/>
  <c r="AB24" i="7" s="1"/>
  <c r="AA25" i="7" s="1"/>
  <c r="AB25" i="7" s="1"/>
  <c r="AA26" i="7" s="1"/>
  <c r="AB26" i="7" s="1"/>
  <c r="AA27" i="7" s="1"/>
  <c r="AB27" i="7" s="1"/>
  <c r="AA28" i="7" s="1"/>
  <c r="AB28" i="7" s="1"/>
  <c r="AA29" i="7" s="1"/>
  <c r="AB29" i="7" s="1"/>
  <c r="AA30" i="7" s="1"/>
  <c r="AB30" i="7" s="1"/>
  <c r="AA31" i="7" s="1"/>
  <c r="AB31" i="7" s="1"/>
  <c r="AA32" i="7" s="1"/>
  <c r="AB32" i="7" s="1"/>
  <c r="AA33" i="7" s="1"/>
  <c r="AB33" i="7" s="1"/>
  <c r="AA34" i="7" s="1"/>
  <c r="AB34" i="7" s="1"/>
  <c r="AA35" i="7" s="1"/>
  <c r="AB35" i="7" s="1"/>
  <c r="AA36" i="7" s="1"/>
  <c r="AB36" i="7" s="1"/>
  <c r="AA37" i="7" s="1"/>
  <c r="AB37" i="7" s="1"/>
  <c r="AA38" i="7" s="1"/>
  <c r="AB38" i="7" s="1"/>
  <c r="AA39" i="7" s="1"/>
  <c r="AB39" i="7" s="1"/>
  <c r="AA40" i="7" s="1"/>
  <c r="AB40" i="7" s="1"/>
  <c r="AA41" i="7" s="1"/>
  <c r="AB41" i="7" s="1"/>
  <c r="AA42" i="7" s="1"/>
  <c r="AB42" i="7" s="1"/>
  <c r="AA43" i="7" s="1"/>
  <c r="AB43" i="7" s="1"/>
  <c r="AA44" i="7" s="1"/>
  <c r="AB44" i="7" s="1"/>
  <c r="AA45" i="7" s="1"/>
  <c r="AB45" i="7" s="1"/>
  <c r="AA46" i="7" s="1"/>
  <c r="AB46" i="7" s="1"/>
  <c r="AA47" i="7" s="1"/>
  <c r="AB47" i="7" s="1"/>
  <c r="AA48" i="7" s="1"/>
  <c r="AB48" i="7" s="1"/>
  <c r="AA49" i="7" s="1"/>
  <c r="AB49" i="7" s="1"/>
  <c r="AA50" i="7" s="1"/>
  <c r="AB50" i="7" s="1"/>
  <c r="AA51" i="7" s="1"/>
  <c r="AB51" i="7" s="1"/>
  <c r="AA52" i="7" s="1"/>
  <c r="AB52" i="7" s="1"/>
  <c r="AA53" i="7" s="1"/>
  <c r="AB53" i="7" s="1"/>
  <c r="AA54" i="7" s="1"/>
  <c r="AB54" i="7" s="1"/>
  <c r="AA55" i="7" s="1"/>
  <c r="AB55" i="7" s="1"/>
  <c r="AA56" i="7" s="1"/>
  <c r="AB56" i="7" s="1"/>
  <c r="AA57" i="7" s="1"/>
  <c r="AB57" i="7" s="1"/>
  <c r="AA58" i="7" s="1"/>
  <c r="AB58" i="7" s="1"/>
  <c r="AA59" i="7" s="1"/>
  <c r="AB59" i="7" s="1"/>
  <c r="AA60" i="7" s="1"/>
  <c r="AB60" i="7" s="1"/>
  <c r="AA61" i="7" s="1"/>
  <c r="AB61" i="7" s="1"/>
  <c r="AA62" i="7" s="1"/>
  <c r="AB62" i="7" s="1"/>
  <c r="AA63" i="7" s="1"/>
  <c r="AB63" i="7" s="1"/>
  <c r="AA64" i="7" s="1"/>
  <c r="AB64" i="7" s="1"/>
  <c r="AA65" i="7" s="1"/>
  <c r="AB65" i="7" s="1"/>
  <c r="AA66" i="7" s="1"/>
  <c r="AB66" i="7" s="1"/>
  <c r="AA67" i="7" s="1"/>
  <c r="AB67" i="7" s="1"/>
  <c r="AA68" i="7" s="1"/>
  <c r="AB68" i="7" s="1"/>
  <c r="AA69" i="7" s="1"/>
  <c r="AB69" i="7" s="1"/>
  <c r="AA70" i="7" s="1"/>
  <c r="AB70" i="7" s="1"/>
  <c r="AA71" i="7" s="1"/>
  <c r="AB71" i="7" s="1"/>
  <c r="AA72" i="7" s="1"/>
  <c r="AB72" i="7" s="1"/>
  <c r="AA73" i="7" s="1"/>
  <c r="AB73" i="7" s="1"/>
  <c r="AA74" i="7" s="1"/>
  <c r="AB74" i="7" s="1"/>
  <c r="AA75" i="7" s="1"/>
  <c r="AB75" i="7" s="1"/>
  <c r="AA76" i="7" s="1"/>
  <c r="AB76" i="7" s="1"/>
  <c r="AA77" i="7" s="1"/>
  <c r="AB77" i="7" s="1"/>
  <c r="AA78" i="7" s="1"/>
  <c r="AB78" i="7" s="1"/>
  <c r="AA79" i="7" s="1"/>
  <c r="AB79" i="7" s="1"/>
  <c r="AA80" i="7" s="1"/>
  <c r="AB80" i="7" s="1"/>
  <c r="AA81" i="7" s="1"/>
  <c r="AB81" i="7" s="1"/>
  <c r="AA82" i="7" s="1"/>
  <c r="AB82" i="7" s="1"/>
  <c r="AA83" i="7" s="1"/>
  <c r="AB83" i="7" s="1"/>
  <c r="AA84" i="7" s="1"/>
  <c r="AB84" i="7" s="1"/>
  <c r="AA85" i="7" s="1"/>
  <c r="AB85" i="7" s="1"/>
  <c r="AA86" i="7" s="1"/>
  <c r="AB86" i="7" s="1"/>
  <c r="AA87" i="7" s="1"/>
  <c r="AB87" i="7" s="1"/>
  <c r="AA88" i="7" s="1"/>
  <c r="AB88" i="7" s="1"/>
  <c r="AA89" i="7" s="1"/>
  <c r="AB89" i="7" s="1"/>
  <c r="AA90" i="7" s="1"/>
  <c r="AB90" i="7" s="1"/>
  <c r="AA91" i="7" s="1"/>
  <c r="AB91" i="7" s="1"/>
  <c r="AA92" i="7" s="1"/>
  <c r="AB92" i="7" s="1"/>
  <c r="AA93" i="7" s="1"/>
  <c r="AB93" i="7" s="1"/>
  <c r="AA94" i="7" s="1"/>
  <c r="AB94" i="7" s="1"/>
  <c r="AA95" i="7" s="1"/>
  <c r="AB95" i="7" s="1"/>
  <c r="AA96" i="7" s="1"/>
  <c r="AB96" i="7" s="1"/>
  <c r="AA97" i="7" s="1"/>
  <c r="AB97" i="7" s="1"/>
  <c r="AA98" i="7" s="1"/>
  <c r="AB98" i="7" s="1"/>
  <c r="AA99" i="7" s="1"/>
  <c r="AB99" i="7" s="1"/>
  <c r="AA100" i="7" s="1"/>
  <c r="AB100" i="7" s="1"/>
  <c r="AA101" i="7" s="1"/>
  <c r="AB101" i="7" s="1"/>
  <c r="AA102" i="7" s="1"/>
  <c r="AB102" i="7" s="1"/>
  <c r="AA103" i="7" s="1"/>
  <c r="AB103" i="7" s="1"/>
  <c r="CP4" i="7"/>
  <c r="CO5" i="7" s="1"/>
  <c r="CP5" i="7" s="1"/>
  <c r="CO6" i="7" s="1"/>
  <c r="FG4" i="7"/>
  <c r="FF5" i="7" s="1"/>
  <c r="FG5" i="7" s="1"/>
  <c r="FF6" i="7" s="1"/>
  <c r="FG6" i="7" s="1"/>
  <c r="BI4" i="7"/>
  <c r="BH5" i="7" s="1"/>
  <c r="BI5" i="7" s="1"/>
  <c r="BH6" i="7" s="1"/>
  <c r="BI6" i="7" s="1"/>
  <c r="GH4" i="7"/>
  <c r="GG5" i="7" s="1"/>
  <c r="GH5" i="7" s="1"/>
  <c r="GG6" i="7" s="1"/>
  <c r="GH6" i="7" s="1"/>
  <c r="DH4" i="7"/>
  <c r="DG5" i="7" s="1"/>
  <c r="DH5" i="7" s="1"/>
  <c r="DG6" i="7" s="1"/>
  <c r="DH6" i="7" s="1"/>
  <c r="DG7" i="7" s="1"/>
  <c r="DK4" i="7"/>
  <c r="DJ5" i="7" s="1"/>
  <c r="DK5" i="7" s="1"/>
  <c r="DJ6" i="7" s="1"/>
  <c r="DK6" i="7" s="1"/>
  <c r="DJ7" i="7" s="1"/>
  <c r="DK7" i="7" s="1"/>
  <c r="DJ8" i="7" s="1"/>
  <c r="DK8" i="7" s="1"/>
  <c r="DJ9" i="7" s="1"/>
  <c r="DK9" i="7" s="1"/>
  <c r="DJ10" i="7" s="1"/>
  <c r="DK10" i="7" s="1"/>
  <c r="DJ11" i="7" s="1"/>
  <c r="DK11" i="7" s="1"/>
  <c r="DJ12" i="7" s="1"/>
  <c r="DK12" i="7" s="1"/>
  <c r="DJ13" i="7" s="1"/>
  <c r="DK13" i="7" s="1"/>
  <c r="DJ14" i="7" s="1"/>
  <c r="DK14" i="7" s="1"/>
  <c r="DJ15" i="7" s="1"/>
  <c r="DK15" i="7" s="1"/>
  <c r="DJ16" i="7" s="1"/>
  <c r="DK16" i="7" s="1"/>
  <c r="DJ17" i="7" s="1"/>
  <c r="DK17" i="7" s="1"/>
  <c r="DJ18" i="7" s="1"/>
  <c r="DK18" i="7" s="1"/>
  <c r="DJ19" i="7" s="1"/>
  <c r="DK19" i="7" s="1"/>
  <c r="DJ20" i="7" s="1"/>
  <c r="DK20" i="7" s="1"/>
  <c r="DJ21" i="7" s="1"/>
  <c r="DK21" i="7" s="1"/>
  <c r="DJ22" i="7" s="1"/>
  <c r="DK22" i="7" s="1"/>
  <c r="DJ23" i="7" s="1"/>
  <c r="DK23" i="7" s="1"/>
  <c r="DJ24" i="7" s="1"/>
  <c r="DK24" i="7" s="1"/>
  <c r="DJ25" i="7" s="1"/>
  <c r="DK25" i="7" s="1"/>
  <c r="DJ26" i="7" s="1"/>
  <c r="DK26" i="7" s="1"/>
  <c r="DJ27" i="7" s="1"/>
  <c r="DK27" i="7" s="1"/>
  <c r="DJ28" i="7" s="1"/>
  <c r="DK28" i="7" s="1"/>
  <c r="DJ29" i="7" s="1"/>
  <c r="DK29" i="7" s="1"/>
  <c r="DJ30" i="7" s="1"/>
  <c r="DK30" i="7" s="1"/>
  <c r="DJ31" i="7" s="1"/>
  <c r="DK31" i="7" s="1"/>
  <c r="DJ32" i="7" s="1"/>
  <c r="DK32" i="7" s="1"/>
  <c r="DJ33" i="7" s="1"/>
  <c r="DK33" i="7" s="1"/>
  <c r="DJ34" i="7" s="1"/>
  <c r="DK34" i="7" s="1"/>
  <c r="DJ35" i="7" s="1"/>
  <c r="DK35" i="7" s="1"/>
  <c r="DJ36" i="7" s="1"/>
  <c r="DK36" i="7" s="1"/>
  <c r="DJ37" i="7" s="1"/>
  <c r="DK37" i="7" s="1"/>
  <c r="DJ38" i="7" s="1"/>
  <c r="DK38" i="7" s="1"/>
  <c r="DJ39" i="7" s="1"/>
  <c r="DK39" i="7" s="1"/>
  <c r="DJ40" i="7" s="1"/>
  <c r="DK40" i="7" s="1"/>
  <c r="DJ41" i="7" s="1"/>
  <c r="DK41" i="7" s="1"/>
  <c r="DJ42" i="7" s="1"/>
  <c r="DK42" i="7" s="1"/>
  <c r="DJ43" i="7" s="1"/>
  <c r="DK43" i="7" s="1"/>
  <c r="DJ44" i="7" s="1"/>
  <c r="DK44" i="7" s="1"/>
  <c r="DJ45" i="7" s="1"/>
  <c r="DK45" i="7" s="1"/>
  <c r="DJ46" i="7" s="1"/>
  <c r="DK46" i="7" s="1"/>
  <c r="DJ47" i="7" s="1"/>
  <c r="DK47" i="7" s="1"/>
  <c r="DJ48" i="7" s="1"/>
  <c r="DK48" i="7" s="1"/>
  <c r="DJ49" i="7" s="1"/>
  <c r="DK49" i="7" s="1"/>
  <c r="DJ50" i="7" s="1"/>
  <c r="DK50" i="7" s="1"/>
  <c r="DJ51" i="7" s="1"/>
  <c r="DK51" i="7" s="1"/>
  <c r="DJ52" i="7" s="1"/>
  <c r="DK52" i="7" s="1"/>
  <c r="DJ53" i="7" s="1"/>
  <c r="DK53" i="7" s="1"/>
  <c r="DJ54" i="7" s="1"/>
  <c r="DK54" i="7" s="1"/>
  <c r="DJ55" i="7" s="1"/>
  <c r="DK55" i="7" s="1"/>
  <c r="DJ56" i="7" s="1"/>
  <c r="DK56" i="7" s="1"/>
  <c r="DJ57" i="7" s="1"/>
  <c r="DK57" i="7" s="1"/>
  <c r="DJ58" i="7" s="1"/>
  <c r="DK58" i="7" s="1"/>
  <c r="DJ59" i="7" s="1"/>
  <c r="DK59" i="7" s="1"/>
  <c r="DJ60" i="7" s="1"/>
  <c r="DK60" i="7" s="1"/>
  <c r="DJ61" i="7" s="1"/>
  <c r="DK61" i="7" s="1"/>
  <c r="DJ62" i="7" s="1"/>
  <c r="DK62" i="7" s="1"/>
  <c r="DJ63" i="7" s="1"/>
  <c r="DK63" i="7" s="1"/>
  <c r="DJ64" i="7" s="1"/>
  <c r="DK64" i="7" s="1"/>
  <c r="DJ65" i="7" s="1"/>
  <c r="DK65" i="7" s="1"/>
  <c r="DJ66" i="7" s="1"/>
  <c r="DK66" i="7" s="1"/>
  <c r="DJ67" i="7" s="1"/>
  <c r="DK67" i="7" s="1"/>
  <c r="DJ68" i="7" s="1"/>
  <c r="DK68" i="7" s="1"/>
  <c r="DJ69" i="7" s="1"/>
  <c r="DK69" i="7" s="1"/>
  <c r="DJ70" i="7" s="1"/>
  <c r="DK70" i="7" s="1"/>
  <c r="DJ71" i="7" s="1"/>
  <c r="DK71" i="7" s="1"/>
  <c r="DJ72" i="7" s="1"/>
  <c r="DK72" i="7" s="1"/>
  <c r="DJ73" i="7" s="1"/>
  <c r="DK73" i="7" s="1"/>
  <c r="DJ74" i="7" s="1"/>
  <c r="DK74" i="7" s="1"/>
  <c r="DJ75" i="7" s="1"/>
  <c r="DK75" i="7" s="1"/>
  <c r="DJ76" i="7" s="1"/>
  <c r="DK76" i="7" s="1"/>
  <c r="DJ77" i="7" s="1"/>
  <c r="DK77" i="7" s="1"/>
  <c r="DJ78" i="7" s="1"/>
  <c r="DK78" i="7" s="1"/>
  <c r="DJ79" i="7" s="1"/>
  <c r="DK79" i="7" s="1"/>
  <c r="DJ80" i="7" s="1"/>
  <c r="DK80" i="7" s="1"/>
  <c r="DJ81" i="7" s="1"/>
  <c r="DK81" i="7" s="1"/>
  <c r="DJ82" i="7" s="1"/>
  <c r="DK82" i="7" s="1"/>
  <c r="DJ83" i="7" s="1"/>
  <c r="DK83" i="7" s="1"/>
  <c r="DJ84" i="7" s="1"/>
  <c r="DK84" i="7" s="1"/>
  <c r="DJ85" i="7" s="1"/>
  <c r="DK85" i="7" s="1"/>
  <c r="DJ86" i="7" s="1"/>
  <c r="DK86" i="7" s="1"/>
  <c r="DJ87" i="7" s="1"/>
  <c r="DK87" i="7" s="1"/>
  <c r="DJ88" i="7" s="1"/>
  <c r="DK88" i="7" s="1"/>
  <c r="DJ89" i="7" s="1"/>
  <c r="DK89" i="7" s="1"/>
  <c r="DJ90" i="7" s="1"/>
  <c r="DK90" i="7" s="1"/>
  <c r="DJ91" i="7" s="1"/>
  <c r="DK91" i="7" s="1"/>
  <c r="DJ92" i="7" s="1"/>
  <c r="DK92" i="7" s="1"/>
  <c r="DJ93" i="7" s="1"/>
  <c r="DK93" i="7" s="1"/>
  <c r="DJ94" i="7" s="1"/>
  <c r="DK94" i="7" s="1"/>
  <c r="DJ95" i="7" s="1"/>
  <c r="DK95" i="7" s="1"/>
  <c r="DJ96" i="7" s="1"/>
  <c r="DK96" i="7" s="1"/>
  <c r="DJ97" i="7" s="1"/>
  <c r="DK97" i="7" s="1"/>
  <c r="DJ98" i="7" s="1"/>
  <c r="DK98" i="7" s="1"/>
  <c r="DJ99" i="7" s="1"/>
  <c r="DK99" i="7" s="1"/>
  <c r="DJ100" i="7" s="1"/>
  <c r="DK100" i="7" s="1"/>
  <c r="DJ101" i="7" s="1"/>
  <c r="DK101" i="7" s="1"/>
  <c r="DJ102" i="7" s="1"/>
  <c r="DK102" i="7" s="1"/>
  <c r="DJ103" i="7" s="1"/>
  <c r="DK103" i="7" s="1"/>
  <c r="DQ4" i="7"/>
  <c r="DP5" i="7" s="1"/>
  <c r="DQ5" i="7" s="1"/>
  <c r="CY4" i="7"/>
  <c r="CX5" i="7" s="1"/>
  <c r="GK4" i="7"/>
  <c r="GJ5" i="7" s="1"/>
  <c r="GK5" i="7" s="1"/>
  <c r="GJ6" i="7" s="1"/>
  <c r="FD4" i="7"/>
  <c r="FC5" i="7" s="1"/>
  <c r="FD5" i="7" s="1"/>
  <c r="FC6" i="7" s="1"/>
  <c r="CA4" i="7"/>
  <c r="BZ5" i="7" s="1"/>
  <c r="CA5" i="7" s="1"/>
  <c r="BZ6" i="7" s="1"/>
  <c r="BR4" i="7"/>
  <c r="BQ5" i="7" s="1"/>
  <c r="BR5" i="7" s="1"/>
  <c r="BQ6" i="7" s="1"/>
  <c r="GN4" i="7"/>
  <c r="GM5" i="7" s="1"/>
  <c r="GN5" i="7" s="1"/>
  <c r="GM6" i="7" s="1"/>
  <c r="BF4" i="7"/>
  <c r="BE5" i="7" s="1"/>
  <c r="BF5" i="7" s="1"/>
  <c r="BE6" i="7" s="1"/>
  <c r="FM4" i="7"/>
  <c r="FL5" i="7" s="1"/>
  <c r="FM5" i="7" s="1"/>
  <c r="FL6" i="7" s="1"/>
  <c r="FM6" i="7" s="1"/>
  <c r="EF4" i="7"/>
  <c r="EE5" i="7" s="1"/>
  <c r="EF5" i="7" s="1"/>
  <c r="EE6" i="7" s="1"/>
  <c r="EF6" i="7" s="1"/>
  <c r="EE7" i="7" s="1"/>
  <c r="EX4" i="7"/>
  <c r="EW5" i="7" s="1"/>
  <c r="EX5" i="7" s="1"/>
  <c r="EW6" i="7" s="1"/>
  <c r="EX6" i="7" s="1"/>
  <c r="EW7" i="7" s="1"/>
  <c r="EL4" i="7"/>
  <c r="EK5" i="7" s="1"/>
  <c r="EL5" i="7" s="1"/>
  <c r="EK6" i="7" s="1"/>
  <c r="AC28" i="10" l="1"/>
  <c r="H26" i="10" s="1"/>
  <c r="H16" i="10"/>
  <c r="A8" i="9"/>
  <c r="B8" i="9" s="1"/>
  <c r="A9" i="9" s="1"/>
  <c r="B9" i="9" s="1"/>
  <c r="A10" i="9" s="1"/>
  <c r="B10" i="9" s="1"/>
  <c r="A11" i="9" s="1"/>
  <c r="B11" i="9" s="1"/>
  <c r="A12" i="9" s="1"/>
  <c r="B12" i="9" s="1"/>
  <c r="A13" i="9" s="1"/>
  <c r="B13" i="9" s="1"/>
  <c r="A14" i="9" s="1"/>
  <c r="B14" i="9" s="1"/>
  <c r="A15" i="9" s="1"/>
  <c r="B15" i="9" s="1"/>
  <c r="A16" i="9" s="1"/>
  <c r="B16" i="9" s="1"/>
  <c r="A17" i="9" s="1"/>
  <c r="B17" i="9" s="1"/>
  <c r="A18" i="9" s="1"/>
  <c r="B18" i="9" s="1"/>
  <c r="A19" i="9" s="1"/>
  <c r="B19" i="9" s="1"/>
  <c r="A20" i="9" s="1"/>
  <c r="B20" i="9" s="1"/>
  <c r="A21" i="9" s="1"/>
  <c r="B21" i="9" s="1"/>
  <c r="A22" i="9" s="1"/>
  <c r="B22" i="9" s="1"/>
  <c r="A23" i="9" s="1"/>
  <c r="B23" i="9" s="1"/>
  <c r="A24" i="9" s="1"/>
  <c r="B24" i="9" s="1"/>
  <c r="A25" i="9" s="1"/>
  <c r="B25" i="9" s="1"/>
  <c r="A26" i="9" s="1"/>
  <c r="B26" i="9" s="1"/>
  <c r="A27" i="9" s="1"/>
  <c r="B27" i="9" s="1"/>
  <c r="A28" i="9" s="1"/>
  <c r="B28" i="9" s="1"/>
  <c r="A29" i="9" s="1"/>
  <c r="B29" i="9" s="1"/>
  <c r="A30" i="9" s="1"/>
  <c r="B30" i="9" s="1"/>
  <c r="A31" i="9" s="1"/>
  <c r="B31" i="9" s="1"/>
  <c r="A32" i="9" s="1"/>
  <c r="B32" i="9" s="1"/>
  <c r="A33" i="9" s="1"/>
  <c r="B33" i="9" s="1"/>
  <c r="A34" i="9" s="1"/>
  <c r="B34" i="9" s="1"/>
  <c r="A35" i="9" s="1"/>
  <c r="B35" i="9" s="1"/>
  <c r="A36" i="9" s="1"/>
  <c r="B36" i="9" s="1"/>
  <c r="A37" i="9" s="1"/>
  <c r="B37" i="9" s="1"/>
  <c r="A38" i="9" s="1"/>
  <c r="B38" i="9" s="1"/>
  <c r="A39" i="9" s="1"/>
  <c r="B39" i="9" s="1"/>
  <c r="A40" i="9" s="1"/>
  <c r="B40" i="9" s="1"/>
  <c r="A41" i="9" s="1"/>
  <c r="B41" i="9" s="1"/>
  <c r="A42" i="9" s="1"/>
  <c r="B42" i="9" s="1"/>
  <c r="A43" i="9" s="1"/>
  <c r="B43" i="9" s="1"/>
  <c r="A44" i="9" s="1"/>
  <c r="B44" i="9" s="1"/>
  <c r="A45" i="9" s="1"/>
  <c r="B45" i="9" s="1"/>
  <c r="A46" i="9" s="1"/>
  <c r="B46" i="9" s="1"/>
  <c r="A47" i="9" s="1"/>
  <c r="B47" i="9" s="1"/>
  <c r="A48" i="9" s="1"/>
  <c r="B48" i="9" s="1"/>
  <c r="A49" i="9" s="1"/>
  <c r="B49" i="9" s="1"/>
  <c r="A50" i="9" s="1"/>
  <c r="B50" i="9" s="1"/>
  <c r="A51" i="9" s="1"/>
  <c r="B51" i="9" s="1"/>
  <c r="A52" i="9" s="1"/>
  <c r="B52" i="9" s="1"/>
  <c r="A53" i="9" s="1"/>
  <c r="B53" i="9" s="1"/>
  <c r="A54" i="9" s="1"/>
  <c r="B54" i="9" s="1"/>
  <c r="A55" i="9" s="1"/>
  <c r="B55" i="9" s="1"/>
  <c r="A56" i="9" s="1"/>
  <c r="B56" i="9" s="1"/>
  <c r="A57" i="9" s="1"/>
  <c r="B57" i="9" s="1"/>
  <c r="A58" i="9" s="1"/>
  <c r="B58" i="9" s="1"/>
  <c r="A59" i="9" s="1"/>
  <c r="B59" i="9" s="1"/>
  <c r="A60" i="9" s="1"/>
  <c r="B60" i="9" s="1"/>
  <c r="A61" i="9" s="1"/>
  <c r="B61" i="9" s="1"/>
  <c r="A62" i="9" s="1"/>
  <c r="B62" i="9" s="1"/>
  <c r="A63" i="9" s="1"/>
  <c r="B63" i="9" s="1"/>
  <c r="A64" i="9" s="1"/>
  <c r="B64" i="9" s="1"/>
  <c r="A65" i="9" s="1"/>
  <c r="B65" i="9" s="1"/>
  <c r="A66" i="9" s="1"/>
  <c r="B66" i="9" s="1"/>
  <c r="A67" i="9" s="1"/>
  <c r="B67" i="9" s="1"/>
  <c r="A68" i="9" s="1"/>
  <c r="B68" i="9" s="1"/>
  <c r="A69" i="9" s="1"/>
  <c r="B69" i="9" s="1"/>
  <c r="A70" i="9" s="1"/>
  <c r="B70" i="9" s="1"/>
  <c r="A71" i="9" s="1"/>
  <c r="B71" i="9" s="1"/>
  <c r="A72" i="9" s="1"/>
  <c r="B72" i="9" s="1"/>
  <c r="A73" i="9" s="1"/>
  <c r="B73" i="9" s="1"/>
  <c r="A74" i="9" s="1"/>
  <c r="B74" i="9" s="1"/>
  <c r="A75" i="9" s="1"/>
  <c r="B75" i="9" s="1"/>
  <c r="A76" i="9" s="1"/>
  <c r="B76" i="9" s="1"/>
  <c r="A77" i="9" s="1"/>
  <c r="B77" i="9" s="1"/>
  <c r="A78" i="9" s="1"/>
  <c r="B78" i="9" s="1"/>
  <c r="A79" i="9" s="1"/>
  <c r="B79" i="9" s="1"/>
  <c r="A80" i="9" s="1"/>
  <c r="B80" i="9" s="1"/>
  <c r="A81" i="9" s="1"/>
  <c r="B81" i="9" s="1"/>
  <c r="A82" i="9" s="1"/>
  <c r="B82" i="9" s="1"/>
  <c r="A83" i="9" s="1"/>
  <c r="B83" i="9" s="1"/>
  <c r="A84" i="9" s="1"/>
  <c r="B84" i="9" s="1"/>
  <c r="A85" i="9" s="1"/>
  <c r="B85" i="9" s="1"/>
  <c r="A86" i="9" s="1"/>
  <c r="B86" i="9" s="1"/>
  <c r="A87" i="9" s="1"/>
  <c r="B87" i="9" s="1"/>
  <c r="A88" i="9" s="1"/>
  <c r="B88" i="9" s="1"/>
  <c r="A89" i="9" s="1"/>
  <c r="B89" i="9" s="1"/>
  <c r="A90" i="9" s="1"/>
  <c r="B90" i="9" s="1"/>
  <c r="A91" i="9" s="1"/>
  <c r="B91" i="9" s="1"/>
  <c r="A92" i="9" s="1"/>
  <c r="B92" i="9" s="1"/>
  <c r="A93" i="9" s="1"/>
  <c r="B93" i="9" s="1"/>
  <c r="A94" i="9" s="1"/>
  <c r="B94" i="9" s="1"/>
  <c r="A95" i="9" s="1"/>
  <c r="B95" i="9" s="1"/>
  <c r="A96" i="9" s="1"/>
  <c r="B96" i="9" s="1"/>
  <c r="A97" i="9" s="1"/>
  <c r="B97" i="9" s="1"/>
  <c r="A98" i="9" s="1"/>
  <c r="B98" i="9" s="1"/>
  <c r="A99" i="9" s="1"/>
  <c r="B99" i="9" s="1"/>
  <c r="A100" i="9" s="1"/>
  <c r="D25" i="10"/>
  <c r="P22" i="10"/>
  <c r="P23" i="10" s="1"/>
  <c r="CV5" i="7"/>
  <c r="CG6" i="7"/>
  <c r="CF7" i="7" s="1"/>
  <c r="CC7" i="7"/>
  <c r="CD7" i="7" s="1"/>
  <c r="BX6" i="7"/>
  <c r="BW7" i="7" s="1"/>
  <c r="BN7" i="7"/>
  <c r="BO7" i="7" s="1"/>
  <c r="BK7" i="7"/>
  <c r="BL7" i="7" s="1"/>
  <c r="BB7" i="7"/>
  <c r="BC7" i="7" s="1"/>
  <c r="AZ6" i="7"/>
  <c r="AY7" i="7" s="1"/>
  <c r="CS7" i="7"/>
  <c r="EO4" i="7"/>
  <c r="EN5" i="7" s="1"/>
  <c r="EO5" i="7" s="1"/>
  <c r="EN6" i="7" s="1"/>
  <c r="EO6" i="7" s="1"/>
  <c r="EN7" i="7" s="1"/>
  <c r="CY5" i="7"/>
  <c r="CX6" i="7" s="1"/>
  <c r="FP4" i="7"/>
  <c r="FO5" i="7" s="1"/>
  <c r="FP5" i="7" s="1"/>
  <c r="FO6" i="7" s="1"/>
  <c r="FP6" i="7" s="1"/>
  <c r="GE7" i="7"/>
  <c r="GD8" i="7" s="1"/>
  <c r="GB7" i="7"/>
  <c r="GA8" i="7" s="1"/>
  <c r="FX7" i="7"/>
  <c r="FY7" i="7" s="1"/>
  <c r="FV8" i="7"/>
  <c r="FU9" i="7" s="1"/>
  <c r="FR7" i="7"/>
  <c r="FS7" i="7" s="1"/>
  <c r="FJ7" i="7"/>
  <c r="FI8" i="7" s="1"/>
  <c r="FA7" i="7"/>
  <c r="EZ8" i="7" s="1"/>
  <c r="EU7" i="7"/>
  <c r="ET8" i="7" s="1"/>
  <c r="EI7" i="7"/>
  <c r="EH8" i="7" s="1"/>
  <c r="EC7" i="7"/>
  <c r="EB8" i="7" s="1"/>
  <c r="DY7" i="7"/>
  <c r="DZ7" i="7" s="1"/>
  <c r="DT7" i="7"/>
  <c r="DS8" i="7" s="1"/>
  <c r="DN7" i="7"/>
  <c r="DM8" i="7" s="1"/>
  <c r="DP6" i="7"/>
  <c r="S4" i="7"/>
  <c r="R5" i="7" s="1"/>
  <c r="S5" i="7" s="1"/>
  <c r="R6" i="7" s="1"/>
  <c r="S6" i="7" s="1"/>
  <c r="R7" i="7" s="1"/>
  <c r="S7" i="7" s="1"/>
  <c r="R8" i="7" s="1"/>
  <c r="S8" i="7" s="1"/>
  <c r="R9" i="7" s="1"/>
  <c r="S9" i="7" s="1"/>
  <c r="R10" i="7" s="1"/>
  <c r="S10" i="7" s="1"/>
  <c r="R11" i="7" s="1"/>
  <c r="S11" i="7" s="1"/>
  <c r="R12" i="7" s="1"/>
  <c r="S12" i="7" s="1"/>
  <c r="R13" i="7" s="1"/>
  <c r="S13" i="7" s="1"/>
  <c r="R14" i="7" s="1"/>
  <c r="S14" i="7" s="1"/>
  <c r="R15" i="7" s="1"/>
  <c r="S15" i="7" s="1"/>
  <c r="R16" i="7" s="1"/>
  <c r="S16" i="7" s="1"/>
  <c r="R17" i="7" s="1"/>
  <c r="S17" i="7" s="1"/>
  <c r="R18" i="7" s="1"/>
  <c r="S18" i="7" s="1"/>
  <c r="R19" i="7" s="1"/>
  <c r="S19" i="7" s="1"/>
  <c r="R20" i="7" s="1"/>
  <c r="S20" i="7" s="1"/>
  <c r="R21" i="7" s="1"/>
  <c r="S21" i="7" s="1"/>
  <c r="R22" i="7" s="1"/>
  <c r="S22" i="7" s="1"/>
  <c r="R23" i="7" s="1"/>
  <c r="S23" i="7" s="1"/>
  <c r="R24" i="7" s="1"/>
  <c r="S24" i="7" s="1"/>
  <c r="R25" i="7" s="1"/>
  <c r="S25" i="7" s="1"/>
  <c r="R26" i="7" s="1"/>
  <c r="S26" i="7" s="1"/>
  <c r="R27" i="7" s="1"/>
  <c r="S27" i="7" s="1"/>
  <c r="R28" i="7" s="1"/>
  <c r="S28" i="7" s="1"/>
  <c r="R29" i="7" s="1"/>
  <c r="S29" i="7" s="1"/>
  <c r="R30" i="7" s="1"/>
  <c r="S30" i="7" s="1"/>
  <c r="R31" i="7" s="1"/>
  <c r="S31" i="7" s="1"/>
  <c r="R32" i="7" s="1"/>
  <c r="S32" i="7" s="1"/>
  <c r="R33" i="7" s="1"/>
  <c r="S33" i="7" s="1"/>
  <c r="R34" i="7" s="1"/>
  <c r="S34" i="7" s="1"/>
  <c r="R35" i="7" s="1"/>
  <c r="S35" i="7" s="1"/>
  <c r="R36" i="7" s="1"/>
  <c r="S36" i="7" s="1"/>
  <c r="R37" i="7" s="1"/>
  <c r="S37" i="7" s="1"/>
  <c r="R38" i="7" s="1"/>
  <c r="S38" i="7" s="1"/>
  <c r="R39" i="7" s="1"/>
  <c r="S39" i="7" s="1"/>
  <c r="R40" i="7" s="1"/>
  <c r="S40" i="7" s="1"/>
  <c r="R41" i="7" s="1"/>
  <c r="S41" i="7" s="1"/>
  <c r="R42" i="7" s="1"/>
  <c r="S42" i="7" s="1"/>
  <c r="R43" i="7" s="1"/>
  <c r="S43" i="7" s="1"/>
  <c r="R44" i="7" s="1"/>
  <c r="S44" i="7" s="1"/>
  <c r="R45" i="7" s="1"/>
  <c r="S45" i="7" s="1"/>
  <c r="R46" i="7" s="1"/>
  <c r="S46" i="7" s="1"/>
  <c r="R47" i="7" s="1"/>
  <c r="S47" i="7" s="1"/>
  <c r="R48" i="7" s="1"/>
  <c r="S48" i="7" s="1"/>
  <c r="R49" i="7" s="1"/>
  <c r="S49" i="7" s="1"/>
  <c r="R50" i="7" s="1"/>
  <c r="S50" i="7" s="1"/>
  <c r="R51" i="7" s="1"/>
  <c r="S51" i="7" s="1"/>
  <c r="R52" i="7" s="1"/>
  <c r="S52" i="7" s="1"/>
  <c r="R53" i="7" s="1"/>
  <c r="S53" i="7" s="1"/>
  <c r="R54" i="7" s="1"/>
  <c r="S54" i="7" s="1"/>
  <c r="R55" i="7" s="1"/>
  <c r="S55" i="7" s="1"/>
  <c r="R56" i="7" s="1"/>
  <c r="S56" i="7" s="1"/>
  <c r="R57" i="7" s="1"/>
  <c r="S57" i="7" s="1"/>
  <c r="R58" i="7" s="1"/>
  <c r="S58" i="7" s="1"/>
  <c r="R59" i="7" s="1"/>
  <c r="S59" i="7" s="1"/>
  <c r="R60" i="7" s="1"/>
  <c r="S60" i="7" s="1"/>
  <c r="R61" i="7" s="1"/>
  <c r="S61" i="7" s="1"/>
  <c r="R62" i="7" s="1"/>
  <c r="S62" i="7" s="1"/>
  <c r="R63" i="7" s="1"/>
  <c r="S63" i="7" s="1"/>
  <c r="R64" i="7" s="1"/>
  <c r="S64" i="7" s="1"/>
  <c r="R65" i="7" s="1"/>
  <c r="S65" i="7" s="1"/>
  <c r="R66" i="7" s="1"/>
  <c r="S66" i="7" s="1"/>
  <c r="R67" i="7" s="1"/>
  <c r="S67" i="7" s="1"/>
  <c r="R68" i="7" s="1"/>
  <c r="S68" i="7" s="1"/>
  <c r="R69" i="7" s="1"/>
  <c r="S69" i="7" s="1"/>
  <c r="R70" i="7" s="1"/>
  <c r="S70" i="7" s="1"/>
  <c r="R71" i="7" s="1"/>
  <c r="S71" i="7" s="1"/>
  <c r="R72" i="7" s="1"/>
  <c r="S72" i="7" s="1"/>
  <c r="R73" i="7" s="1"/>
  <c r="S73" i="7" s="1"/>
  <c r="R74" i="7" s="1"/>
  <c r="S74" i="7" s="1"/>
  <c r="R75" i="7" s="1"/>
  <c r="S75" i="7" s="1"/>
  <c r="R76" i="7" s="1"/>
  <c r="S76" i="7" s="1"/>
  <c r="R77" i="7" s="1"/>
  <c r="S77" i="7" s="1"/>
  <c r="R78" i="7" s="1"/>
  <c r="S78" i="7" s="1"/>
  <c r="R79" i="7" s="1"/>
  <c r="S79" i="7" s="1"/>
  <c r="R80" i="7" s="1"/>
  <c r="S80" i="7" s="1"/>
  <c r="R81" i="7" s="1"/>
  <c r="S81" i="7" s="1"/>
  <c r="R82" i="7" s="1"/>
  <c r="S82" i="7" s="1"/>
  <c r="R83" i="7" s="1"/>
  <c r="S83" i="7" s="1"/>
  <c r="R84" i="7" s="1"/>
  <c r="S84" i="7" s="1"/>
  <c r="R85" i="7" s="1"/>
  <c r="S85" i="7" s="1"/>
  <c r="R86" i="7" s="1"/>
  <c r="S86" i="7" s="1"/>
  <c r="R87" i="7" s="1"/>
  <c r="S87" i="7" s="1"/>
  <c r="R88" i="7" s="1"/>
  <c r="S88" i="7" s="1"/>
  <c r="R89" i="7" s="1"/>
  <c r="S89" i="7" s="1"/>
  <c r="R90" i="7" s="1"/>
  <c r="S90" i="7" s="1"/>
  <c r="R91" i="7" s="1"/>
  <c r="S91" i="7" s="1"/>
  <c r="R92" i="7" s="1"/>
  <c r="S92" i="7" s="1"/>
  <c r="R93" i="7" s="1"/>
  <c r="S93" i="7" s="1"/>
  <c r="R94" i="7" s="1"/>
  <c r="S94" i="7" s="1"/>
  <c r="R95" i="7" s="1"/>
  <c r="S95" i="7" s="1"/>
  <c r="R96" i="7" s="1"/>
  <c r="S96" i="7" s="1"/>
  <c r="R97" i="7" s="1"/>
  <c r="S97" i="7" s="1"/>
  <c r="R98" i="7" s="1"/>
  <c r="S98" i="7" s="1"/>
  <c r="R99" i="7" s="1"/>
  <c r="S99" i="7" s="1"/>
  <c r="R100" i="7" s="1"/>
  <c r="S100" i="7" s="1"/>
  <c r="R101" i="7" s="1"/>
  <c r="S101" i="7" s="1"/>
  <c r="R102" i="7" s="1"/>
  <c r="S102" i="7" s="1"/>
  <c r="R103" i="7" s="1"/>
  <c r="S103" i="7" s="1"/>
  <c r="AE4" i="7"/>
  <c r="AD5" i="7" s="1"/>
  <c r="AE5" i="7" s="1"/>
  <c r="AD6" i="7" s="1"/>
  <c r="AE6" i="7" s="1"/>
  <c r="AD7" i="7" s="1"/>
  <c r="AE7" i="7" s="1"/>
  <c r="AD8" i="7" s="1"/>
  <c r="AE8" i="7" s="1"/>
  <c r="AD9" i="7" s="1"/>
  <c r="AE9" i="7" s="1"/>
  <c r="AD10" i="7" s="1"/>
  <c r="AE10" i="7" s="1"/>
  <c r="AD11" i="7" s="1"/>
  <c r="AE11" i="7" s="1"/>
  <c r="AD12" i="7" s="1"/>
  <c r="AE12" i="7" s="1"/>
  <c r="AD13" i="7" s="1"/>
  <c r="AE13" i="7" s="1"/>
  <c r="AD14" i="7" s="1"/>
  <c r="AE14" i="7" s="1"/>
  <c r="AD15" i="7" s="1"/>
  <c r="AE15" i="7" s="1"/>
  <c r="AD16" i="7" s="1"/>
  <c r="AE16" i="7" s="1"/>
  <c r="AD17" i="7" s="1"/>
  <c r="AE17" i="7" s="1"/>
  <c r="AD18" i="7" s="1"/>
  <c r="AE18" i="7" s="1"/>
  <c r="AD19" i="7" s="1"/>
  <c r="AE19" i="7" s="1"/>
  <c r="AD20" i="7" s="1"/>
  <c r="AE20" i="7" s="1"/>
  <c r="AD21" i="7" s="1"/>
  <c r="AE21" i="7" s="1"/>
  <c r="AD22" i="7" s="1"/>
  <c r="AE22" i="7" s="1"/>
  <c r="AD23" i="7" s="1"/>
  <c r="AE23" i="7" s="1"/>
  <c r="AD24" i="7" s="1"/>
  <c r="AE24" i="7" s="1"/>
  <c r="AD25" i="7" s="1"/>
  <c r="AE25" i="7" s="1"/>
  <c r="AD26" i="7" s="1"/>
  <c r="AE26" i="7" s="1"/>
  <c r="AD27" i="7" s="1"/>
  <c r="AE27" i="7" s="1"/>
  <c r="AD28" i="7" s="1"/>
  <c r="AE28" i="7" s="1"/>
  <c r="AD29" i="7" s="1"/>
  <c r="AE29" i="7" s="1"/>
  <c r="AD30" i="7" s="1"/>
  <c r="AE30" i="7" s="1"/>
  <c r="AD31" i="7" s="1"/>
  <c r="AE31" i="7" s="1"/>
  <c r="AD32" i="7" s="1"/>
  <c r="AE32" i="7" s="1"/>
  <c r="AD33" i="7" s="1"/>
  <c r="AE33" i="7" s="1"/>
  <c r="AD34" i="7" s="1"/>
  <c r="AE34" i="7" s="1"/>
  <c r="AD35" i="7" s="1"/>
  <c r="AE35" i="7" s="1"/>
  <c r="AD36" i="7" s="1"/>
  <c r="AE36" i="7" s="1"/>
  <c r="AD37" i="7" s="1"/>
  <c r="AE37" i="7" s="1"/>
  <c r="AD38" i="7" s="1"/>
  <c r="AE38" i="7" s="1"/>
  <c r="AD39" i="7" s="1"/>
  <c r="AE39" i="7" s="1"/>
  <c r="AD40" i="7" s="1"/>
  <c r="AE40" i="7" s="1"/>
  <c r="AD41" i="7" s="1"/>
  <c r="AE41" i="7" s="1"/>
  <c r="AD42" i="7" s="1"/>
  <c r="AE42" i="7" s="1"/>
  <c r="AD43" i="7" s="1"/>
  <c r="AE43" i="7" s="1"/>
  <c r="AD44" i="7" s="1"/>
  <c r="AE44" i="7" s="1"/>
  <c r="AD45" i="7" s="1"/>
  <c r="AE45" i="7" s="1"/>
  <c r="AD46" i="7" s="1"/>
  <c r="AE46" i="7" s="1"/>
  <c r="AD47" i="7" s="1"/>
  <c r="AE47" i="7" s="1"/>
  <c r="AD48" i="7" s="1"/>
  <c r="AE48" i="7" s="1"/>
  <c r="AD49" i="7" s="1"/>
  <c r="AE49" i="7" s="1"/>
  <c r="AD50" i="7" s="1"/>
  <c r="AE50" i="7" s="1"/>
  <c r="AD51" i="7" s="1"/>
  <c r="AE51" i="7" s="1"/>
  <c r="AD52" i="7" s="1"/>
  <c r="AE52" i="7" s="1"/>
  <c r="AD53" i="7" s="1"/>
  <c r="AE53" i="7" s="1"/>
  <c r="AD54" i="7" s="1"/>
  <c r="AE54" i="7" s="1"/>
  <c r="AD55" i="7" s="1"/>
  <c r="AE55" i="7" s="1"/>
  <c r="AD56" i="7" s="1"/>
  <c r="AE56" i="7" s="1"/>
  <c r="AD57" i="7" s="1"/>
  <c r="AE57" i="7" s="1"/>
  <c r="AD58" i="7" s="1"/>
  <c r="AE58" i="7" s="1"/>
  <c r="AD59" i="7" s="1"/>
  <c r="AE59" i="7" s="1"/>
  <c r="AD60" i="7" s="1"/>
  <c r="AE60" i="7" s="1"/>
  <c r="AD61" i="7" s="1"/>
  <c r="AE61" i="7" s="1"/>
  <c r="AD62" i="7" s="1"/>
  <c r="AE62" i="7" s="1"/>
  <c r="AD63" i="7" s="1"/>
  <c r="AE63" i="7" s="1"/>
  <c r="AD64" i="7" s="1"/>
  <c r="AE64" i="7" s="1"/>
  <c r="AD65" i="7" s="1"/>
  <c r="AE65" i="7" s="1"/>
  <c r="AD66" i="7" s="1"/>
  <c r="AE66" i="7" s="1"/>
  <c r="AD67" i="7" s="1"/>
  <c r="AE67" i="7" s="1"/>
  <c r="AD68" i="7" s="1"/>
  <c r="AE68" i="7" s="1"/>
  <c r="AD69" i="7" s="1"/>
  <c r="AE69" i="7" s="1"/>
  <c r="AD70" i="7" s="1"/>
  <c r="AE70" i="7" s="1"/>
  <c r="AD71" i="7" s="1"/>
  <c r="AE71" i="7" s="1"/>
  <c r="AD72" i="7" s="1"/>
  <c r="AE72" i="7" s="1"/>
  <c r="AD73" i="7" s="1"/>
  <c r="AE73" i="7" s="1"/>
  <c r="AD74" i="7" s="1"/>
  <c r="AE74" i="7" s="1"/>
  <c r="AD75" i="7" s="1"/>
  <c r="AE75" i="7" s="1"/>
  <c r="AD76" i="7" s="1"/>
  <c r="AE76" i="7" s="1"/>
  <c r="AD77" i="7" s="1"/>
  <c r="AE77" i="7" s="1"/>
  <c r="AD78" i="7" s="1"/>
  <c r="AE78" i="7" s="1"/>
  <c r="AD79" i="7" s="1"/>
  <c r="AE79" i="7" s="1"/>
  <c r="AD80" i="7" s="1"/>
  <c r="AE80" i="7" s="1"/>
  <c r="AD81" i="7" s="1"/>
  <c r="AE81" i="7" s="1"/>
  <c r="AD82" i="7" s="1"/>
  <c r="AE82" i="7" s="1"/>
  <c r="AD83" i="7" s="1"/>
  <c r="AE83" i="7" s="1"/>
  <c r="AD84" i="7" s="1"/>
  <c r="AE84" i="7" s="1"/>
  <c r="AD85" i="7" s="1"/>
  <c r="AE85" i="7" s="1"/>
  <c r="AD86" i="7" s="1"/>
  <c r="AE86" i="7" s="1"/>
  <c r="AD87" i="7" s="1"/>
  <c r="AE87" i="7" s="1"/>
  <c r="AD88" i="7" s="1"/>
  <c r="AE88" i="7" s="1"/>
  <c r="AD89" i="7" s="1"/>
  <c r="AE89" i="7" s="1"/>
  <c r="AD90" i="7" s="1"/>
  <c r="AE90" i="7" s="1"/>
  <c r="AD91" i="7" s="1"/>
  <c r="AE91" i="7" s="1"/>
  <c r="AD92" i="7" s="1"/>
  <c r="AE92" i="7" s="1"/>
  <c r="AD93" i="7" s="1"/>
  <c r="AE93" i="7" s="1"/>
  <c r="AD94" i="7" s="1"/>
  <c r="AE94" i="7" s="1"/>
  <c r="AD95" i="7" s="1"/>
  <c r="AE95" i="7" s="1"/>
  <c r="AD96" i="7" s="1"/>
  <c r="AE96" i="7" s="1"/>
  <c r="AD97" i="7" s="1"/>
  <c r="AE97" i="7" s="1"/>
  <c r="AD98" i="7" s="1"/>
  <c r="AE98" i="7" s="1"/>
  <c r="AD99" i="7" s="1"/>
  <c r="AE99" i="7" s="1"/>
  <c r="AD100" i="7" s="1"/>
  <c r="AE100" i="7" s="1"/>
  <c r="AD101" i="7" s="1"/>
  <c r="AE101" i="7" s="1"/>
  <c r="AD102" i="7" s="1"/>
  <c r="AE102" i="7" s="1"/>
  <c r="AD103" i="7" s="1"/>
  <c r="AE103" i="7" s="1"/>
  <c r="AN4" i="7"/>
  <c r="AM5" i="7" s="1"/>
  <c r="AN5" i="7" s="1"/>
  <c r="AM6" i="7" s="1"/>
  <c r="AN6" i="7" s="1"/>
  <c r="AM7" i="7" s="1"/>
  <c r="AN7" i="7" s="1"/>
  <c r="AM8" i="7" s="1"/>
  <c r="AN8" i="7" s="1"/>
  <c r="AM9" i="7" s="1"/>
  <c r="AN9" i="7" s="1"/>
  <c r="AM10" i="7" s="1"/>
  <c r="AN10" i="7" s="1"/>
  <c r="AM11" i="7" s="1"/>
  <c r="AN11" i="7" s="1"/>
  <c r="AM12" i="7" s="1"/>
  <c r="AN12" i="7" s="1"/>
  <c r="AM13" i="7" s="1"/>
  <c r="AN13" i="7" s="1"/>
  <c r="AM14" i="7" s="1"/>
  <c r="AN14" i="7" s="1"/>
  <c r="AM15" i="7" s="1"/>
  <c r="AN15" i="7" s="1"/>
  <c r="AM16" i="7" s="1"/>
  <c r="AN16" i="7" s="1"/>
  <c r="AM17" i="7" s="1"/>
  <c r="AN17" i="7" s="1"/>
  <c r="AM18" i="7" s="1"/>
  <c r="AN18" i="7" s="1"/>
  <c r="AM19" i="7" s="1"/>
  <c r="AN19" i="7" s="1"/>
  <c r="AM20" i="7" s="1"/>
  <c r="AN20" i="7" s="1"/>
  <c r="AM21" i="7" s="1"/>
  <c r="AN21" i="7" s="1"/>
  <c r="AM22" i="7" s="1"/>
  <c r="AN22" i="7" s="1"/>
  <c r="AM23" i="7" s="1"/>
  <c r="AN23" i="7" s="1"/>
  <c r="AM24" i="7" s="1"/>
  <c r="AN24" i="7" s="1"/>
  <c r="AM25" i="7" s="1"/>
  <c r="AN25" i="7" s="1"/>
  <c r="AM26" i="7" s="1"/>
  <c r="AN26" i="7" s="1"/>
  <c r="AM27" i="7" s="1"/>
  <c r="AN27" i="7" s="1"/>
  <c r="AM28" i="7" s="1"/>
  <c r="AN28" i="7" s="1"/>
  <c r="AM29" i="7" s="1"/>
  <c r="AN29" i="7" s="1"/>
  <c r="AM30" i="7" s="1"/>
  <c r="AN30" i="7" s="1"/>
  <c r="AM31" i="7" s="1"/>
  <c r="AN31" i="7" s="1"/>
  <c r="AM32" i="7" s="1"/>
  <c r="AN32" i="7" s="1"/>
  <c r="AM33" i="7" s="1"/>
  <c r="AN33" i="7" s="1"/>
  <c r="AM34" i="7" s="1"/>
  <c r="AN34" i="7" s="1"/>
  <c r="AM35" i="7" s="1"/>
  <c r="AN35" i="7" s="1"/>
  <c r="AM36" i="7" s="1"/>
  <c r="AN36" i="7" s="1"/>
  <c r="AM37" i="7" s="1"/>
  <c r="AN37" i="7" s="1"/>
  <c r="AM38" i="7" s="1"/>
  <c r="AN38" i="7" s="1"/>
  <c r="AM39" i="7" s="1"/>
  <c r="AN39" i="7" s="1"/>
  <c r="AM40" i="7" s="1"/>
  <c r="AN40" i="7" s="1"/>
  <c r="AM41" i="7" s="1"/>
  <c r="AN41" i="7" s="1"/>
  <c r="AM42" i="7" s="1"/>
  <c r="AN42" i="7" s="1"/>
  <c r="AM43" i="7" s="1"/>
  <c r="AN43" i="7" s="1"/>
  <c r="AM44" i="7" s="1"/>
  <c r="AN44" i="7" s="1"/>
  <c r="AM45" i="7" s="1"/>
  <c r="AN45" i="7" s="1"/>
  <c r="AM46" i="7" s="1"/>
  <c r="AN46" i="7" s="1"/>
  <c r="AM47" i="7" s="1"/>
  <c r="AN47" i="7" s="1"/>
  <c r="AM48" i="7" s="1"/>
  <c r="AN48" i="7" s="1"/>
  <c r="AM49" i="7" s="1"/>
  <c r="AN49" i="7" s="1"/>
  <c r="AM50" i="7" s="1"/>
  <c r="AN50" i="7" s="1"/>
  <c r="AM51" i="7" s="1"/>
  <c r="AN51" i="7" s="1"/>
  <c r="AM52" i="7" s="1"/>
  <c r="AN52" i="7" s="1"/>
  <c r="AM53" i="7" s="1"/>
  <c r="AN53" i="7" s="1"/>
  <c r="AM54" i="7" s="1"/>
  <c r="AN54" i="7" s="1"/>
  <c r="AM55" i="7" s="1"/>
  <c r="AN55" i="7" s="1"/>
  <c r="AM56" i="7" s="1"/>
  <c r="AN56" i="7" s="1"/>
  <c r="AM57" i="7" s="1"/>
  <c r="AN57" i="7" s="1"/>
  <c r="AM58" i="7" s="1"/>
  <c r="AN58" i="7" s="1"/>
  <c r="AM59" i="7" s="1"/>
  <c r="AN59" i="7" s="1"/>
  <c r="AM60" i="7" s="1"/>
  <c r="AN60" i="7" s="1"/>
  <c r="AM61" i="7" s="1"/>
  <c r="AN61" i="7" s="1"/>
  <c r="AM62" i="7" s="1"/>
  <c r="AN62" i="7" s="1"/>
  <c r="AM63" i="7" s="1"/>
  <c r="AN63" i="7" s="1"/>
  <c r="AM64" i="7" s="1"/>
  <c r="AN64" i="7" s="1"/>
  <c r="AM65" i="7" s="1"/>
  <c r="AN65" i="7" s="1"/>
  <c r="AM66" i="7" s="1"/>
  <c r="AN66" i="7" s="1"/>
  <c r="AM67" i="7" s="1"/>
  <c r="AN67" i="7" s="1"/>
  <c r="AM68" i="7" s="1"/>
  <c r="AN68" i="7" s="1"/>
  <c r="AM69" i="7" s="1"/>
  <c r="AN69" i="7" s="1"/>
  <c r="AM70" i="7" s="1"/>
  <c r="AN70" i="7" s="1"/>
  <c r="AM71" i="7" s="1"/>
  <c r="AN71" i="7" s="1"/>
  <c r="AM72" i="7" s="1"/>
  <c r="AN72" i="7" s="1"/>
  <c r="AM73" i="7" s="1"/>
  <c r="AN73" i="7" s="1"/>
  <c r="AM74" i="7" s="1"/>
  <c r="AN74" i="7" s="1"/>
  <c r="AM75" i="7" s="1"/>
  <c r="AN75" i="7" s="1"/>
  <c r="AM76" i="7" s="1"/>
  <c r="AN76" i="7" s="1"/>
  <c r="AM77" i="7" s="1"/>
  <c r="AN77" i="7" s="1"/>
  <c r="AM78" i="7" s="1"/>
  <c r="AN78" i="7" s="1"/>
  <c r="AM79" i="7" s="1"/>
  <c r="AN79" i="7" s="1"/>
  <c r="AM80" i="7" s="1"/>
  <c r="AN80" i="7" s="1"/>
  <c r="AM81" i="7" s="1"/>
  <c r="AN81" i="7" s="1"/>
  <c r="AM82" i="7" s="1"/>
  <c r="AN82" i="7" s="1"/>
  <c r="AM83" i="7" s="1"/>
  <c r="AN83" i="7" s="1"/>
  <c r="AM84" i="7" s="1"/>
  <c r="AN84" i="7" s="1"/>
  <c r="AM85" i="7" s="1"/>
  <c r="AN85" i="7" s="1"/>
  <c r="AM86" i="7" s="1"/>
  <c r="AN86" i="7" s="1"/>
  <c r="AM87" i="7" s="1"/>
  <c r="AN87" i="7" s="1"/>
  <c r="AM88" i="7" s="1"/>
  <c r="AN88" i="7" s="1"/>
  <c r="AM89" i="7" s="1"/>
  <c r="AN89" i="7" s="1"/>
  <c r="AM90" i="7" s="1"/>
  <c r="AN90" i="7" s="1"/>
  <c r="AM91" i="7" s="1"/>
  <c r="AN91" i="7" s="1"/>
  <c r="AM92" i="7" s="1"/>
  <c r="AN92" i="7" s="1"/>
  <c r="AM93" i="7" s="1"/>
  <c r="AN93" i="7" s="1"/>
  <c r="AM94" i="7" s="1"/>
  <c r="AN94" i="7" s="1"/>
  <c r="AM95" i="7" s="1"/>
  <c r="AN95" i="7" s="1"/>
  <c r="AM96" i="7" s="1"/>
  <c r="AN96" i="7" s="1"/>
  <c r="AM97" i="7" s="1"/>
  <c r="AN97" i="7" s="1"/>
  <c r="AM98" i="7" s="1"/>
  <c r="AN98" i="7" s="1"/>
  <c r="AM99" i="7" s="1"/>
  <c r="AN99" i="7" s="1"/>
  <c r="AM100" i="7" s="1"/>
  <c r="AN100" i="7" s="1"/>
  <c r="AM101" i="7" s="1"/>
  <c r="AN101" i="7" s="1"/>
  <c r="AM102" i="7" s="1"/>
  <c r="AN102" i="7" s="1"/>
  <c r="AM103" i="7" s="1"/>
  <c r="AN103" i="7" s="1"/>
  <c r="J4" i="7"/>
  <c r="I5" i="7" s="1"/>
  <c r="J5" i="7" s="1"/>
  <c r="I6" i="7" s="1"/>
  <c r="J6" i="7" s="1"/>
  <c r="I7" i="7" s="1"/>
  <c r="J7" i="7" s="1"/>
  <c r="I8" i="7" s="1"/>
  <c r="J8" i="7" s="1"/>
  <c r="I9" i="7" s="1"/>
  <c r="J9" i="7" s="1"/>
  <c r="I10" i="7" s="1"/>
  <c r="J10" i="7" s="1"/>
  <c r="I11" i="7" s="1"/>
  <c r="J11" i="7" s="1"/>
  <c r="I12" i="7" s="1"/>
  <c r="J12" i="7" s="1"/>
  <c r="I13" i="7" s="1"/>
  <c r="J13" i="7" s="1"/>
  <c r="I14" i="7" s="1"/>
  <c r="J14" i="7" s="1"/>
  <c r="I15" i="7" s="1"/>
  <c r="J15" i="7" s="1"/>
  <c r="I16" i="7" s="1"/>
  <c r="J16" i="7" s="1"/>
  <c r="I17" i="7" s="1"/>
  <c r="J17" i="7" s="1"/>
  <c r="I18" i="7" s="1"/>
  <c r="J18" i="7" s="1"/>
  <c r="I19" i="7" s="1"/>
  <c r="J19" i="7" s="1"/>
  <c r="I20" i="7" s="1"/>
  <c r="J20" i="7" s="1"/>
  <c r="I21" i="7" s="1"/>
  <c r="J21" i="7" s="1"/>
  <c r="I22" i="7" s="1"/>
  <c r="J22" i="7" s="1"/>
  <c r="I23" i="7" s="1"/>
  <c r="J23" i="7" s="1"/>
  <c r="I24" i="7" s="1"/>
  <c r="J24" i="7" s="1"/>
  <c r="I25" i="7" s="1"/>
  <c r="J25" i="7" s="1"/>
  <c r="I26" i="7" s="1"/>
  <c r="J26" i="7" s="1"/>
  <c r="I27" i="7" s="1"/>
  <c r="J27" i="7" s="1"/>
  <c r="I28" i="7" s="1"/>
  <c r="J28" i="7" s="1"/>
  <c r="I29" i="7" s="1"/>
  <c r="J29" i="7" s="1"/>
  <c r="I30" i="7" s="1"/>
  <c r="J30" i="7" s="1"/>
  <c r="I31" i="7" s="1"/>
  <c r="J31" i="7" s="1"/>
  <c r="I32" i="7" s="1"/>
  <c r="J32" i="7" s="1"/>
  <c r="I33" i="7" s="1"/>
  <c r="J33" i="7" s="1"/>
  <c r="I34" i="7" s="1"/>
  <c r="J34" i="7" s="1"/>
  <c r="I35" i="7" s="1"/>
  <c r="J35" i="7" s="1"/>
  <c r="I36" i="7" s="1"/>
  <c r="J36" i="7" s="1"/>
  <c r="I37" i="7" s="1"/>
  <c r="J37" i="7" s="1"/>
  <c r="I38" i="7" s="1"/>
  <c r="J38" i="7" s="1"/>
  <c r="I39" i="7" s="1"/>
  <c r="J39" i="7" s="1"/>
  <c r="I40" i="7" s="1"/>
  <c r="J40" i="7" s="1"/>
  <c r="I41" i="7" s="1"/>
  <c r="J41" i="7" s="1"/>
  <c r="I42" i="7" s="1"/>
  <c r="J42" i="7" s="1"/>
  <c r="I43" i="7" s="1"/>
  <c r="J43" i="7" s="1"/>
  <c r="I44" i="7" s="1"/>
  <c r="J44" i="7" s="1"/>
  <c r="I45" i="7" s="1"/>
  <c r="J45" i="7" s="1"/>
  <c r="I46" i="7" s="1"/>
  <c r="J46" i="7" s="1"/>
  <c r="I47" i="7" s="1"/>
  <c r="J47" i="7" s="1"/>
  <c r="I48" i="7" s="1"/>
  <c r="J48" i="7" s="1"/>
  <c r="I49" i="7" s="1"/>
  <c r="J49" i="7" s="1"/>
  <c r="I50" i="7" s="1"/>
  <c r="J50" i="7" s="1"/>
  <c r="I51" i="7" s="1"/>
  <c r="J51" i="7" s="1"/>
  <c r="I52" i="7" s="1"/>
  <c r="J52" i="7" s="1"/>
  <c r="I53" i="7" s="1"/>
  <c r="J53" i="7" s="1"/>
  <c r="I54" i="7" s="1"/>
  <c r="J54" i="7" s="1"/>
  <c r="I55" i="7" s="1"/>
  <c r="J55" i="7" s="1"/>
  <c r="I56" i="7" s="1"/>
  <c r="J56" i="7" s="1"/>
  <c r="I57" i="7" s="1"/>
  <c r="J57" i="7" s="1"/>
  <c r="I58" i="7" s="1"/>
  <c r="J58" i="7" s="1"/>
  <c r="I59" i="7" s="1"/>
  <c r="J59" i="7" s="1"/>
  <c r="I60" i="7" s="1"/>
  <c r="J60" i="7" s="1"/>
  <c r="I61" i="7" s="1"/>
  <c r="J61" i="7" s="1"/>
  <c r="I62" i="7" s="1"/>
  <c r="J62" i="7" s="1"/>
  <c r="I63" i="7" s="1"/>
  <c r="J63" i="7" s="1"/>
  <c r="I64" i="7" s="1"/>
  <c r="J64" i="7" s="1"/>
  <c r="I65" i="7" s="1"/>
  <c r="J65" i="7" s="1"/>
  <c r="I66" i="7" s="1"/>
  <c r="J66" i="7" s="1"/>
  <c r="I67" i="7" s="1"/>
  <c r="J67" i="7" s="1"/>
  <c r="I68" i="7" s="1"/>
  <c r="J68" i="7" s="1"/>
  <c r="I69" i="7" s="1"/>
  <c r="J69" i="7" s="1"/>
  <c r="I70" i="7" s="1"/>
  <c r="J70" i="7" s="1"/>
  <c r="I71" i="7" s="1"/>
  <c r="J71" i="7" s="1"/>
  <c r="I72" i="7" s="1"/>
  <c r="J72" i="7" s="1"/>
  <c r="I73" i="7" s="1"/>
  <c r="J73" i="7" s="1"/>
  <c r="I74" i="7" s="1"/>
  <c r="J74" i="7" s="1"/>
  <c r="I75" i="7" s="1"/>
  <c r="J75" i="7" s="1"/>
  <c r="I76" i="7" s="1"/>
  <c r="J76" i="7" s="1"/>
  <c r="I77" i="7" s="1"/>
  <c r="J77" i="7" s="1"/>
  <c r="I78" i="7" s="1"/>
  <c r="J78" i="7" s="1"/>
  <c r="I79" i="7" s="1"/>
  <c r="J79" i="7" s="1"/>
  <c r="I80" i="7" s="1"/>
  <c r="J80" i="7" s="1"/>
  <c r="I81" i="7" s="1"/>
  <c r="J81" i="7" s="1"/>
  <c r="I82" i="7" s="1"/>
  <c r="J82" i="7" s="1"/>
  <c r="I83" i="7" s="1"/>
  <c r="J83" i="7" s="1"/>
  <c r="I84" i="7" s="1"/>
  <c r="J84" i="7" s="1"/>
  <c r="I85" i="7" s="1"/>
  <c r="J85" i="7" s="1"/>
  <c r="I86" i="7" s="1"/>
  <c r="J86" i="7" s="1"/>
  <c r="I87" i="7" s="1"/>
  <c r="J87" i="7" s="1"/>
  <c r="I88" i="7" s="1"/>
  <c r="J88" i="7" s="1"/>
  <c r="I89" i="7" s="1"/>
  <c r="J89" i="7" s="1"/>
  <c r="I90" i="7" s="1"/>
  <c r="J90" i="7" s="1"/>
  <c r="I91" i="7" s="1"/>
  <c r="J91" i="7" s="1"/>
  <c r="I92" i="7" s="1"/>
  <c r="J92" i="7" s="1"/>
  <c r="I93" i="7" s="1"/>
  <c r="J93" i="7" s="1"/>
  <c r="I94" i="7" s="1"/>
  <c r="J94" i="7" s="1"/>
  <c r="I95" i="7" s="1"/>
  <c r="J95" i="7" s="1"/>
  <c r="I96" i="7" s="1"/>
  <c r="J96" i="7" s="1"/>
  <c r="I97" i="7" s="1"/>
  <c r="J97" i="7" s="1"/>
  <c r="I98" i="7" s="1"/>
  <c r="J98" i="7" s="1"/>
  <c r="I99" i="7" s="1"/>
  <c r="J99" i="7" s="1"/>
  <c r="I100" i="7" s="1"/>
  <c r="J100" i="7" s="1"/>
  <c r="I101" i="7" s="1"/>
  <c r="J101" i="7" s="1"/>
  <c r="I102" i="7" s="1"/>
  <c r="J102" i="7" s="1"/>
  <c r="I103" i="7" s="1"/>
  <c r="J103" i="7" s="1"/>
  <c r="AK4" i="7"/>
  <c r="AJ5" i="7" s="1"/>
  <c r="AK5" i="7" s="1"/>
  <c r="AJ6" i="7" s="1"/>
  <c r="AK6" i="7" s="1"/>
  <c r="AJ7" i="7" s="1"/>
  <c r="AK7" i="7" s="1"/>
  <c r="AJ8" i="7" s="1"/>
  <c r="AK8" i="7" s="1"/>
  <c r="AJ9" i="7" s="1"/>
  <c r="AK9" i="7" s="1"/>
  <c r="AJ10" i="7" s="1"/>
  <c r="AK10" i="7" s="1"/>
  <c r="AJ11" i="7" s="1"/>
  <c r="AK11" i="7" s="1"/>
  <c r="AJ12" i="7" s="1"/>
  <c r="AK12" i="7" s="1"/>
  <c r="AJ13" i="7" s="1"/>
  <c r="AK13" i="7" s="1"/>
  <c r="AJ14" i="7" s="1"/>
  <c r="AK14" i="7" s="1"/>
  <c r="AJ15" i="7" s="1"/>
  <c r="AK15" i="7" s="1"/>
  <c r="AJ16" i="7" s="1"/>
  <c r="AK16" i="7" s="1"/>
  <c r="AJ17" i="7" s="1"/>
  <c r="AK17" i="7" s="1"/>
  <c r="AJ18" i="7" s="1"/>
  <c r="AK18" i="7" s="1"/>
  <c r="AJ19" i="7" s="1"/>
  <c r="AK19" i="7" s="1"/>
  <c r="AJ20" i="7" s="1"/>
  <c r="AK20" i="7" s="1"/>
  <c r="AJ21" i="7" s="1"/>
  <c r="AK21" i="7" s="1"/>
  <c r="AJ22" i="7" s="1"/>
  <c r="AK22" i="7" s="1"/>
  <c r="AJ23" i="7" s="1"/>
  <c r="AK23" i="7" s="1"/>
  <c r="AJ24" i="7" s="1"/>
  <c r="AK24" i="7" s="1"/>
  <c r="AJ25" i="7" s="1"/>
  <c r="AK25" i="7" s="1"/>
  <c r="AJ26" i="7" s="1"/>
  <c r="AK26" i="7" s="1"/>
  <c r="AJ27" i="7" s="1"/>
  <c r="AK27" i="7" s="1"/>
  <c r="AJ28" i="7" s="1"/>
  <c r="AK28" i="7" s="1"/>
  <c r="AJ29" i="7" s="1"/>
  <c r="AK29" i="7" s="1"/>
  <c r="AJ30" i="7" s="1"/>
  <c r="AK30" i="7" s="1"/>
  <c r="AJ31" i="7" s="1"/>
  <c r="AK31" i="7" s="1"/>
  <c r="AJ32" i="7" s="1"/>
  <c r="AK32" i="7" s="1"/>
  <c r="AJ33" i="7" s="1"/>
  <c r="AK33" i="7" s="1"/>
  <c r="AJ34" i="7" s="1"/>
  <c r="AK34" i="7" s="1"/>
  <c r="AJ35" i="7" s="1"/>
  <c r="AK35" i="7" s="1"/>
  <c r="AJ36" i="7" s="1"/>
  <c r="AK36" i="7" s="1"/>
  <c r="AJ37" i="7" s="1"/>
  <c r="AK37" i="7" s="1"/>
  <c r="AJ38" i="7" s="1"/>
  <c r="AK38" i="7" s="1"/>
  <c r="AJ39" i="7" s="1"/>
  <c r="AK39" i="7" s="1"/>
  <c r="AJ40" i="7" s="1"/>
  <c r="AK40" i="7" s="1"/>
  <c r="AJ41" i="7" s="1"/>
  <c r="AK41" i="7" s="1"/>
  <c r="AJ42" i="7" s="1"/>
  <c r="AK42" i="7" s="1"/>
  <c r="AJ43" i="7" s="1"/>
  <c r="AK43" i="7" s="1"/>
  <c r="AJ44" i="7" s="1"/>
  <c r="AK44" i="7" s="1"/>
  <c r="AJ45" i="7" s="1"/>
  <c r="AK45" i="7" s="1"/>
  <c r="AJ46" i="7" s="1"/>
  <c r="AK46" i="7" s="1"/>
  <c r="AJ47" i="7" s="1"/>
  <c r="AK47" i="7" s="1"/>
  <c r="AJ48" i="7" s="1"/>
  <c r="AK48" i="7" s="1"/>
  <c r="AJ49" i="7" s="1"/>
  <c r="AK49" i="7" s="1"/>
  <c r="AJ50" i="7" s="1"/>
  <c r="AK50" i="7" s="1"/>
  <c r="AJ51" i="7" s="1"/>
  <c r="AK51" i="7" s="1"/>
  <c r="AJ52" i="7" s="1"/>
  <c r="AK52" i="7" s="1"/>
  <c r="AJ53" i="7" s="1"/>
  <c r="AK53" i="7" s="1"/>
  <c r="AJ54" i="7" s="1"/>
  <c r="AK54" i="7" s="1"/>
  <c r="AJ55" i="7" s="1"/>
  <c r="AK55" i="7" s="1"/>
  <c r="AJ56" i="7" s="1"/>
  <c r="AK56" i="7" s="1"/>
  <c r="AJ57" i="7" s="1"/>
  <c r="AK57" i="7" s="1"/>
  <c r="AJ58" i="7" s="1"/>
  <c r="AK58" i="7" s="1"/>
  <c r="AJ59" i="7" s="1"/>
  <c r="AK59" i="7" s="1"/>
  <c r="AJ60" i="7" s="1"/>
  <c r="AK60" i="7" s="1"/>
  <c r="AJ61" i="7" s="1"/>
  <c r="AK61" i="7" s="1"/>
  <c r="AJ62" i="7" s="1"/>
  <c r="AK62" i="7" s="1"/>
  <c r="AJ63" i="7" s="1"/>
  <c r="AK63" i="7" s="1"/>
  <c r="AJ64" i="7" s="1"/>
  <c r="AK64" i="7" s="1"/>
  <c r="AJ65" i="7" s="1"/>
  <c r="AK65" i="7" s="1"/>
  <c r="AJ66" i="7" s="1"/>
  <c r="AK66" i="7" s="1"/>
  <c r="AJ67" i="7" s="1"/>
  <c r="AK67" i="7" s="1"/>
  <c r="AJ68" i="7" s="1"/>
  <c r="AK68" i="7" s="1"/>
  <c r="AJ69" i="7" s="1"/>
  <c r="AK69" i="7" s="1"/>
  <c r="AJ70" i="7" s="1"/>
  <c r="AK70" i="7" s="1"/>
  <c r="AJ71" i="7" s="1"/>
  <c r="AK71" i="7" s="1"/>
  <c r="AJ72" i="7" s="1"/>
  <c r="AK72" i="7" s="1"/>
  <c r="AJ73" i="7" s="1"/>
  <c r="AK73" i="7" s="1"/>
  <c r="AJ74" i="7" s="1"/>
  <c r="AK74" i="7" s="1"/>
  <c r="AJ75" i="7" s="1"/>
  <c r="AK75" i="7" s="1"/>
  <c r="AJ76" i="7" s="1"/>
  <c r="AK76" i="7" s="1"/>
  <c r="AJ77" i="7" s="1"/>
  <c r="AK77" i="7" s="1"/>
  <c r="AJ78" i="7" s="1"/>
  <c r="AK78" i="7" s="1"/>
  <c r="AJ79" i="7" s="1"/>
  <c r="AK79" i="7" s="1"/>
  <c r="AJ80" i="7" s="1"/>
  <c r="AK80" i="7" s="1"/>
  <c r="AJ81" i="7" s="1"/>
  <c r="AK81" i="7" s="1"/>
  <c r="AJ82" i="7" s="1"/>
  <c r="AK82" i="7" s="1"/>
  <c r="AJ83" i="7" s="1"/>
  <c r="AK83" i="7" s="1"/>
  <c r="AJ84" i="7" s="1"/>
  <c r="AK84" i="7" s="1"/>
  <c r="AJ85" i="7" s="1"/>
  <c r="AK85" i="7" s="1"/>
  <c r="AJ86" i="7" s="1"/>
  <c r="AK86" i="7" s="1"/>
  <c r="AJ87" i="7" s="1"/>
  <c r="AK87" i="7" s="1"/>
  <c r="AJ88" i="7" s="1"/>
  <c r="AK88" i="7" s="1"/>
  <c r="AJ89" i="7" s="1"/>
  <c r="AK89" i="7" s="1"/>
  <c r="AJ90" i="7" s="1"/>
  <c r="AK90" i="7" s="1"/>
  <c r="AJ91" i="7" s="1"/>
  <c r="AK91" i="7" s="1"/>
  <c r="AJ92" i="7" s="1"/>
  <c r="AK92" i="7" s="1"/>
  <c r="AJ93" i="7" s="1"/>
  <c r="AK93" i="7" s="1"/>
  <c r="AJ94" i="7" s="1"/>
  <c r="AK94" i="7" s="1"/>
  <c r="AJ95" i="7" s="1"/>
  <c r="AK95" i="7" s="1"/>
  <c r="AJ96" i="7" s="1"/>
  <c r="AK96" i="7" s="1"/>
  <c r="AJ97" i="7" s="1"/>
  <c r="AK97" i="7" s="1"/>
  <c r="AJ98" i="7" s="1"/>
  <c r="AK98" i="7" s="1"/>
  <c r="AJ99" i="7" s="1"/>
  <c r="AK99" i="7" s="1"/>
  <c r="AJ100" i="7" s="1"/>
  <c r="AK100" i="7" s="1"/>
  <c r="AJ101" i="7" s="1"/>
  <c r="AK101" i="7" s="1"/>
  <c r="AJ102" i="7" s="1"/>
  <c r="AK102" i="7" s="1"/>
  <c r="AJ103" i="7" s="1"/>
  <c r="AK103" i="7" s="1"/>
  <c r="CP6" i="7"/>
  <c r="CO7" i="7" s="1"/>
  <c r="CJ4" i="7"/>
  <c r="CI5" i="7" s="1"/>
  <c r="CJ5" i="7" s="1"/>
  <c r="CI6" i="7" s="1"/>
  <c r="O10" i="7"/>
  <c r="P10" i="7" s="1"/>
  <c r="ER4" i="7"/>
  <c r="EQ5" i="7" s="1"/>
  <c r="ER5" i="7" s="1"/>
  <c r="EQ6" i="7" s="1"/>
  <c r="ER6" i="7" s="1"/>
  <c r="EQ7" i="7" s="1"/>
  <c r="BU4" i="7"/>
  <c r="BT5" i="7" s="1"/>
  <c r="BU5" i="7" s="1"/>
  <c r="BT6" i="7" s="1"/>
  <c r="BU6" i="7" s="1"/>
  <c r="P25" i="10" l="1"/>
  <c r="P29" i="10"/>
  <c r="B100" i="9"/>
  <c r="I26" i="10" s="1"/>
  <c r="I22" i="10"/>
  <c r="M52" i="10"/>
  <c r="N52" i="10" s="1"/>
  <c r="M50" i="10"/>
  <c r="M46" i="10"/>
  <c r="M53" i="10"/>
  <c r="M51" i="10"/>
  <c r="M49" i="10"/>
  <c r="M56" i="10"/>
  <c r="N56" i="10" s="1"/>
  <c r="M43" i="10"/>
  <c r="M40" i="10"/>
  <c r="M54" i="10"/>
  <c r="M55" i="10"/>
  <c r="H27" i="10"/>
  <c r="DB4" i="7"/>
  <c r="DA5" i="7" s="1"/>
  <c r="DB5" i="7" s="1"/>
  <c r="DA6" i="7" s="1"/>
  <c r="DB6" i="7" s="1"/>
  <c r="DA7" i="7" s="1"/>
  <c r="DB7" i="7" s="1"/>
  <c r="DA8" i="7" s="1"/>
  <c r="DB8" i="7" s="1"/>
  <c r="DA9" i="7" s="1"/>
  <c r="DB9" i="7" s="1"/>
  <c r="DA10" i="7" s="1"/>
  <c r="DB10" i="7" s="1"/>
  <c r="DA11" i="7" s="1"/>
  <c r="DB11" i="7" s="1"/>
  <c r="DA12" i="7" s="1"/>
  <c r="DB12" i="7" s="1"/>
  <c r="DA13" i="7" s="1"/>
  <c r="DB13" i="7" s="1"/>
  <c r="DA14" i="7" s="1"/>
  <c r="DB14" i="7" s="1"/>
  <c r="DA15" i="7" s="1"/>
  <c r="DB15" i="7" s="1"/>
  <c r="DA16" i="7" s="1"/>
  <c r="DB16" i="7" s="1"/>
  <c r="DA17" i="7" s="1"/>
  <c r="DB17" i="7" s="1"/>
  <c r="DA18" i="7" s="1"/>
  <c r="DB18" i="7" s="1"/>
  <c r="DA19" i="7" s="1"/>
  <c r="DB19" i="7" s="1"/>
  <c r="DA20" i="7" s="1"/>
  <c r="DB20" i="7" s="1"/>
  <c r="DA21" i="7" s="1"/>
  <c r="DB21" i="7" s="1"/>
  <c r="DA22" i="7" s="1"/>
  <c r="DB22" i="7" s="1"/>
  <c r="DA23" i="7" s="1"/>
  <c r="DB23" i="7" s="1"/>
  <c r="DA24" i="7" s="1"/>
  <c r="DB24" i="7" s="1"/>
  <c r="DA25" i="7" s="1"/>
  <c r="DB25" i="7" s="1"/>
  <c r="DA26" i="7" s="1"/>
  <c r="DB26" i="7" s="1"/>
  <c r="DA27" i="7" s="1"/>
  <c r="DB27" i="7" s="1"/>
  <c r="DA28" i="7" s="1"/>
  <c r="DB28" i="7" s="1"/>
  <c r="DA29" i="7" s="1"/>
  <c r="DB29" i="7" s="1"/>
  <c r="DA30" i="7" s="1"/>
  <c r="DB30" i="7" s="1"/>
  <c r="DA31" i="7" s="1"/>
  <c r="DB31" i="7" s="1"/>
  <c r="DA32" i="7" s="1"/>
  <c r="DB32" i="7" s="1"/>
  <c r="DA33" i="7" s="1"/>
  <c r="DB33" i="7" s="1"/>
  <c r="DA34" i="7" s="1"/>
  <c r="DB34" i="7" s="1"/>
  <c r="DA35" i="7" s="1"/>
  <c r="DB35" i="7" s="1"/>
  <c r="DA36" i="7" s="1"/>
  <c r="DB36" i="7" s="1"/>
  <c r="DA37" i="7" s="1"/>
  <c r="DB37" i="7" s="1"/>
  <c r="DA38" i="7" s="1"/>
  <c r="DB38" i="7" s="1"/>
  <c r="DA39" i="7" s="1"/>
  <c r="DB39" i="7" s="1"/>
  <c r="DA40" i="7" s="1"/>
  <c r="DB40" i="7" s="1"/>
  <c r="DA41" i="7" s="1"/>
  <c r="DB41" i="7" s="1"/>
  <c r="DA42" i="7" s="1"/>
  <c r="DB42" i="7" s="1"/>
  <c r="DA43" i="7" s="1"/>
  <c r="DB43" i="7" s="1"/>
  <c r="DA44" i="7" s="1"/>
  <c r="DB44" i="7" s="1"/>
  <c r="DA45" i="7" s="1"/>
  <c r="DB45" i="7" s="1"/>
  <c r="DA46" i="7" s="1"/>
  <c r="DB46" i="7" s="1"/>
  <c r="DA47" i="7" s="1"/>
  <c r="DB47" i="7" s="1"/>
  <c r="DA48" i="7" s="1"/>
  <c r="DB48" i="7" s="1"/>
  <c r="DA49" i="7" s="1"/>
  <c r="DB49" i="7" s="1"/>
  <c r="DA50" i="7" s="1"/>
  <c r="DB50" i="7" s="1"/>
  <c r="DA51" i="7" s="1"/>
  <c r="DB51" i="7" s="1"/>
  <c r="DA52" i="7" s="1"/>
  <c r="DB52" i="7" s="1"/>
  <c r="DA53" i="7" s="1"/>
  <c r="DB53" i="7" s="1"/>
  <c r="DA54" i="7" s="1"/>
  <c r="DB54" i="7" s="1"/>
  <c r="DA55" i="7" s="1"/>
  <c r="DB55" i="7" s="1"/>
  <c r="DA56" i="7" s="1"/>
  <c r="DB56" i="7" s="1"/>
  <c r="DA57" i="7" s="1"/>
  <c r="DB57" i="7" s="1"/>
  <c r="DA58" i="7" s="1"/>
  <c r="DB58" i="7" s="1"/>
  <c r="DA59" i="7" s="1"/>
  <c r="DB59" i="7" s="1"/>
  <c r="DA60" i="7" s="1"/>
  <c r="DB60" i="7" s="1"/>
  <c r="DA61" i="7" s="1"/>
  <c r="DB61" i="7" s="1"/>
  <c r="DA62" i="7" s="1"/>
  <c r="DB62" i="7" s="1"/>
  <c r="DA63" i="7" s="1"/>
  <c r="DB63" i="7" s="1"/>
  <c r="DA64" i="7" s="1"/>
  <c r="DB64" i="7" s="1"/>
  <c r="DA65" i="7" s="1"/>
  <c r="DB65" i="7" s="1"/>
  <c r="DA66" i="7" s="1"/>
  <c r="DB66" i="7" s="1"/>
  <c r="DA67" i="7" s="1"/>
  <c r="DB67" i="7" s="1"/>
  <c r="DA68" i="7" s="1"/>
  <c r="DB68" i="7" s="1"/>
  <c r="DA69" i="7" s="1"/>
  <c r="DB69" i="7" s="1"/>
  <c r="DA70" i="7" s="1"/>
  <c r="DB70" i="7" s="1"/>
  <c r="DA71" i="7" s="1"/>
  <c r="DB71" i="7" s="1"/>
  <c r="DA72" i="7" s="1"/>
  <c r="DB72" i="7" s="1"/>
  <c r="DA73" i="7" s="1"/>
  <c r="DB73" i="7" s="1"/>
  <c r="DA74" i="7" s="1"/>
  <c r="DB74" i="7" s="1"/>
  <c r="DA75" i="7" s="1"/>
  <c r="DB75" i="7" s="1"/>
  <c r="DA76" i="7" s="1"/>
  <c r="DB76" i="7" s="1"/>
  <c r="DA77" i="7" s="1"/>
  <c r="DB77" i="7" s="1"/>
  <c r="DA78" i="7" s="1"/>
  <c r="DB78" i="7" s="1"/>
  <c r="DA79" i="7" s="1"/>
  <c r="DB79" i="7" s="1"/>
  <c r="DA80" i="7" s="1"/>
  <c r="DB80" i="7" s="1"/>
  <c r="DA81" i="7" s="1"/>
  <c r="DB81" i="7" s="1"/>
  <c r="DA82" i="7" s="1"/>
  <c r="DB82" i="7" s="1"/>
  <c r="DA83" i="7" s="1"/>
  <c r="DB83" i="7" s="1"/>
  <c r="DA84" i="7" s="1"/>
  <c r="DB84" i="7" s="1"/>
  <c r="DA85" i="7" s="1"/>
  <c r="DB85" i="7" s="1"/>
  <c r="DA86" i="7" s="1"/>
  <c r="DB86" i="7" s="1"/>
  <c r="DA87" i="7" s="1"/>
  <c r="DB87" i="7" s="1"/>
  <c r="DA88" i="7" s="1"/>
  <c r="DB88" i="7" s="1"/>
  <c r="DA89" i="7" s="1"/>
  <c r="DB89" i="7" s="1"/>
  <c r="DA90" i="7" s="1"/>
  <c r="DB90" i="7" s="1"/>
  <c r="DA91" i="7" s="1"/>
  <c r="DB91" i="7" s="1"/>
  <c r="DA92" i="7" s="1"/>
  <c r="DB92" i="7" s="1"/>
  <c r="DA93" i="7" s="1"/>
  <c r="DB93" i="7" s="1"/>
  <c r="DA94" i="7" s="1"/>
  <c r="DB94" i="7" s="1"/>
  <c r="DA95" i="7" s="1"/>
  <c r="DB95" i="7" s="1"/>
  <c r="DA96" i="7" s="1"/>
  <c r="DB96" i="7" s="1"/>
  <c r="DA97" i="7" s="1"/>
  <c r="DB97" i="7" s="1"/>
  <c r="DA98" i="7" s="1"/>
  <c r="DB98" i="7" s="1"/>
  <c r="DA99" i="7" s="1"/>
  <c r="DB99" i="7" s="1"/>
  <c r="DA100" i="7" s="1"/>
  <c r="DB100" i="7" s="1"/>
  <c r="DA101" i="7" s="1"/>
  <c r="DB101" i="7" s="1"/>
  <c r="DA102" i="7" s="1"/>
  <c r="DB102" i="7" s="1"/>
  <c r="DA103" i="7" s="1"/>
  <c r="DB103" i="7" s="1"/>
  <c r="CM6" i="7"/>
  <c r="CL7" i="7" s="1"/>
  <c r="CG7" i="7"/>
  <c r="CF8" i="7" s="1"/>
  <c r="CC8" i="7"/>
  <c r="CD8" i="7" s="1"/>
  <c r="CA6" i="7"/>
  <c r="BZ7" i="7" s="1"/>
  <c r="BX7" i="7"/>
  <c r="BW8" i="7" s="1"/>
  <c r="BR6" i="7"/>
  <c r="BQ7" i="7" s="1"/>
  <c r="BN8" i="7"/>
  <c r="BO8" i="7" s="1"/>
  <c r="BK8" i="7"/>
  <c r="BL8" i="7" s="1"/>
  <c r="BH7" i="7"/>
  <c r="BI7" i="7" s="1"/>
  <c r="BB8" i="7"/>
  <c r="BC8" i="7" s="1"/>
  <c r="AZ7" i="7"/>
  <c r="AY8" i="7" s="1"/>
  <c r="BF6" i="7"/>
  <c r="BE7" i="7" s="1"/>
  <c r="CP7" i="7"/>
  <c r="CO8" i="7" s="1"/>
  <c r="CY6" i="7"/>
  <c r="GN6" i="7"/>
  <c r="GK6" i="7"/>
  <c r="GJ7" i="7" s="1"/>
  <c r="GK7" i="7" s="1"/>
  <c r="GJ8" i="7" s="1"/>
  <c r="GG7" i="7"/>
  <c r="GH7" i="7" s="1"/>
  <c r="GE8" i="7"/>
  <c r="GD9" i="7" s="1"/>
  <c r="GB8" i="7"/>
  <c r="GA9" i="7" s="1"/>
  <c r="FX8" i="7"/>
  <c r="FY8" i="7" s="1"/>
  <c r="FV9" i="7"/>
  <c r="FU10" i="7" s="1"/>
  <c r="FR8" i="7"/>
  <c r="FS8" i="7" s="1"/>
  <c r="FO7" i="7"/>
  <c r="FP7" i="7" s="1"/>
  <c r="FL7" i="7"/>
  <c r="FM7" i="7" s="1"/>
  <c r="FJ8" i="7"/>
  <c r="FI9" i="7" s="1"/>
  <c r="FF7" i="7"/>
  <c r="FG7" i="7" s="1"/>
  <c r="FD6" i="7"/>
  <c r="FC7" i="7" s="1"/>
  <c r="FD7" i="7" s="1"/>
  <c r="FC8" i="7" s="1"/>
  <c r="FA8" i="7"/>
  <c r="EZ9" i="7" s="1"/>
  <c r="EX7" i="7"/>
  <c r="EW8" i="7" s="1"/>
  <c r="EU8" i="7"/>
  <c r="ET9" i="7" s="1"/>
  <c r="EO7" i="7"/>
  <c r="EN8" i="7" s="1"/>
  <c r="EL6" i="7"/>
  <c r="EK7" i="7" s="1"/>
  <c r="EL7" i="7" s="1"/>
  <c r="EK8" i="7" s="1"/>
  <c r="EI8" i="7"/>
  <c r="EH9" i="7" s="1"/>
  <c r="EF7" i="7"/>
  <c r="EE8" i="7" s="1"/>
  <c r="EC8" i="7"/>
  <c r="EB9" i="7" s="1"/>
  <c r="DY8" i="7"/>
  <c r="DZ8" i="7" s="1"/>
  <c r="DT8" i="7"/>
  <c r="DS9" i="7" s="1"/>
  <c r="DQ6" i="7"/>
  <c r="DP7" i="7" s="1"/>
  <c r="DQ7" i="7" s="1"/>
  <c r="DP8" i="7" s="1"/>
  <c r="DN8" i="7"/>
  <c r="DM9" i="7" s="1"/>
  <c r="DH7" i="7"/>
  <c r="DG8" i="7" s="1"/>
  <c r="C6" i="7"/>
  <c r="D6" i="7" s="1"/>
  <c r="V4" i="7"/>
  <c r="U5" i="7" s="1"/>
  <c r="V5" i="7" s="1"/>
  <c r="U6" i="7" s="1"/>
  <c r="V6" i="7" s="1"/>
  <c r="U7" i="7" s="1"/>
  <c r="V7" i="7" s="1"/>
  <c r="U8" i="7" s="1"/>
  <c r="V8" i="7" s="1"/>
  <c r="U9" i="7" s="1"/>
  <c r="V9" i="7" s="1"/>
  <c r="U10" i="7" s="1"/>
  <c r="V10" i="7" s="1"/>
  <c r="U11" i="7" s="1"/>
  <c r="V11" i="7" s="1"/>
  <c r="U12" i="7" s="1"/>
  <c r="V12" i="7" s="1"/>
  <c r="U13" i="7" s="1"/>
  <c r="V13" i="7" s="1"/>
  <c r="U14" i="7" s="1"/>
  <c r="V14" i="7" s="1"/>
  <c r="U15" i="7" s="1"/>
  <c r="V15" i="7" s="1"/>
  <c r="U16" i="7" s="1"/>
  <c r="V16" i="7" s="1"/>
  <c r="U17" i="7" s="1"/>
  <c r="V17" i="7" s="1"/>
  <c r="U18" i="7" s="1"/>
  <c r="V18" i="7" s="1"/>
  <c r="U19" i="7" s="1"/>
  <c r="V19" i="7" s="1"/>
  <c r="U20" i="7" s="1"/>
  <c r="V20" i="7" s="1"/>
  <c r="U21" i="7" s="1"/>
  <c r="V21" i="7" s="1"/>
  <c r="U22" i="7" s="1"/>
  <c r="V22" i="7" s="1"/>
  <c r="U23" i="7" s="1"/>
  <c r="V23" i="7" s="1"/>
  <c r="U24" i="7" s="1"/>
  <c r="V24" i="7" s="1"/>
  <c r="U25" i="7" s="1"/>
  <c r="V25" i="7" s="1"/>
  <c r="U26" i="7" s="1"/>
  <c r="V26" i="7" s="1"/>
  <c r="U27" i="7" s="1"/>
  <c r="V27" i="7" s="1"/>
  <c r="U28" i="7" s="1"/>
  <c r="V28" i="7" s="1"/>
  <c r="U29" i="7" s="1"/>
  <c r="V29" i="7" s="1"/>
  <c r="U30" i="7" s="1"/>
  <c r="V30" i="7" s="1"/>
  <c r="U31" i="7" s="1"/>
  <c r="V31" i="7" s="1"/>
  <c r="U32" i="7" s="1"/>
  <c r="V32" i="7" s="1"/>
  <c r="U33" i="7" s="1"/>
  <c r="V33" i="7" s="1"/>
  <c r="U34" i="7" s="1"/>
  <c r="V34" i="7" s="1"/>
  <c r="U35" i="7" s="1"/>
  <c r="V35" i="7" s="1"/>
  <c r="U36" i="7" s="1"/>
  <c r="V36" i="7" s="1"/>
  <c r="U37" i="7" s="1"/>
  <c r="V37" i="7" s="1"/>
  <c r="U38" i="7" s="1"/>
  <c r="V38" i="7" s="1"/>
  <c r="U39" i="7" s="1"/>
  <c r="V39" i="7" s="1"/>
  <c r="U40" i="7" s="1"/>
  <c r="V40" i="7" s="1"/>
  <c r="U41" i="7" s="1"/>
  <c r="V41" i="7" s="1"/>
  <c r="U42" i="7" s="1"/>
  <c r="V42" i="7" s="1"/>
  <c r="U43" i="7" s="1"/>
  <c r="V43" i="7" s="1"/>
  <c r="U44" i="7" s="1"/>
  <c r="V44" i="7" s="1"/>
  <c r="U45" i="7" s="1"/>
  <c r="V45" i="7" s="1"/>
  <c r="U46" i="7" s="1"/>
  <c r="V46" i="7" s="1"/>
  <c r="U47" i="7" s="1"/>
  <c r="V47" i="7" s="1"/>
  <c r="U48" i="7" s="1"/>
  <c r="V48" i="7" s="1"/>
  <c r="U49" i="7" s="1"/>
  <c r="V49" i="7" s="1"/>
  <c r="U50" i="7" s="1"/>
  <c r="V50" i="7" s="1"/>
  <c r="U51" i="7" s="1"/>
  <c r="V51" i="7" s="1"/>
  <c r="U52" i="7" s="1"/>
  <c r="V52" i="7" s="1"/>
  <c r="U53" i="7" s="1"/>
  <c r="V53" i="7" s="1"/>
  <c r="U54" i="7" s="1"/>
  <c r="V54" i="7" s="1"/>
  <c r="U55" i="7" s="1"/>
  <c r="V55" i="7" s="1"/>
  <c r="U56" i="7" s="1"/>
  <c r="V56" i="7" s="1"/>
  <c r="U57" i="7" s="1"/>
  <c r="V57" i="7" s="1"/>
  <c r="U58" i="7" s="1"/>
  <c r="V58" i="7" s="1"/>
  <c r="U59" i="7" s="1"/>
  <c r="V59" i="7" s="1"/>
  <c r="U60" i="7" s="1"/>
  <c r="V60" i="7" s="1"/>
  <c r="U61" i="7" s="1"/>
  <c r="V61" i="7" s="1"/>
  <c r="U62" i="7" s="1"/>
  <c r="V62" i="7" s="1"/>
  <c r="U63" i="7" s="1"/>
  <c r="V63" i="7" s="1"/>
  <c r="U64" i="7" s="1"/>
  <c r="V64" i="7" s="1"/>
  <c r="U65" i="7" s="1"/>
  <c r="V65" i="7" s="1"/>
  <c r="U66" i="7" s="1"/>
  <c r="V66" i="7" s="1"/>
  <c r="U67" i="7" s="1"/>
  <c r="V67" i="7" s="1"/>
  <c r="U68" i="7" s="1"/>
  <c r="V68" i="7" s="1"/>
  <c r="U69" i="7" s="1"/>
  <c r="V69" i="7" s="1"/>
  <c r="U70" i="7" s="1"/>
  <c r="V70" i="7" s="1"/>
  <c r="U71" i="7" s="1"/>
  <c r="V71" i="7" s="1"/>
  <c r="U72" i="7" s="1"/>
  <c r="V72" i="7" s="1"/>
  <c r="U73" i="7" s="1"/>
  <c r="V73" i="7" s="1"/>
  <c r="U74" i="7" s="1"/>
  <c r="V74" i="7" s="1"/>
  <c r="U75" i="7" s="1"/>
  <c r="V75" i="7" s="1"/>
  <c r="U76" i="7" s="1"/>
  <c r="V76" i="7" s="1"/>
  <c r="U77" i="7" s="1"/>
  <c r="V77" i="7" s="1"/>
  <c r="U78" i="7" s="1"/>
  <c r="V78" i="7" s="1"/>
  <c r="U79" i="7" s="1"/>
  <c r="V79" i="7" s="1"/>
  <c r="U80" i="7" s="1"/>
  <c r="V80" i="7" s="1"/>
  <c r="U81" i="7" s="1"/>
  <c r="V81" i="7" s="1"/>
  <c r="U82" i="7" s="1"/>
  <c r="V82" i="7" s="1"/>
  <c r="U83" i="7" s="1"/>
  <c r="V83" i="7" s="1"/>
  <c r="U84" i="7" s="1"/>
  <c r="V84" i="7" s="1"/>
  <c r="U85" i="7" s="1"/>
  <c r="V85" i="7" s="1"/>
  <c r="U86" i="7" s="1"/>
  <c r="V86" i="7" s="1"/>
  <c r="U87" i="7" s="1"/>
  <c r="V87" i="7" s="1"/>
  <c r="U88" i="7" s="1"/>
  <c r="V88" i="7" s="1"/>
  <c r="U89" i="7" s="1"/>
  <c r="V89" i="7" s="1"/>
  <c r="U90" i="7" s="1"/>
  <c r="V90" i="7" s="1"/>
  <c r="U91" i="7" s="1"/>
  <c r="V91" i="7" s="1"/>
  <c r="U92" i="7" s="1"/>
  <c r="V92" i="7" s="1"/>
  <c r="U93" i="7" s="1"/>
  <c r="V93" i="7" s="1"/>
  <c r="U94" i="7" s="1"/>
  <c r="V94" i="7" s="1"/>
  <c r="U95" i="7" s="1"/>
  <c r="V95" i="7" s="1"/>
  <c r="U96" i="7" s="1"/>
  <c r="V96" i="7" s="1"/>
  <c r="U97" i="7" s="1"/>
  <c r="V97" i="7" s="1"/>
  <c r="U98" i="7" s="1"/>
  <c r="V98" i="7" s="1"/>
  <c r="U99" i="7" s="1"/>
  <c r="V99" i="7" s="1"/>
  <c r="U100" i="7" s="1"/>
  <c r="V100" i="7" s="1"/>
  <c r="U101" i="7" s="1"/>
  <c r="V101" i="7" s="1"/>
  <c r="U102" i="7" s="1"/>
  <c r="V102" i="7" s="1"/>
  <c r="U103" i="7" s="1"/>
  <c r="V103" i="7" s="1"/>
  <c r="AT4" i="7"/>
  <c r="AS5" i="7" s="1"/>
  <c r="AT5" i="7" s="1"/>
  <c r="AS6" i="7" s="1"/>
  <c r="AT6" i="7" s="1"/>
  <c r="AS7" i="7" s="1"/>
  <c r="AT7" i="7" s="1"/>
  <c r="AS8" i="7" s="1"/>
  <c r="AT8" i="7" s="1"/>
  <c r="AS9" i="7" s="1"/>
  <c r="AT9" i="7" s="1"/>
  <c r="AS10" i="7" s="1"/>
  <c r="AT10" i="7" s="1"/>
  <c r="AS11" i="7" s="1"/>
  <c r="AT11" i="7" s="1"/>
  <c r="AS12" i="7" s="1"/>
  <c r="AT12" i="7" s="1"/>
  <c r="AS13" i="7" s="1"/>
  <c r="AT13" i="7" s="1"/>
  <c r="AS14" i="7" s="1"/>
  <c r="AT14" i="7" s="1"/>
  <c r="AS15" i="7" s="1"/>
  <c r="AT15" i="7" s="1"/>
  <c r="AS16" i="7" s="1"/>
  <c r="AT16" i="7" s="1"/>
  <c r="AS17" i="7" s="1"/>
  <c r="AT17" i="7" s="1"/>
  <c r="AS18" i="7" s="1"/>
  <c r="AT18" i="7" s="1"/>
  <c r="AS19" i="7" s="1"/>
  <c r="AT19" i="7" s="1"/>
  <c r="AS20" i="7" s="1"/>
  <c r="AT20" i="7" s="1"/>
  <c r="AS21" i="7" s="1"/>
  <c r="AT21" i="7" s="1"/>
  <c r="AS22" i="7" s="1"/>
  <c r="AT22" i="7" s="1"/>
  <c r="AS23" i="7" s="1"/>
  <c r="AT23" i="7" s="1"/>
  <c r="AS24" i="7" s="1"/>
  <c r="AT24" i="7" s="1"/>
  <c r="AS25" i="7" s="1"/>
  <c r="AT25" i="7" s="1"/>
  <c r="AS26" i="7" s="1"/>
  <c r="AT26" i="7" s="1"/>
  <c r="AS27" i="7" s="1"/>
  <c r="AT27" i="7" s="1"/>
  <c r="AS28" i="7" s="1"/>
  <c r="AT28" i="7" s="1"/>
  <c r="AS29" i="7" s="1"/>
  <c r="AT29" i="7" s="1"/>
  <c r="AS30" i="7" s="1"/>
  <c r="AT30" i="7" s="1"/>
  <c r="AS31" i="7" s="1"/>
  <c r="AT31" i="7" s="1"/>
  <c r="AS32" i="7" s="1"/>
  <c r="AT32" i="7" s="1"/>
  <c r="AS33" i="7" s="1"/>
  <c r="AT33" i="7" s="1"/>
  <c r="AS34" i="7" s="1"/>
  <c r="AT34" i="7" s="1"/>
  <c r="AS35" i="7" s="1"/>
  <c r="AT35" i="7" s="1"/>
  <c r="AS36" i="7" s="1"/>
  <c r="AT36" i="7" s="1"/>
  <c r="AS37" i="7" s="1"/>
  <c r="AT37" i="7" s="1"/>
  <c r="AS38" i="7" s="1"/>
  <c r="AT38" i="7" s="1"/>
  <c r="AS39" i="7" s="1"/>
  <c r="AT39" i="7" s="1"/>
  <c r="AS40" i="7" s="1"/>
  <c r="AT40" i="7" s="1"/>
  <c r="AS41" i="7" s="1"/>
  <c r="AT41" i="7" s="1"/>
  <c r="AS42" i="7" s="1"/>
  <c r="AT42" i="7" s="1"/>
  <c r="AS43" i="7" s="1"/>
  <c r="AT43" i="7" s="1"/>
  <c r="AS44" i="7" s="1"/>
  <c r="AT44" i="7" s="1"/>
  <c r="AS45" i="7" s="1"/>
  <c r="AT45" i="7" s="1"/>
  <c r="AS46" i="7" s="1"/>
  <c r="AT46" i="7" s="1"/>
  <c r="AS47" i="7" s="1"/>
  <c r="AT47" i="7" s="1"/>
  <c r="AS48" i="7" s="1"/>
  <c r="AT48" i="7" s="1"/>
  <c r="AS49" i="7" s="1"/>
  <c r="AT49" i="7" s="1"/>
  <c r="AS50" i="7" s="1"/>
  <c r="AT50" i="7" s="1"/>
  <c r="AS51" i="7" s="1"/>
  <c r="AT51" i="7" s="1"/>
  <c r="AS52" i="7" s="1"/>
  <c r="AT52" i="7" s="1"/>
  <c r="AS53" i="7" s="1"/>
  <c r="AT53" i="7" s="1"/>
  <c r="AS54" i="7" s="1"/>
  <c r="AT54" i="7" s="1"/>
  <c r="AS55" i="7" s="1"/>
  <c r="AT55" i="7" s="1"/>
  <c r="AS56" i="7" s="1"/>
  <c r="AT56" i="7" s="1"/>
  <c r="AS57" i="7" s="1"/>
  <c r="AT57" i="7" s="1"/>
  <c r="AS58" i="7" s="1"/>
  <c r="AT58" i="7" s="1"/>
  <c r="AS59" i="7" s="1"/>
  <c r="AT59" i="7" s="1"/>
  <c r="AS60" i="7" s="1"/>
  <c r="AT60" i="7" s="1"/>
  <c r="AS61" i="7" s="1"/>
  <c r="AT61" i="7" s="1"/>
  <c r="AS62" i="7" s="1"/>
  <c r="AT62" i="7" s="1"/>
  <c r="AS63" i="7" s="1"/>
  <c r="AT63" i="7" s="1"/>
  <c r="AS64" i="7" s="1"/>
  <c r="AT64" i="7" s="1"/>
  <c r="AS65" i="7" s="1"/>
  <c r="AT65" i="7" s="1"/>
  <c r="AS66" i="7" s="1"/>
  <c r="AT66" i="7" s="1"/>
  <c r="AS67" i="7" s="1"/>
  <c r="AT67" i="7" s="1"/>
  <c r="AS68" i="7" s="1"/>
  <c r="AT68" i="7" s="1"/>
  <c r="AS69" i="7" s="1"/>
  <c r="AT69" i="7" s="1"/>
  <c r="AS70" i="7" s="1"/>
  <c r="AT70" i="7" s="1"/>
  <c r="AS71" i="7" s="1"/>
  <c r="AT71" i="7" s="1"/>
  <c r="AS72" i="7" s="1"/>
  <c r="AT72" i="7" s="1"/>
  <c r="AS73" i="7" s="1"/>
  <c r="AT73" i="7" s="1"/>
  <c r="AS74" i="7" s="1"/>
  <c r="AT74" i="7" s="1"/>
  <c r="AS75" i="7" s="1"/>
  <c r="AT75" i="7" s="1"/>
  <c r="AS76" i="7" s="1"/>
  <c r="AT76" i="7" s="1"/>
  <c r="AS77" i="7" s="1"/>
  <c r="AT77" i="7" s="1"/>
  <c r="AS78" i="7" s="1"/>
  <c r="AT78" i="7" s="1"/>
  <c r="AS79" i="7" s="1"/>
  <c r="AT79" i="7" s="1"/>
  <c r="AS80" i="7" s="1"/>
  <c r="AT80" i="7" s="1"/>
  <c r="AS81" i="7" s="1"/>
  <c r="AT81" i="7" s="1"/>
  <c r="AS82" i="7" s="1"/>
  <c r="AT82" i="7" s="1"/>
  <c r="AS83" i="7" s="1"/>
  <c r="AT83" i="7" s="1"/>
  <c r="AS84" i="7" s="1"/>
  <c r="AT84" i="7" s="1"/>
  <c r="AS85" i="7" s="1"/>
  <c r="AT85" i="7" s="1"/>
  <c r="AS86" i="7" s="1"/>
  <c r="AT86" i="7" s="1"/>
  <c r="AS87" i="7" s="1"/>
  <c r="AT87" i="7" s="1"/>
  <c r="AS88" i="7" s="1"/>
  <c r="AT88" i="7" s="1"/>
  <c r="AS89" i="7" s="1"/>
  <c r="AT89" i="7" s="1"/>
  <c r="AS90" i="7" s="1"/>
  <c r="AT90" i="7" s="1"/>
  <c r="AS91" i="7" s="1"/>
  <c r="AT91" i="7" s="1"/>
  <c r="AS92" i="7" s="1"/>
  <c r="AT92" i="7" s="1"/>
  <c r="AS93" i="7" s="1"/>
  <c r="AT93" i="7" s="1"/>
  <c r="AS94" i="7" s="1"/>
  <c r="AT94" i="7" s="1"/>
  <c r="AS95" i="7" s="1"/>
  <c r="AT95" i="7" s="1"/>
  <c r="AS96" i="7" s="1"/>
  <c r="AT96" i="7" s="1"/>
  <c r="AS97" i="7" s="1"/>
  <c r="AT97" i="7" s="1"/>
  <c r="AS98" i="7" s="1"/>
  <c r="AT98" i="7" s="1"/>
  <c r="AS99" i="7" s="1"/>
  <c r="AT99" i="7" s="1"/>
  <c r="AS100" i="7" s="1"/>
  <c r="AT100" i="7" s="1"/>
  <c r="AS101" i="7" s="1"/>
  <c r="AT101" i="7" s="1"/>
  <c r="AS102" i="7" s="1"/>
  <c r="AT102" i="7" s="1"/>
  <c r="AS103" i="7" s="1"/>
  <c r="AT103" i="7" s="1"/>
  <c r="O11" i="7"/>
  <c r="P11" i="7" s="1"/>
  <c r="O4" i="6"/>
  <c r="N5" i="6" s="1"/>
  <c r="O5" i="6" s="1"/>
  <c r="N6" i="6" s="1"/>
  <c r="O6" i="6" s="1"/>
  <c r="N7" i="6" s="1"/>
  <c r="O7" i="6" s="1"/>
  <c r="N8" i="6" s="1"/>
  <c r="O8" i="6" s="1"/>
  <c r="N9" i="6" s="1"/>
  <c r="O9" i="6" s="1"/>
  <c r="N10" i="6" s="1"/>
  <c r="O10" i="6" s="1"/>
  <c r="N11" i="6" s="1"/>
  <c r="O11" i="6" s="1"/>
  <c r="N12" i="6" s="1"/>
  <c r="O12" i="6" s="1"/>
  <c r="N13" i="6" s="1"/>
  <c r="O13" i="6" s="1"/>
  <c r="N14" i="6" s="1"/>
  <c r="O14" i="6" s="1"/>
  <c r="N15" i="6" s="1"/>
  <c r="O15" i="6" s="1"/>
  <c r="N16" i="6" s="1"/>
  <c r="O16" i="6" s="1"/>
  <c r="N17" i="6" s="1"/>
  <c r="O17" i="6" s="1"/>
  <c r="N18" i="6" s="1"/>
  <c r="O18" i="6" s="1"/>
  <c r="N19" i="6" s="1"/>
  <c r="O19" i="6" s="1"/>
  <c r="N20" i="6" s="1"/>
  <c r="O20" i="6" s="1"/>
  <c r="N21" i="6" s="1"/>
  <c r="O21" i="6" s="1"/>
  <c r="N22" i="6" s="1"/>
  <c r="O22" i="6" s="1"/>
  <c r="N23" i="6" s="1"/>
  <c r="O23" i="6" s="1"/>
  <c r="N24" i="6" s="1"/>
  <c r="O24" i="6" s="1"/>
  <c r="N25" i="6" s="1"/>
  <c r="O25" i="6" s="1"/>
  <c r="N26" i="6" s="1"/>
  <c r="O26" i="6" s="1"/>
  <c r="N27" i="6" s="1"/>
  <c r="O27" i="6" s="1"/>
  <c r="N28" i="6" s="1"/>
  <c r="O28" i="6" s="1"/>
  <c r="N29" i="6" s="1"/>
  <c r="O29" i="6" s="1"/>
  <c r="N30" i="6" s="1"/>
  <c r="O30" i="6" s="1"/>
  <c r="N31" i="6" s="1"/>
  <c r="O31" i="6" s="1"/>
  <c r="N32" i="6" s="1"/>
  <c r="O32" i="6" s="1"/>
  <c r="N33" i="6" s="1"/>
  <c r="O33" i="6" s="1"/>
  <c r="N34" i="6" s="1"/>
  <c r="O34" i="6" s="1"/>
  <c r="N35" i="6" s="1"/>
  <c r="O35" i="6" s="1"/>
  <c r="N36" i="6" s="1"/>
  <c r="O36" i="6" s="1"/>
  <c r="N37" i="6" s="1"/>
  <c r="O37" i="6" s="1"/>
  <c r="N38" i="6" s="1"/>
  <c r="O38" i="6" s="1"/>
  <c r="N39" i="6" s="1"/>
  <c r="O39" i="6" s="1"/>
  <c r="N40" i="6" s="1"/>
  <c r="O40" i="6" s="1"/>
  <c r="N41" i="6" s="1"/>
  <c r="O41" i="6" s="1"/>
  <c r="N42" i="6" s="1"/>
  <c r="O42" i="6" s="1"/>
  <c r="N43" i="6" s="1"/>
  <c r="O43" i="6" s="1"/>
  <c r="N44" i="6" s="1"/>
  <c r="O44" i="6" s="1"/>
  <c r="N45" i="6" s="1"/>
  <c r="O45" i="6" s="1"/>
  <c r="N46" i="6" s="1"/>
  <c r="O46" i="6" s="1"/>
  <c r="N47" i="6" s="1"/>
  <c r="O47" i="6" s="1"/>
  <c r="N48" i="6" s="1"/>
  <c r="O48" i="6" s="1"/>
  <c r="N49" i="6" s="1"/>
  <c r="O49" i="6" s="1"/>
  <c r="N50" i="6" s="1"/>
  <c r="O50" i="6" s="1"/>
  <c r="N51" i="6" s="1"/>
  <c r="O51" i="6" s="1"/>
  <c r="N52" i="6" s="1"/>
  <c r="O52" i="6" s="1"/>
  <c r="N53" i="6" s="1"/>
  <c r="O53" i="6" s="1"/>
  <c r="N54" i="6" s="1"/>
  <c r="O54" i="6" s="1"/>
  <c r="N55" i="6" s="1"/>
  <c r="O55" i="6" s="1"/>
  <c r="N56" i="6" s="1"/>
  <c r="O56" i="6" s="1"/>
  <c r="N57" i="6" s="1"/>
  <c r="O57" i="6" s="1"/>
  <c r="N58" i="6" s="1"/>
  <c r="O58" i="6" s="1"/>
  <c r="N59" i="6" s="1"/>
  <c r="O59" i="6" s="1"/>
  <c r="N60" i="6" s="1"/>
  <c r="O60" i="6" s="1"/>
  <c r="N61" i="6" s="1"/>
  <c r="O61" i="6" s="1"/>
  <c r="N62" i="6" s="1"/>
  <c r="O62" i="6" s="1"/>
  <c r="N63" i="6" s="1"/>
  <c r="O63" i="6" s="1"/>
  <c r="N64" i="6" s="1"/>
  <c r="O64" i="6" s="1"/>
  <c r="N65" i="6" s="1"/>
  <c r="O65" i="6" s="1"/>
  <c r="N66" i="6" s="1"/>
  <c r="O66" i="6" s="1"/>
  <c r="N67" i="6" s="1"/>
  <c r="O67" i="6" s="1"/>
  <c r="N68" i="6" s="1"/>
  <c r="O68" i="6" s="1"/>
  <c r="N69" i="6" s="1"/>
  <c r="O69" i="6" s="1"/>
  <c r="N70" i="6" s="1"/>
  <c r="O70" i="6" s="1"/>
  <c r="N71" i="6" s="1"/>
  <c r="O71" i="6" s="1"/>
  <c r="N72" i="6" s="1"/>
  <c r="O72" i="6" s="1"/>
  <c r="N73" i="6" s="1"/>
  <c r="O73" i="6" s="1"/>
  <c r="N74" i="6" s="1"/>
  <c r="O74" i="6" s="1"/>
  <c r="N75" i="6" s="1"/>
  <c r="O75" i="6" s="1"/>
  <c r="N76" i="6" s="1"/>
  <c r="O76" i="6" s="1"/>
  <c r="N77" i="6" s="1"/>
  <c r="O77" i="6" s="1"/>
  <c r="N78" i="6" s="1"/>
  <c r="O78" i="6" s="1"/>
  <c r="N79" i="6" s="1"/>
  <c r="O79" i="6" s="1"/>
  <c r="N80" i="6" s="1"/>
  <c r="O80" i="6" s="1"/>
  <c r="N81" i="6" s="1"/>
  <c r="O81" i="6" s="1"/>
  <c r="N82" i="6" s="1"/>
  <c r="O82" i="6" s="1"/>
  <c r="N83" i="6" s="1"/>
  <c r="O83" i="6" s="1"/>
  <c r="N84" i="6" s="1"/>
  <c r="O84" i="6" s="1"/>
  <c r="N85" i="6" s="1"/>
  <c r="O85" i="6" s="1"/>
  <c r="N86" i="6" s="1"/>
  <c r="O86" i="6" s="1"/>
  <c r="N87" i="6" s="1"/>
  <c r="O87" i="6" s="1"/>
  <c r="N88" i="6" s="1"/>
  <c r="O88" i="6" s="1"/>
  <c r="N89" i="6" s="1"/>
  <c r="O89" i="6" s="1"/>
  <c r="N90" i="6" s="1"/>
  <c r="O90" i="6" s="1"/>
  <c r="N91" i="6" s="1"/>
  <c r="O91" i="6" s="1"/>
  <c r="N92" i="6" s="1"/>
  <c r="O92" i="6" s="1"/>
  <c r="N93" i="6" s="1"/>
  <c r="O93" i="6" s="1"/>
  <c r="N94" i="6" s="1"/>
  <c r="O94" i="6" s="1"/>
  <c r="N95" i="6" s="1"/>
  <c r="O95" i="6" s="1"/>
  <c r="N96" i="6" s="1"/>
  <c r="O96" i="6" s="1"/>
  <c r="N97" i="6" s="1"/>
  <c r="O97" i="6" s="1"/>
  <c r="N98" i="6" s="1"/>
  <c r="O98" i="6" s="1"/>
  <c r="N99" i="6" s="1"/>
  <c r="O99" i="6" s="1"/>
  <c r="N100" i="6" s="1"/>
  <c r="O100" i="6" s="1"/>
  <c r="N101" i="6" s="1"/>
  <c r="O101" i="6" s="1"/>
  <c r="N102" i="6" s="1"/>
  <c r="O102" i="6" s="1"/>
  <c r="N103" i="6" s="1"/>
  <c r="O103" i="6" s="1"/>
  <c r="CC4" i="6"/>
  <c r="CB5" i="6" s="1"/>
  <c r="CC5" i="6" s="1"/>
  <c r="CB6" i="6" s="1"/>
  <c r="CC6" i="6" s="1"/>
  <c r="CB7" i="6" s="1"/>
  <c r="CC7" i="6" s="1"/>
  <c r="CB8" i="6" s="1"/>
  <c r="CC8" i="6" s="1"/>
  <c r="CB9" i="6" s="1"/>
  <c r="CC9" i="6" s="1"/>
  <c r="CB10" i="6" s="1"/>
  <c r="CC10" i="6" s="1"/>
  <c r="CB11" i="6" s="1"/>
  <c r="CC11" i="6" s="1"/>
  <c r="CB12" i="6" s="1"/>
  <c r="CC12" i="6" s="1"/>
  <c r="CB13" i="6" s="1"/>
  <c r="CC13" i="6" s="1"/>
  <c r="CB14" i="6" s="1"/>
  <c r="CC14" i="6" s="1"/>
  <c r="CB15" i="6" s="1"/>
  <c r="CC15" i="6" s="1"/>
  <c r="CB16" i="6" s="1"/>
  <c r="CC16" i="6" s="1"/>
  <c r="CB17" i="6" s="1"/>
  <c r="CC17" i="6" s="1"/>
  <c r="CB18" i="6" s="1"/>
  <c r="CC18" i="6" s="1"/>
  <c r="CB19" i="6" s="1"/>
  <c r="CC19" i="6" s="1"/>
  <c r="CB20" i="6" s="1"/>
  <c r="CC20" i="6" s="1"/>
  <c r="CB21" i="6" s="1"/>
  <c r="CC21" i="6" s="1"/>
  <c r="CB22" i="6" s="1"/>
  <c r="CC22" i="6" s="1"/>
  <c r="CB23" i="6" s="1"/>
  <c r="CC23" i="6" s="1"/>
  <c r="CB24" i="6" s="1"/>
  <c r="CC24" i="6" s="1"/>
  <c r="CB25" i="6" s="1"/>
  <c r="CC25" i="6" s="1"/>
  <c r="CB26" i="6" s="1"/>
  <c r="CC26" i="6" s="1"/>
  <c r="CB27" i="6" s="1"/>
  <c r="CC27" i="6" s="1"/>
  <c r="CB28" i="6" s="1"/>
  <c r="CC28" i="6" s="1"/>
  <c r="CB29" i="6" s="1"/>
  <c r="CC29" i="6" s="1"/>
  <c r="CB30" i="6" s="1"/>
  <c r="CC30" i="6" s="1"/>
  <c r="CB31" i="6" s="1"/>
  <c r="CC31" i="6" s="1"/>
  <c r="CB32" i="6" s="1"/>
  <c r="CC32" i="6" s="1"/>
  <c r="CB33" i="6" s="1"/>
  <c r="CC33" i="6" s="1"/>
  <c r="CB34" i="6" s="1"/>
  <c r="CC34" i="6" s="1"/>
  <c r="CB35" i="6" s="1"/>
  <c r="CC35" i="6" s="1"/>
  <c r="CB36" i="6" s="1"/>
  <c r="CC36" i="6" s="1"/>
  <c r="CB37" i="6" s="1"/>
  <c r="CC37" i="6" s="1"/>
  <c r="CB38" i="6" s="1"/>
  <c r="CC38" i="6" s="1"/>
  <c r="CB39" i="6" s="1"/>
  <c r="CC39" i="6" s="1"/>
  <c r="CB40" i="6" s="1"/>
  <c r="CC40" i="6" s="1"/>
  <c r="CB41" i="6" s="1"/>
  <c r="CC41" i="6" s="1"/>
  <c r="CB42" i="6" s="1"/>
  <c r="CC42" i="6" s="1"/>
  <c r="CB43" i="6" s="1"/>
  <c r="CC43" i="6" s="1"/>
  <c r="CB44" i="6" s="1"/>
  <c r="CC44" i="6" s="1"/>
  <c r="CB45" i="6" s="1"/>
  <c r="CC45" i="6" s="1"/>
  <c r="CB46" i="6" s="1"/>
  <c r="CC46" i="6" s="1"/>
  <c r="CB47" i="6" s="1"/>
  <c r="CC47" i="6" s="1"/>
  <c r="CB48" i="6" s="1"/>
  <c r="CC48" i="6" s="1"/>
  <c r="CB49" i="6" s="1"/>
  <c r="CC49" i="6" s="1"/>
  <c r="CB50" i="6" s="1"/>
  <c r="CC50" i="6" s="1"/>
  <c r="CB51" i="6" s="1"/>
  <c r="CC51" i="6" s="1"/>
  <c r="CB52" i="6" s="1"/>
  <c r="CC52" i="6" s="1"/>
  <c r="CB53" i="6" s="1"/>
  <c r="CC53" i="6" s="1"/>
  <c r="CB54" i="6" s="1"/>
  <c r="CC54" i="6" s="1"/>
  <c r="CB55" i="6" s="1"/>
  <c r="CC55" i="6" s="1"/>
  <c r="CB56" i="6" s="1"/>
  <c r="CC56" i="6" s="1"/>
  <c r="CB57" i="6" s="1"/>
  <c r="CC57" i="6" s="1"/>
  <c r="CB58" i="6" s="1"/>
  <c r="CC58" i="6" s="1"/>
  <c r="CB59" i="6" s="1"/>
  <c r="CC59" i="6" s="1"/>
  <c r="CB60" i="6" s="1"/>
  <c r="CC60" i="6" s="1"/>
  <c r="CB61" i="6" s="1"/>
  <c r="CC61" i="6" s="1"/>
  <c r="CB62" i="6" s="1"/>
  <c r="CC62" i="6" s="1"/>
  <c r="CB63" i="6" s="1"/>
  <c r="CC63" i="6" s="1"/>
  <c r="CB64" i="6" s="1"/>
  <c r="CC64" i="6" s="1"/>
  <c r="CB65" i="6" s="1"/>
  <c r="CC65" i="6" s="1"/>
  <c r="CB66" i="6" s="1"/>
  <c r="CC66" i="6" s="1"/>
  <c r="CB67" i="6" s="1"/>
  <c r="CC67" i="6" s="1"/>
  <c r="CB68" i="6" s="1"/>
  <c r="CC68" i="6" s="1"/>
  <c r="CB69" i="6" s="1"/>
  <c r="CC69" i="6" s="1"/>
  <c r="CB70" i="6" s="1"/>
  <c r="CC70" i="6" s="1"/>
  <c r="CB71" i="6" s="1"/>
  <c r="CC71" i="6" s="1"/>
  <c r="CB72" i="6" s="1"/>
  <c r="CC72" i="6" s="1"/>
  <c r="CB73" i="6" s="1"/>
  <c r="CC73" i="6" s="1"/>
  <c r="CB74" i="6" s="1"/>
  <c r="CC74" i="6" s="1"/>
  <c r="CB75" i="6" s="1"/>
  <c r="CC75" i="6" s="1"/>
  <c r="CB76" i="6" s="1"/>
  <c r="CC76" i="6" s="1"/>
  <c r="CB77" i="6" s="1"/>
  <c r="CC77" i="6" s="1"/>
  <c r="CB78" i="6" s="1"/>
  <c r="CC78" i="6" s="1"/>
  <c r="CB79" i="6" s="1"/>
  <c r="CC79" i="6" s="1"/>
  <c r="CB80" i="6" s="1"/>
  <c r="CC80" i="6" s="1"/>
  <c r="CB81" i="6" s="1"/>
  <c r="CC81" i="6" s="1"/>
  <c r="CB82" i="6" s="1"/>
  <c r="CC82" i="6" s="1"/>
  <c r="CB83" i="6" s="1"/>
  <c r="CC83" i="6" s="1"/>
  <c r="CB84" i="6" s="1"/>
  <c r="CC84" i="6" s="1"/>
  <c r="CB85" i="6" s="1"/>
  <c r="CC85" i="6" s="1"/>
  <c r="CB86" i="6" s="1"/>
  <c r="CC86" i="6" s="1"/>
  <c r="CB87" i="6" s="1"/>
  <c r="CC87" i="6" s="1"/>
  <c r="CB88" i="6" s="1"/>
  <c r="CC88" i="6" s="1"/>
  <c r="CB89" i="6" s="1"/>
  <c r="CC89" i="6" s="1"/>
  <c r="CB90" i="6" s="1"/>
  <c r="CC90" i="6" s="1"/>
  <c r="CB91" i="6" s="1"/>
  <c r="CC91" i="6" s="1"/>
  <c r="CB92" i="6" s="1"/>
  <c r="CC92" i="6" s="1"/>
  <c r="CB93" i="6" s="1"/>
  <c r="CC93" i="6" s="1"/>
  <c r="CB94" i="6" s="1"/>
  <c r="CC94" i="6" s="1"/>
  <c r="CB95" i="6" s="1"/>
  <c r="CC95" i="6" s="1"/>
  <c r="CB96" i="6" s="1"/>
  <c r="CC96" i="6" s="1"/>
  <c r="CB97" i="6" s="1"/>
  <c r="CC97" i="6" s="1"/>
  <c r="CB98" i="6" s="1"/>
  <c r="CC98" i="6" s="1"/>
  <c r="CB99" i="6" s="1"/>
  <c r="CC99" i="6" s="1"/>
  <c r="CB100" i="6" s="1"/>
  <c r="CC100" i="6" s="1"/>
  <c r="CB101" i="6" s="1"/>
  <c r="CC101" i="6" s="1"/>
  <c r="CB102" i="6" s="1"/>
  <c r="CC102" i="6" s="1"/>
  <c r="CB103" i="6" s="1"/>
  <c r="CC103" i="6" s="1"/>
  <c r="AY4" i="6"/>
  <c r="AX5" i="6" s="1"/>
  <c r="AY5" i="6" s="1"/>
  <c r="AX6" i="6" s="1"/>
  <c r="AY6" i="6" s="1"/>
  <c r="AX7" i="6" s="1"/>
  <c r="AY7" i="6" s="1"/>
  <c r="AX8" i="6" s="1"/>
  <c r="AY8" i="6" s="1"/>
  <c r="AX9" i="6" s="1"/>
  <c r="AY9" i="6" s="1"/>
  <c r="AX10" i="6" s="1"/>
  <c r="AY10" i="6" s="1"/>
  <c r="AX11" i="6" s="1"/>
  <c r="AY11" i="6" s="1"/>
  <c r="AX12" i="6" s="1"/>
  <c r="AY12" i="6" s="1"/>
  <c r="AX13" i="6" s="1"/>
  <c r="AY13" i="6" s="1"/>
  <c r="AX14" i="6" s="1"/>
  <c r="AY14" i="6" s="1"/>
  <c r="AX15" i="6" s="1"/>
  <c r="AY15" i="6" s="1"/>
  <c r="AX16" i="6" s="1"/>
  <c r="AY16" i="6" s="1"/>
  <c r="AX17" i="6" s="1"/>
  <c r="AY17" i="6" s="1"/>
  <c r="AX18" i="6" s="1"/>
  <c r="AY18" i="6" s="1"/>
  <c r="AX19" i="6" s="1"/>
  <c r="AY19" i="6" s="1"/>
  <c r="AX20" i="6" s="1"/>
  <c r="AY20" i="6" s="1"/>
  <c r="AX21" i="6" s="1"/>
  <c r="AY21" i="6" s="1"/>
  <c r="AX22" i="6" s="1"/>
  <c r="AY22" i="6" s="1"/>
  <c r="AX23" i="6" s="1"/>
  <c r="AY23" i="6" s="1"/>
  <c r="AX24" i="6" s="1"/>
  <c r="AY24" i="6" s="1"/>
  <c r="AX25" i="6" s="1"/>
  <c r="AY25" i="6" s="1"/>
  <c r="AX26" i="6" s="1"/>
  <c r="AY26" i="6" s="1"/>
  <c r="AX27" i="6" s="1"/>
  <c r="AY27" i="6" s="1"/>
  <c r="AX28" i="6" s="1"/>
  <c r="AY28" i="6" s="1"/>
  <c r="AX29" i="6" s="1"/>
  <c r="AY29" i="6" s="1"/>
  <c r="AX30" i="6" s="1"/>
  <c r="AY30" i="6" s="1"/>
  <c r="AX31" i="6" s="1"/>
  <c r="AY31" i="6" s="1"/>
  <c r="AX32" i="6" s="1"/>
  <c r="AY32" i="6" s="1"/>
  <c r="AX33" i="6" s="1"/>
  <c r="AY33" i="6" s="1"/>
  <c r="AX34" i="6" s="1"/>
  <c r="AY34" i="6" s="1"/>
  <c r="AX35" i="6" s="1"/>
  <c r="AY35" i="6" s="1"/>
  <c r="AX36" i="6" s="1"/>
  <c r="AY36" i="6" s="1"/>
  <c r="AX37" i="6" s="1"/>
  <c r="AY37" i="6" s="1"/>
  <c r="AX38" i="6" s="1"/>
  <c r="AY38" i="6" s="1"/>
  <c r="AX39" i="6" s="1"/>
  <c r="AY39" i="6" s="1"/>
  <c r="AX40" i="6" s="1"/>
  <c r="AY40" i="6" s="1"/>
  <c r="AX41" i="6" s="1"/>
  <c r="AY41" i="6" s="1"/>
  <c r="AX42" i="6" s="1"/>
  <c r="AY42" i="6" s="1"/>
  <c r="AX43" i="6" s="1"/>
  <c r="AY43" i="6" s="1"/>
  <c r="AX44" i="6" s="1"/>
  <c r="AY44" i="6" s="1"/>
  <c r="AX45" i="6" s="1"/>
  <c r="AY45" i="6" s="1"/>
  <c r="AX46" i="6" s="1"/>
  <c r="AY46" i="6" s="1"/>
  <c r="AX47" i="6" s="1"/>
  <c r="AY47" i="6" s="1"/>
  <c r="AX48" i="6" s="1"/>
  <c r="AY48" i="6" s="1"/>
  <c r="AX49" i="6" s="1"/>
  <c r="AY49" i="6" s="1"/>
  <c r="AX50" i="6" s="1"/>
  <c r="AY50" i="6" s="1"/>
  <c r="AX51" i="6" s="1"/>
  <c r="AY51" i="6" s="1"/>
  <c r="AX52" i="6" s="1"/>
  <c r="AY52" i="6" s="1"/>
  <c r="AX53" i="6" s="1"/>
  <c r="AY53" i="6" s="1"/>
  <c r="AX54" i="6" s="1"/>
  <c r="AY54" i="6" s="1"/>
  <c r="AX55" i="6" s="1"/>
  <c r="AY55" i="6" s="1"/>
  <c r="AX56" i="6" s="1"/>
  <c r="AY56" i="6" s="1"/>
  <c r="AX57" i="6" s="1"/>
  <c r="AY57" i="6" s="1"/>
  <c r="AX58" i="6" s="1"/>
  <c r="AY58" i="6" s="1"/>
  <c r="AX59" i="6" s="1"/>
  <c r="AY59" i="6" s="1"/>
  <c r="AX60" i="6" s="1"/>
  <c r="AY60" i="6" s="1"/>
  <c r="AX61" i="6" s="1"/>
  <c r="AY61" i="6" s="1"/>
  <c r="AX62" i="6" s="1"/>
  <c r="AY62" i="6" s="1"/>
  <c r="AX63" i="6" s="1"/>
  <c r="AY63" i="6" s="1"/>
  <c r="AX64" i="6" s="1"/>
  <c r="AY64" i="6" s="1"/>
  <c r="AX65" i="6" s="1"/>
  <c r="AY65" i="6" s="1"/>
  <c r="AX66" i="6" s="1"/>
  <c r="AY66" i="6" s="1"/>
  <c r="AX67" i="6" s="1"/>
  <c r="AY67" i="6" s="1"/>
  <c r="AX68" i="6" s="1"/>
  <c r="AY68" i="6" s="1"/>
  <c r="AX69" i="6" s="1"/>
  <c r="AY69" i="6" s="1"/>
  <c r="AX70" i="6" s="1"/>
  <c r="AY70" i="6" s="1"/>
  <c r="AX71" i="6" s="1"/>
  <c r="AY71" i="6" s="1"/>
  <c r="AX72" i="6" s="1"/>
  <c r="AY72" i="6" s="1"/>
  <c r="AX73" i="6" s="1"/>
  <c r="AY73" i="6" s="1"/>
  <c r="AX74" i="6" s="1"/>
  <c r="AY74" i="6" s="1"/>
  <c r="AX75" i="6" s="1"/>
  <c r="AY75" i="6" s="1"/>
  <c r="AX76" i="6" s="1"/>
  <c r="AY76" i="6" s="1"/>
  <c r="AX77" i="6" s="1"/>
  <c r="AY77" i="6" s="1"/>
  <c r="AX78" i="6" s="1"/>
  <c r="AY78" i="6" s="1"/>
  <c r="AX79" i="6" s="1"/>
  <c r="AY79" i="6" s="1"/>
  <c r="AX80" i="6" s="1"/>
  <c r="AY80" i="6" s="1"/>
  <c r="AX81" i="6" s="1"/>
  <c r="AY81" i="6" s="1"/>
  <c r="AX82" i="6" s="1"/>
  <c r="AY82" i="6" s="1"/>
  <c r="AX83" i="6" s="1"/>
  <c r="AY83" i="6" s="1"/>
  <c r="AX84" i="6" s="1"/>
  <c r="AY84" i="6" s="1"/>
  <c r="AX85" i="6" s="1"/>
  <c r="AY85" i="6" s="1"/>
  <c r="AX86" i="6" s="1"/>
  <c r="AY86" i="6" s="1"/>
  <c r="AX87" i="6" s="1"/>
  <c r="AY87" i="6" s="1"/>
  <c r="AX88" i="6" s="1"/>
  <c r="AY88" i="6" s="1"/>
  <c r="AX89" i="6" s="1"/>
  <c r="AY89" i="6" s="1"/>
  <c r="AX90" i="6" s="1"/>
  <c r="AY90" i="6" s="1"/>
  <c r="AX91" i="6" s="1"/>
  <c r="AY91" i="6" s="1"/>
  <c r="AX92" i="6" s="1"/>
  <c r="AY92" i="6" s="1"/>
  <c r="AX93" i="6" s="1"/>
  <c r="AY93" i="6" s="1"/>
  <c r="AX94" i="6" s="1"/>
  <c r="AY94" i="6" s="1"/>
  <c r="AX95" i="6" s="1"/>
  <c r="AY95" i="6" s="1"/>
  <c r="AX96" i="6" s="1"/>
  <c r="AY96" i="6" s="1"/>
  <c r="AX97" i="6" s="1"/>
  <c r="AY97" i="6" s="1"/>
  <c r="AX98" i="6" s="1"/>
  <c r="AY98" i="6" s="1"/>
  <c r="AX99" i="6" s="1"/>
  <c r="AY99" i="6" s="1"/>
  <c r="AX100" i="6" s="1"/>
  <c r="AY100" i="6" s="1"/>
  <c r="AX101" i="6" s="1"/>
  <c r="AY101" i="6" s="1"/>
  <c r="AX102" i="6" s="1"/>
  <c r="AY102" i="6" s="1"/>
  <c r="AX103" i="6" s="1"/>
  <c r="AY103" i="6" s="1"/>
  <c r="AG4" i="6"/>
  <c r="AF5" i="6" s="1"/>
  <c r="AG5" i="6" s="1"/>
  <c r="AF6" i="6" s="1"/>
  <c r="AG6" i="6" s="1"/>
  <c r="AF7" i="6" s="1"/>
  <c r="AG7" i="6" s="1"/>
  <c r="AF8" i="6" s="1"/>
  <c r="AG8" i="6" s="1"/>
  <c r="AF9" i="6" s="1"/>
  <c r="AG9" i="6" s="1"/>
  <c r="AF10" i="6" s="1"/>
  <c r="AG10" i="6" s="1"/>
  <c r="AF11" i="6" s="1"/>
  <c r="AG11" i="6" s="1"/>
  <c r="AF12" i="6" s="1"/>
  <c r="AG12" i="6" s="1"/>
  <c r="AF13" i="6" s="1"/>
  <c r="AG13" i="6" s="1"/>
  <c r="AF14" i="6" s="1"/>
  <c r="AG14" i="6" s="1"/>
  <c r="AF15" i="6" s="1"/>
  <c r="AG15" i="6" s="1"/>
  <c r="AF16" i="6" s="1"/>
  <c r="AG16" i="6" s="1"/>
  <c r="AF17" i="6" s="1"/>
  <c r="AG17" i="6" s="1"/>
  <c r="AF18" i="6" s="1"/>
  <c r="AG18" i="6" s="1"/>
  <c r="AF19" i="6" s="1"/>
  <c r="AG19" i="6" s="1"/>
  <c r="AF20" i="6" s="1"/>
  <c r="AG20" i="6" s="1"/>
  <c r="AF21" i="6" s="1"/>
  <c r="AG21" i="6" s="1"/>
  <c r="AF22" i="6" s="1"/>
  <c r="AG22" i="6" s="1"/>
  <c r="AF23" i="6" s="1"/>
  <c r="AG23" i="6" s="1"/>
  <c r="AF24" i="6" s="1"/>
  <c r="AG24" i="6" s="1"/>
  <c r="AF25" i="6" s="1"/>
  <c r="AG25" i="6" s="1"/>
  <c r="AF26" i="6" s="1"/>
  <c r="AG26" i="6" s="1"/>
  <c r="AF27" i="6" s="1"/>
  <c r="AG27" i="6" s="1"/>
  <c r="AF28" i="6" s="1"/>
  <c r="AG28" i="6" s="1"/>
  <c r="AF29" i="6" s="1"/>
  <c r="AG29" i="6" s="1"/>
  <c r="AF30" i="6" s="1"/>
  <c r="AG30" i="6" s="1"/>
  <c r="AF31" i="6" s="1"/>
  <c r="AG31" i="6" s="1"/>
  <c r="AF32" i="6" s="1"/>
  <c r="AG32" i="6" s="1"/>
  <c r="AF33" i="6" s="1"/>
  <c r="AG33" i="6" s="1"/>
  <c r="AF34" i="6" s="1"/>
  <c r="AG34" i="6" s="1"/>
  <c r="AF35" i="6" s="1"/>
  <c r="AG35" i="6" s="1"/>
  <c r="AF36" i="6" s="1"/>
  <c r="AG36" i="6" s="1"/>
  <c r="AF37" i="6" s="1"/>
  <c r="AG37" i="6" s="1"/>
  <c r="AF38" i="6" s="1"/>
  <c r="AG38" i="6" s="1"/>
  <c r="AF39" i="6" s="1"/>
  <c r="AG39" i="6" s="1"/>
  <c r="AF40" i="6" s="1"/>
  <c r="AG40" i="6" s="1"/>
  <c r="AF41" i="6" s="1"/>
  <c r="AG41" i="6" s="1"/>
  <c r="AF42" i="6" s="1"/>
  <c r="AG42" i="6" s="1"/>
  <c r="AF43" i="6" s="1"/>
  <c r="AG43" i="6" s="1"/>
  <c r="AF44" i="6" s="1"/>
  <c r="AG44" i="6" s="1"/>
  <c r="AF45" i="6" s="1"/>
  <c r="AG45" i="6" s="1"/>
  <c r="AF46" i="6" s="1"/>
  <c r="AG46" i="6" s="1"/>
  <c r="AF47" i="6" s="1"/>
  <c r="AG47" i="6" s="1"/>
  <c r="AF48" i="6" s="1"/>
  <c r="AG48" i="6" s="1"/>
  <c r="AF49" i="6" s="1"/>
  <c r="AG49" i="6" s="1"/>
  <c r="AF50" i="6" s="1"/>
  <c r="AG50" i="6" s="1"/>
  <c r="AF51" i="6" s="1"/>
  <c r="AG51" i="6" s="1"/>
  <c r="AF52" i="6" s="1"/>
  <c r="AG52" i="6" s="1"/>
  <c r="AF53" i="6" s="1"/>
  <c r="AG53" i="6" s="1"/>
  <c r="AF54" i="6" s="1"/>
  <c r="AG54" i="6" s="1"/>
  <c r="AF55" i="6" s="1"/>
  <c r="AG55" i="6" s="1"/>
  <c r="AF56" i="6" s="1"/>
  <c r="AG56" i="6" s="1"/>
  <c r="AF57" i="6" s="1"/>
  <c r="AG57" i="6" s="1"/>
  <c r="AF58" i="6" s="1"/>
  <c r="AG58" i="6" s="1"/>
  <c r="AF59" i="6" s="1"/>
  <c r="AG59" i="6" s="1"/>
  <c r="AF60" i="6" s="1"/>
  <c r="AG60" i="6" s="1"/>
  <c r="AF61" i="6" s="1"/>
  <c r="AG61" i="6" s="1"/>
  <c r="AF62" i="6" s="1"/>
  <c r="AG62" i="6" s="1"/>
  <c r="AF63" i="6" s="1"/>
  <c r="AG63" i="6" s="1"/>
  <c r="AF64" i="6" s="1"/>
  <c r="AG64" i="6" s="1"/>
  <c r="AF65" i="6" s="1"/>
  <c r="AG65" i="6" s="1"/>
  <c r="AF66" i="6" s="1"/>
  <c r="AG66" i="6" s="1"/>
  <c r="AF67" i="6" s="1"/>
  <c r="AG67" i="6" s="1"/>
  <c r="AF68" i="6" s="1"/>
  <c r="AG68" i="6" s="1"/>
  <c r="AF69" i="6" s="1"/>
  <c r="AG69" i="6" s="1"/>
  <c r="AF70" i="6" s="1"/>
  <c r="AG70" i="6" s="1"/>
  <c r="AF71" i="6" s="1"/>
  <c r="AG71" i="6" s="1"/>
  <c r="AF72" i="6" s="1"/>
  <c r="AG72" i="6" s="1"/>
  <c r="AF73" i="6" s="1"/>
  <c r="AG73" i="6" s="1"/>
  <c r="AF74" i="6" s="1"/>
  <c r="AG74" i="6" s="1"/>
  <c r="AF75" i="6" s="1"/>
  <c r="AG75" i="6" s="1"/>
  <c r="AF76" i="6" s="1"/>
  <c r="AG76" i="6" s="1"/>
  <c r="AF77" i="6" s="1"/>
  <c r="AG77" i="6" s="1"/>
  <c r="AF78" i="6" s="1"/>
  <c r="AG78" i="6" s="1"/>
  <c r="AF79" i="6" s="1"/>
  <c r="AG79" i="6" s="1"/>
  <c r="AF80" i="6" s="1"/>
  <c r="AG80" i="6" s="1"/>
  <c r="AF81" i="6" s="1"/>
  <c r="AG81" i="6" s="1"/>
  <c r="AF82" i="6" s="1"/>
  <c r="AG82" i="6" s="1"/>
  <c r="AF83" i="6" s="1"/>
  <c r="AG83" i="6" s="1"/>
  <c r="AF84" i="6" s="1"/>
  <c r="AG84" i="6" s="1"/>
  <c r="AF85" i="6" s="1"/>
  <c r="AG85" i="6" s="1"/>
  <c r="AF86" i="6" s="1"/>
  <c r="AG86" i="6" s="1"/>
  <c r="AF87" i="6" s="1"/>
  <c r="AG87" i="6" s="1"/>
  <c r="AF88" i="6" s="1"/>
  <c r="AG88" i="6" s="1"/>
  <c r="AF89" i="6" s="1"/>
  <c r="AG89" i="6" s="1"/>
  <c r="AF90" i="6" s="1"/>
  <c r="AG90" i="6" s="1"/>
  <c r="AF91" i="6" s="1"/>
  <c r="AG91" i="6" s="1"/>
  <c r="AF92" i="6" s="1"/>
  <c r="AG92" i="6" s="1"/>
  <c r="AF93" i="6" s="1"/>
  <c r="AG93" i="6" s="1"/>
  <c r="AF94" i="6" s="1"/>
  <c r="AG94" i="6" s="1"/>
  <c r="AF95" i="6" s="1"/>
  <c r="AG95" i="6" s="1"/>
  <c r="AF96" i="6" s="1"/>
  <c r="AG96" i="6" s="1"/>
  <c r="AF97" i="6" s="1"/>
  <c r="AG97" i="6" s="1"/>
  <c r="AF98" i="6" s="1"/>
  <c r="AG98" i="6" s="1"/>
  <c r="AF99" i="6" s="1"/>
  <c r="AG99" i="6" s="1"/>
  <c r="AF100" i="6" s="1"/>
  <c r="AG100" i="6" s="1"/>
  <c r="AF101" i="6" s="1"/>
  <c r="AG101" i="6" s="1"/>
  <c r="AF102" i="6" s="1"/>
  <c r="AG102" i="6" s="1"/>
  <c r="AF103" i="6" s="1"/>
  <c r="AG103" i="6" s="1"/>
  <c r="BN4" i="6"/>
  <c r="BM5" i="6" s="1"/>
  <c r="BN5" i="6" s="1"/>
  <c r="BM6" i="6" s="1"/>
  <c r="BN6" i="6" s="1"/>
  <c r="BM7" i="6" s="1"/>
  <c r="BN7" i="6" s="1"/>
  <c r="BM8" i="6" s="1"/>
  <c r="BN8" i="6" s="1"/>
  <c r="BM9" i="6" s="1"/>
  <c r="BN9" i="6" s="1"/>
  <c r="BM10" i="6" s="1"/>
  <c r="BN10" i="6" s="1"/>
  <c r="BM11" i="6" s="1"/>
  <c r="BN11" i="6" s="1"/>
  <c r="BM12" i="6" s="1"/>
  <c r="BN12" i="6" s="1"/>
  <c r="BM13" i="6" s="1"/>
  <c r="BN13" i="6" s="1"/>
  <c r="BM14" i="6" s="1"/>
  <c r="BN14" i="6" s="1"/>
  <c r="BM15" i="6" s="1"/>
  <c r="BN15" i="6" s="1"/>
  <c r="BM16" i="6" s="1"/>
  <c r="BN16" i="6" s="1"/>
  <c r="BM17" i="6" s="1"/>
  <c r="BN17" i="6" s="1"/>
  <c r="BM18" i="6" s="1"/>
  <c r="BN18" i="6" s="1"/>
  <c r="BM19" i="6" s="1"/>
  <c r="BN19" i="6" s="1"/>
  <c r="BM20" i="6" s="1"/>
  <c r="BN20" i="6" s="1"/>
  <c r="BM21" i="6" s="1"/>
  <c r="BN21" i="6" s="1"/>
  <c r="BM22" i="6" s="1"/>
  <c r="BN22" i="6" s="1"/>
  <c r="BM23" i="6" s="1"/>
  <c r="BN23" i="6" s="1"/>
  <c r="BM24" i="6" s="1"/>
  <c r="BN24" i="6" s="1"/>
  <c r="BM25" i="6" s="1"/>
  <c r="BN25" i="6" s="1"/>
  <c r="BM26" i="6" s="1"/>
  <c r="BN26" i="6" s="1"/>
  <c r="BM27" i="6" s="1"/>
  <c r="BN27" i="6" s="1"/>
  <c r="BM28" i="6" s="1"/>
  <c r="BN28" i="6" s="1"/>
  <c r="BM29" i="6" s="1"/>
  <c r="BN29" i="6" s="1"/>
  <c r="BM30" i="6" s="1"/>
  <c r="BN30" i="6" s="1"/>
  <c r="BM31" i="6" s="1"/>
  <c r="BN31" i="6" s="1"/>
  <c r="BM32" i="6" s="1"/>
  <c r="BN32" i="6" s="1"/>
  <c r="BM33" i="6" s="1"/>
  <c r="BN33" i="6" s="1"/>
  <c r="BM34" i="6" s="1"/>
  <c r="BN34" i="6" s="1"/>
  <c r="BM35" i="6" s="1"/>
  <c r="BN35" i="6" s="1"/>
  <c r="BM36" i="6" s="1"/>
  <c r="BN36" i="6" s="1"/>
  <c r="BM37" i="6" s="1"/>
  <c r="BN37" i="6" s="1"/>
  <c r="BM38" i="6" s="1"/>
  <c r="BN38" i="6" s="1"/>
  <c r="BM39" i="6" s="1"/>
  <c r="BN39" i="6" s="1"/>
  <c r="BM40" i="6" s="1"/>
  <c r="BN40" i="6" s="1"/>
  <c r="BM41" i="6" s="1"/>
  <c r="BN41" i="6" s="1"/>
  <c r="BM42" i="6" s="1"/>
  <c r="BN42" i="6" s="1"/>
  <c r="BM43" i="6" s="1"/>
  <c r="BN43" i="6" s="1"/>
  <c r="BM44" i="6" s="1"/>
  <c r="BN44" i="6" s="1"/>
  <c r="BM45" i="6" s="1"/>
  <c r="BN45" i="6" s="1"/>
  <c r="BM46" i="6" s="1"/>
  <c r="BN46" i="6" s="1"/>
  <c r="BM47" i="6" s="1"/>
  <c r="BN47" i="6" s="1"/>
  <c r="BM48" i="6" s="1"/>
  <c r="BN48" i="6" s="1"/>
  <c r="BM49" i="6" s="1"/>
  <c r="BN49" i="6" s="1"/>
  <c r="BM50" i="6" s="1"/>
  <c r="BN50" i="6" s="1"/>
  <c r="BM51" i="6" s="1"/>
  <c r="BN51" i="6" s="1"/>
  <c r="BM52" i="6" s="1"/>
  <c r="BN52" i="6" s="1"/>
  <c r="BM53" i="6" s="1"/>
  <c r="BN53" i="6" s="1"/>
  <c r="BM54" i="6" s="1"/>
  <c r="BN54" i="6" s="1"/>
  <c r="BM55" i="6" s="1"/>
  <c r="BN55" i="6" s="1"/>
  <c r="BM56" i="6" s="1"/>
  <c r="BN56" i="6" s="1"/>
  <c r="BM57" i="6" s="1"/>
  <c r="BN57" i="6" s="1"/>
  <c r="BM58" i="6" s="1"/>
  <c r="BN58" i="6" s="1"/>
  <c r="BM59" i="6" s="1"/>
  <c r="BN59" i="6" s="1"/>
  <c r="BM60" i="6" s="1"/>
  <c r="BN60" i="6" s="1"/>
  <c r="BM61" i="6" s="1"/>
  <c r="BN61" i="6" s="1"/>
  <c r="BM62" i="6" s="1"/>
  <c r="BN62" i="6" s="1"/>
  <c r="BM63" i="6" s="1"/>
  <c r="BN63" i="6" s="1"/>
  <c r="BM64" i="6" s="1"/>
  <c r="BN64" i="6" s="1"/>
  <c r="BM65" i="6" s="1"/>
  <c r="BN65" i="6" s="1"/>
  <c r="BM66" i="6" s="1"/>
  <c r="BN66" i="6" s="1"/>
  <c r="BM67" i="6" s="1"/>
  <c r="BN67" i="6" s="1"/>
  <c r="BM68" i="6" s="1"/>
  <c r="BN68" i="6" s="1"/>
  <c r="BM69" i="6" s="1"/>
  <c r="BN69" i="6" s="1"/>
  <c r="BM70" i="6" s="1"/>
  <c r="BN70" i="6" s="1"/>
  <c r="BM71" i="6" s="1"/>
  <c r="BN71" i="6" s="1"/>
  <c r="BM72" i="6" s="1"/>
  <c r="BN72" i="6" s="1"/>
  <c r="BM73" i="6" s="1"/>
  <c r="BN73" i="6" s="1"/>
  <c r="BM74" i="6" s="1"/>
  <c r="BN74" i="6" s="1"/>
  <c r="BM75" i="6" s="1"/>
  <c r="BN75" i="6" s="1"/>
  <c r="BM76" i="6" s="1"/>
  <c r="BN76" i="6" s="1"/>
  <c r="BM77" i="6" s="1"/>
  <c r="BN77" i="6" s="1"/>
  <c r="BM78" i="6" s="1"/>
  <c r="BN78" i="6" s="1"/>
  <c r="BM79" i="6" s="1"/>
  <c r="BN79" i="6" s="1"/>
  <c r="BM80" i="6" s="1"/>
  <c r="BN80" i="6" s="1"/>
  <c r="BM81" i="6" s="1"/>
  <c r="BN81" i="6" s="1"/>
  <c r="BM82" i="6" s="1"/>
  <c r="BN82" i="6" s="1"/>
  <c r="BM83" i="6" s="1"/>
  <c r="BN83" i="6" s="1"/>
  <c r="BM84" i="6" s="1"/>
  <c r="BN84" i="6" s="1"/>
  <c r="BM85" i="6" s="1"/>
  <c r="BN85" i="6" s="1"/>
  <c r="BM86" i="6" s="1"/>
  <c r="BN86" i="6" s="1"/>
  <c r="BM87" i="6" s="1"/>
  <c r="BN87" i="6" s="1"/>
  <c r="BM88" i="6" s="1"/>
  <c r="BN88" i="6" s="1"/>
  <c r="BM89" i="6" s="1"/>
  <c r="BN89" i="6" s="1"/>
  <c r="BM90" i="6" s="1"/>
  <c r="BN90" i="6" s="1"/>
  <c r="BM91" i="6" s="1"/>
  <c r="BN91" i="6" s="1"/>
  <c r="BM92" i="6" s="1"/>
  <c r="BN92" i="6" s="1"/>
  <c r="BM93" i="6" s="1"/>
  <c r="BN93" i="6" s="1"/>
  <c r="BM94" i="6" s="1"/>
  <c r="BN94" i="6" s="1"/>
  <c r="BM95" i="6" s="1"/>
  <c r="BN95" i="6" s="1"/>
  <c r="BM96" i="6" s="1"/>
  <c r="BN96" i="6" s="1"/>
  <c r="BM97" i="6" s="1"/>
  <c r="BN97" i="6" s="1"/>
  <c r="BM98" i="6" s="1"/>
  <c r="BN98" i="6" s="1"/>
  <c r="BM99" i="6" s="1"/>
  <c r="BN99" i="6" s="1"/>
  <c r="BM100" i="6" s="1"/>
  <c r="BN100" i="6" s="1"/>
  <c r="BM101" i="6" s="1"/>
  <c r="BN101" i="6" s="1"/>
  <c r="BM102" i="6" s="1"/>
  <c r="BN102" i="6" s="1"/>
  <c r="BM103" i="6" s="1"/>
  <c r="BN103" i="6" s="1"/>
  <c r="I23" i="10" l="1"/>
  <c r="I24" i="10"/>
  <c r="I27" i="10"/>
  <c r="I28" i="10"/>
  <c r="CM7" i="7"/>
  <c r="CL8" i="7" s="1"/>
  <c r="CJ6" i="7"/>
  <c r="CI7" i="7" s="1"/>
  <c r="CG8" i="7"/>
  <c r="CF9" i="7" s="1"/>
  <c r="CC9" i="7"/>
  <c r="CD9" i="7" s="1"/>
  <c r="CA7" i="7"/>
  <c r="BZ8" i="7" s="1"/>
  <c r="BX8" i="7"/>
  <c r="BW9" i="7" s="1"/>
  <c r="BT7" i="7"/>
  <c r="BU7" i="7" s="1"/>
  <c r="BR7" i="7"/>
  <c r="BQ8" i="7" s="1"/>
  <c r="BN9" i="7"/>
  <c r="BO9" i="7" s="1"/>
  <c r="BK9" i="7"/>
  <c r="BL9" i="7" s="1"/>
  <c r="BH8" i="7"/>
  <c r="BI8" i="7" s="1"/>
  <c r="BB9" i="7"/>
  <c r="BC9" i="7" s="1"/>
  <c r="AZ8" i="7"/>
  <c r="AY9" i="7" s="1"/>
  <c r="BF7" i="7"/>
  <c r="BE8" i="7" s="1"/>
  <c r="CP8" i="7"/>
  <c r="CO9" i="7" s="1"/>
  <c r="CR8" i="7"/>
  <c r="CX7" i="7"/>
  <c r="CY7" i="7" s="1"/>
  <c r="CX8" i="7" s="1"/>
  <c r="CY8" i="7" s="1"/>
  <c r="GM7" i="7"/>
  <c r="GN7" i="7" s="1"/>
  <c r="GM8" i="7" s="1"/>
  <c r="GN8" i="7" s="1"/>
  <c r="GM9" i="7" s="1"/>
  <c r="GK8" i="7"/>
  <c r="GJ9" i="7" s="1"/>
  <c r="GG8" i="7"/>
  <c r="GH8" i="7" s="1"/>
  <c r="GE9" i="7"/>
  <c r="GD10" i="7" s="1"/>
  <c r="GB9" i="7"/>
  <c r="GA10" i="7" s="1"/>
  <c r="FX9" i="7"/>
  <c r="FY9" i="7" s="1"/>
  <c r="FV10" i="7"/>
  <c r="FU11" i="7" s="1"/>
  <c r="FR9" i="7"/>
  <c r="FS9" i="7" s="1"/>
  <c r="FO8" i="7"/>
  <c r="FP8" i="7" s="1"/>
  <c r="FL8" i="7"/>
  <c r="FM8" i="7" s="1"/>
  <c r="FJ9" i="7"/>
  <c r="FI10" i="7" s="1"/>
  <c r="FF8" i="7"/>
  <c r="FG8" i="7" s="1"/>
  <c r="FD8" i="7"/>
  <c r="FC9" i="7" s="1"/>
  <c r="FA9" i="7"/>
  <c r="EZ10" i="7" s="1"/>
  <c r="EX8" i="7"/>
  <c r="EW9" i="7" s="1"/>
  <c r="EU9" i="7"/>
  <c r="ET10" i="7" s="1"/>
  <c r="ER7" i="7"/>
  <c r="EQ8" i="7" s="1"/>
  <c r="EO8" i="7"/>
  <c r="EN9" i="7" s="1"/>
  <c r="EL8" i="7"/>
  <c r="EK9" i="7" s="1"/>
  <c r="EI9" i="7"/>
  <c r="EH10" i="7" s="1"/>
  <c r="EF8" i="7"/>
  <c r="EE9" i="7" s="1"/>
  <c r="EC9" i="7"/>
  <c r="EB10" i="7" s="1"/>
  <c r="DY9" i="7"/>
  <c r="DZ9" i="7" s="1"/>
  <c r="DT9" i="7"/>
  <c r="DS10" i="7" s="1"/>
  <c r="DQ8" i="7"/>
  <c r="DP9" i="7" s="1"/>
  <c r="DN9" i="7"/>
  <c r="DM10" i="7" s="1"/>
  <c r="DH8" i="7"/>
  <c r="DG9" i="7" s="1"/>
  <c r="C7" i="7"/>
  <c r="D7" i="7" s="1"/>
  <c r="O12" i="7"/>
  <c r="P12" i="7" s="1"/>
  <c r="H4" i="6"/>
  <c r="I4" i="6" s="1"/>
  <c r="H5" i="6" s="1"/>
  <c r="I5" i="6" s="1"/>
  <c r="H6" i="6" s="1"/>
  <c r="I6" i="6" s="1"/>
  <c r="H7" i="6" s="1"/>
  <c r="I7" i="6" s="1"/>
  <c r="H8" i="6" s="1"/>
  <c r="I8" i="6" s="1"/>
  <c r="H9" i="6" s="1"/>
  <c r="I9" i="6" s="1"/>
  <c r="H10" i="6" s="1"/>
  <c r="I10" i="6" s="1"/>
  <c r="H11" i="6" s="1"/>
  <c r="I11" i="6" s="1"/>
  <c r="H12" i="6" s="1"/>
  <c r="I12" i="6" s="1"/>
  <c r="H13" i="6" s="1"/>
  <c r="I13" i="6" s="1"/>
  <c r="H14" i="6" s="1"/>
  <c r="I14" i="6" s="1"/>
  <c r="H15" i="6" s="1"/>
  <c r="I15" i="6" s="1"/>
  <c r="H16" i="6" s="1"/>
  <c r="I16" i="6" s="1"/>
  <c r="H17" i="6" s="1"/>
  <c r="I17" i="6" s="1"/>
  <c r="H18" i="6" s="1"/>
  <c r="I18" i="6" s="1"/>
  <c r="H19" i="6" s="1"/>
  <c r="I19" i="6" s="1"/>
  <c r="H20" i="6" s="1"/>
  <c r="I20" i="6" s="1"/>
  <c r="H21" i="6" s="1"/>
  <c r="I21" i="6" s="1"/>
  <c r="H22" i="6" s="1"/>
  <c r="I22" i="6" s="1"/>
  <c r="H23" i="6" s="1"/>
  <c r="I23" i="6" s="1"/>
  <c r="H24" i="6" s="1"/>
  <c r="I24" i="6" s="1"/>
  <c r="H25" i="6" s="1"/>
  <c r="I25" i="6" s="1"/>
  <c r="H26" i="6" s="1"/>
  <c r="I26" i="6" s="1"/>
  <c r="H27" i="6" s="1"/>
  <c r="I27" i="6" s="1"/>
  <c r="H28" i="6" s="1"/>
  <c r="I28" i="6" s="1"/>
  <c r="H29" i="6" s="1"/>
  <c r="I29" i="6" s="1"/>
  <c r="H30" i="6" s="1"/>
  <c r="I30" i="6" s="1"/>
  <c r="H31" i="6" s="1"/>
  <c r="I31" i="6" s="1"/>
  <c r="H32" i="6" s="1"/>
  <c r="I32" i="6" s="1"/>
  <c r="H33" i="6" s="1"/>
  <c r="I33" i="6" s="1"/>
  <c r="H34" i="6" s="1"/>
  <c r="I34" i="6" s="1"/>
  <c r="H35" i="6" s="1"/>
  <c r="I35" i="6" s="1"/>
  <c r="H36" i="6" s="1"/>
  <c r="I36" i="6" s="1"/>
  <c r="H37" i="6" s="1"/>
  <c r="I37" i="6" s="1"/>
  <c r="H38" i="6" s="1"/>
  <c r="I38" i="6" s="1"/>
  <c r="H39" i="6" s="1"/>
  <c r="I39" i="6" s="1"/>
  <c r="H40" i="6" s="1"/>
  <c r="I40" i="6" s="1"/>
  <c r="H41" i="6" s="1"/>
  <c r="I41" i="6" s="1"/>
  <c r="H42" i="6" s="1"/>
  <c r="I42" i="6" s="1"/>
  <c r="H43" i="6" s="1"/>
  <c r="I43" i="6" s="1"/>
  <c r="H44" i="6" s="1"/>
  <c r="I44" i="6" s="1"/>
  <c r="H45" i="6" s="1"/>
  <c r="I45" i="6" s="1"/>
  <c r="H46" i="6" s="1"/>
  <c r="I46" i="6" s="1"/>
  <c r="H47" i="6" s="1"/>
  <c r="I47" i="6" s="1"/>
  <c r="H48" i="6" s="1"/>
  <c r="I48" i="6" s="1"/>
  <c r="H49" i="6" s="1"/>
  <c r="I49" i="6" s="1"/>
  <c r="H50" i="6" s="1"/>
  <c r="I50" i="6" s="1"/>
  <c r="H51" i="6" s="1"/>
  <c r="I51" i="6" s="1"/>
  <c r="H52" i="6" s="1"/>
  <c r="I52" i="6" s="1"/>
  <c r="H53" i="6" s="1"/>
  <c r="I53" i="6" s="1"/>
  <c r="H54" i="6" s="1"/>
  <c r="I54" i="6" s="1"/>
  <c r="H55" i="6" s="1"/>
  <c r="I55" i="6" s="1"/>
  <c r="H56" i="6" s="1"/>
  <c r="I56" i="6" s="1"/>
  <c r="H57" i="6" s="1"/>
  <c r="I57" i="6" s="1"/>
  <c r="H58" i="6" s="1"/>
  <c r="I58" i="6" s="1"/>
  <c r="H59" i="6" s="1"/>
  <c r="I59" i="6" s="1"/>
  <c r="H60" i="6" s="1"/>
  <c r="I60" i="6" s="1"/>
  <c r="H61" i="6" s="1"/>
  <c r="I61" i="6" s="1"/>
  <c r="H62" i="6" s="1"/>
  <c r="I62" i="6" s="1"/>
  <c r="H63" i="6" s="1"/>
  <c r="I63" i="6" s="1"/>
  <c r="H64" i="6" s="1"/>
  <c r="I64" i="6" s="1"/>
  <c r="H65" i="6" s="1"/>
  <c r="I65" i="6" s="1"/>
  <c r="H66" i="6" s="1"/>
  <c r="I66" i="6" s="1"/>
  <c r="H67" i="6" s="1"/>
  <c r="I67" i="6" s="1"/>
  <c r="H68" i="6" s="1"/>
  <c r="I68" i="6" s="1"/>
  <c r="H69" i="6" s="1"/>
  <c r="I69" i="6" s="1"/>
  <c r="H70" i="6" s="1"/>
  <c r="I70" i="6" s="1"/>
  <c r="H71" i="6" s="1"/>
  <c r="I71" i="6" s="1"/>
  <c r="H72" i="6" s="1"/>
  <c r="I72" i="6" s="1"/>
  <c r="H73" i="6" s="1"/>
  <c r="I73" i="6" s="1"/>
  <c r="H74" i="6" s="1"/>
  <c r="I74" i="6" s="1"/>
  <c r="H75" i="6" s="1"/>
  <c r="I75" i="6" s="1"/>
  <c r="H76" i="6" s="1"/>
  <c r="I76" i="6" s="1"/>
  <c r="H77" i="6" s="1"/>
  <c r="I77" i="6" s="1"/>
  <c r="H78" i="6" s="1"/>
  <c r="I78" i="6" s="1"/>
  <c r="H79" i="6" s="1"/>
  <c r="I79" i="6" s="1"/>
  <c r="H80" i="6" s="1"/>
  <c r="I80" i="6" s="1"/>
  <c r="H81" i="6" s="1"/>
  <c r="I81" i="6" s="1"/>
  <c r="H82" i="6" s="1"/>
  <c r="I82" i="6" s="1"/>
  <c r="H83" i="6" s="1"/>
  <c r="I83" i="6" s="1"/>
  <c r="H84" i="6" s="1"/>
  <c r="I84" i="6" s="1"/>
  <c r="H85" i="6" s="1"/>
  <c r="I85" i="6" s="1"/>
  <c r="H86" i="6" s="1"/>
  <c r="I86" i="6" s="1"/>
  <c r="H87" i="6" s="1"/>
  <c r="I87" i="6" s="1"/>
  <c r="H88" i="6" s="1"/>
  <c r="I88" i="6" s="1"/>
  <c r="H89" i="6" s="1"/>
  <c r="I89" i="6" s="1"/>
  <c r="H90" i="6" s="1"/>
  <c r="I90" i="6" s="1"/>
  <c r="H91" i="6" s="1"/>
  <c r="I91" i="6" s="1"/>
  <c r="H92" i="6" s="1"/>
  <c r="I92" i="6" s="1"/>
  <c r="H93" i="6" s="1"/>
  <c r="I93" i="6" s="1"/>
  <c r="H94" i="6" s="1"/>
  <c r="I94" i="6" s="1"/>
  <c r="H95" i="6" s="1"/>
  <c r="I95" i="6" s="1"/>
  <c r="H96" i="6" s="1"/>
  <c r="I96" i="6" s="1"/>
  <c r="H97" i="6" s="1"/>
  <c r="I97" i="6" s="1"/>
  <c r="H98" i="6" s="1"/>
  <c r="I98" i="6" s="1"/>
  <c r="H99" i="6" s="1"/>
  <c r="I99" i="6" s="1"/>
  <c r="H100" i="6" s="1"/>
  <c r="I100" i="6" s="1"/>
  <c r="H101" i="6" s="1"/>
  <c r="I101" i="6" s="1"/>
  <c r="H102" i="6" s="1"/>
  <c r="I102" i="6" s="1"/>
  <c r="H103" i="6" s="1"/>
  <c r="I103" i="6" s="1"/>
  <c r="AJ4" i="6"/>
  <c r="AI5" i="6" s="1"/>
  <c r="AJ5" i="6" s="1"/>
  <c r="AI6" i="6" s="1"/>
  <c r="AJ6" i="6" s="1"/>
  <c r="AI7" i="6" s="1"/>
  <c r="AJ7" i="6" s="1"/>
  <c r="AI8" i="6" s="1"/>
  <c r="AJ8" i="6" s="1"/>
  <c r="AI9" i="6" s="1"/>
  <c r="AJ9" i="6" s="1"/>
  <c r="AI10" i="6" s="1"/>
  <c r="AJ10" i="6" s="1"/>
  <c r="AI11" i="6" s="1"/>
  <c r="AJ11" i="6" s="1"/>
  <c r="AI12" i="6" s="1"/>
  <c r="AJ12" i="6" s="1"/>
  <c r="AI13" i="6" s="1"/>
  <c r="AJ13" i="6" s="1"/>
  <c r="AI14" i="6" s="1"/>
  <c r="AJ14" i="6" s="1"/>
  <c r="AI15" i="6" s="1"/>
  <c r="AJ15" i="6" s="1"/>
  <c r="AI16" i="6" s="1"/>
  <c r="AJ16" i="6" s="1"/>
  <c r="AI17" i="6" s="1"/>
  <c r="AJ17" i="6" s="1"/>
  <c r="AI18" i="6" s="1"/>
  <c r="AJ18" i="6" s="1"/>
  <c r="AI19" i="6" s="1"/>
  <c r="AJ19" i="6" s="1"/>
  <c r="AI20" i="6" s="1"/>
  <c r="AJ20" i="6" s="1"/>
  <c r="AI21" i="6" s="1"/>
  <c r="AJ21" i="6" s="1"/>
  <c r="AI22" i="6" s="1"/>
  <c r="AJ22" i="6" s="1"/>
  <c r="AI23" i="6" s="1"/>
  <c r="AJ23" i="6" s="1"/>
  <c r="AI24" i="6" s="1"/>
  <c r="AJ24" i="6" s="1"/>
  <c r="AI25" i="6" s="1"/>
  <c r="AJ25" i="6" s="1"/>
  <c r="AI26" i="6" s="1"/>
  <c r="AJ26" i="6" s="1"/>
  <c r="AI27" i="6" s="1"/>
  <c r="AJ27" i="6" s="1"/>
  <c r="AI28" i="6" s="1"/>
  <c r="AJ28" i="6" s="1"/>
  <c r="AI29" i="6" s="1"/>
  <c r="AJ29" i="6" s="1"/>
  <c r="AI30" i="6" s="1"/>
  <c r="AJ30" i="6" s="1"/>
  <c r="AI31" i="6" s="1"/>
  <c r="AJ31" i="6" s="1"/>
  <c r="AI32" i="6" s="1"/>
  <c r="AJ32" i="6" s="1"/>
  <c r="AI33" i="6" s="1"/>
  <c r="AJ33" i="6" s="1"/>
  <c r="AI34" i="6" s="1"/>
  <c r="AJ34" i="6" s="1"/>
  <c r="AI35" i="6" s="1"/>
  <c r="AJ35" i="6" s="1"/>
  <c r="AI36" i="6" s="1"/>
  <c r="AJ36" i="6" s="1"/>
  <c r="AI37" i="6" s="1"/>
  <c r="AJ37" i="6" s="1"/>
  <c r="AI38" i="6" s="1"/>
  <c r="AJ38" i="6" s="1"/>
  <c r="AI39" i="6" s="1"/>
  <c r="AJ39" i="6" s="1"/>
  <c r="AI40" i="6" s="1"/>
  <c r="AJ40" i="6" s="1"/>
  <c r="AI41" i="6" s="1"/>
  <c r="AJ41" i="6" s="1"/>
  <c r="AI42" i="6" s="1"/>
  <c r="AJ42" i="6" s="1"/>
  <c r="AI43" i="6" s="1"/>
  <c r="AJ43" i="6" s="1"/>
  <c r="AI44" i="6" s="1"/>
  <c r="AJ44" i="6" s="1"/>
  <c r="AI45" i="6" s="1"/>
  <c r="AJ45" i="6" s="1"/>
  <c r="AI46" i="6" s="1"/>
  <c r="AJ46" i="6" s="1"/>
  <c r="AI47" i="6" s="1"/>
  <c r="AJ47" i="6" s="1"/>
  <c r="AI48" i="6" s="1"/>
  <c r="AJ48" i="6" s="1"/>
  <c r="AI49" i="6" s="1"/>
  <c r="AJ49" i="6" s="1"/>
  <c r="AI50" i="6" s="1"/>
  <c r="AJ50" i="6" s="1"/>
  <c r="AI51" i="6" s="1"/>
  <c r="AJ51" i="6" s="1"/>
  <c r="AI52" i="6" s="1"/>
  <c r="AJ52" i="6" s="1"/>
  <c r="AI53" i="6" s="1"/>
  <c r="AJ53" i="6" s="1"/>
  <c r="AI54" i="6" s="1"/>
  <c r="AJ54" i="6" s="1"/>
  <c r="AI55" i="6" s="1"/>
  <c r="AJ55" i="6" s="1"/>
  <c r="AI56" i="6" s="1"/>
  <c r="AJ56" i="6" s="1"/>
  <c r="AI57" i="6" s="1"/>
  <c r="AJ57" i="6" s="1"/>
  <c r="AI58" i="6" s="1"/>
  <c r="AJ58" i="6" s="1"/>
  <c r="AI59" i="6" s="1"/>
  <c r="AJ59" i="6" s="1"/>
  <c r="AI60" i="6" s="1"/>
  <c r="AJ60" i="6" s="1"/>
  <c r="AI61" i="6" s="1"/>
  <c r="AJ61" i="6" s="1"/>
  <c r="AI62" i="6" s="1"/>
  <c r="AJ62" i="6" s="1"/>
  <c r="AI63" i="6" s="1"/>
  <c r="AJ63" i="6" s="1"/>
  <c r="AI64" i="6" s="1"/>
  <c r="AJ64" i="6" s="1"/>
  <c r="AI65" i="6" s="1"/>
  <c r="AJ65" i="6" s="1"/>
  <c r="AI66" i="6" s="1"/>
  <c r="AJ66" i="6" s="1"/>
  <c r="AI67" i="6" s="1"/>
  <c r="AJ67" i="6" s="1"/>
  <c r="AI68" i="6" s="1"/>
  <c r="AJ68" i="6" s="1"/>
  <c r="AI69" i="6" s="1"/>
  <c r="AJ69" i="6" s="1"/>
  <c r="AI70" i="6" s="1"/>
  <c r="AJ70" i="6" s="1"/>
  <c r="AI71" i="6" s="1"/>
  <c r="AJ71" i="6" s="1"/>
  <c r="AI72" i="6" s="1"/>
  <c r="AJ72" i="6" s="1"/>
  <c r="AI73" i="6" s="1"/>
  <c r="AJ73" i="6" s="1"/>
  <c r="AI74" i="6" s="1"/>
  <c r="AJ74" i="6" s="1"/>
  <c r="AI75" i="6" s="1"/>
  <c r="AJ75" i="6" s="1"/>
  <c r="AI76" i="6" s="1"/>
  <c r="AJ76" i="6" s="1"/>
  <c r="AI77" i="6" s="1"/>
  <c r="AJ77" i="6" s="1"/>
  <c r="AI78" i="6" s="1"/>
  <c r="AJ78" i="6" s="1"/>
  <c r="AI79" i="6" s="1"/>
  <c r="AJ79" i="6" s="1"/>
  <c r="AI80" i="6" s="1"/>
  <c r="AJ80" i="6" s="1"/>
  <c r="AI81" i="6" s="1"/>
  <c r="AJ81" i="6" s="1"/>
  <c r="AI82" i="6" s="1"/>
  <c r="AJ82" i="6" s="1"/>
  <c r="AI83" i="6" s="1"/>
  <c r="AJ83" i="6" s="1"/>
  <c r="AI84" i="6" s="1"/>
  <c r="AJ84" i="6" s="1"/>
  <c r="AI85" i="6" s="1"/>
  <c r="AJ85" i="6" s="1"/>
  <c r="AI86" i="6" s="1"/>
  <c r="AJ86" i="6" s="1"/>
  <c r="AI87" i="6" s="1"/>
  <c r="AJ87" i="6" s="1"/>
  <c r="AI88" i="6" s="1"/>
  <c r="AJ88" i="6" s="1"/>
  <c r="AI89" i="6" s="1"/>
  <c r="AJ89" i="6" s="1"/>
  <c r="AI90" i="6" s="1"/>
  <c r="AJ90" i="6" s="1"/>
  <c r="AI91" i="6" s="1"/>
  <c r="AJ91" i="6" s="1"/>
  <c r="AI92" i="6" s="1"/>
  <c r="AJ92" i="6" s="1"/>
  <c r="AI93" i="6" s="1"/>
  <c r="AJ93" i="6" s="1"/>
  <c r="AI94" i="6" s="1"/>
  <c r="AJ94" i="6" s="1"/>
  <c r="AI95" i="6" s="1"/>
  <c r="AJ95" i="6" s="1"/>
  <c r="AI96" i="6" s="1"/>
  <c r="AJ96" i="6" s="1"/>
  <c r="AI97" i="6" s="1"/>
  <c r="AJ97" i="6" s="1"/>
  <c r="AI98" i="6" s="1"/>
  <c r="AJ98" i="6" s="1"/>
  <c r="AI99" i="6" s="1"/>
  <c r="AJ99" i="6" s="1"/>
  <c r="AI100" i="6" s="1"/>
  <c r="AJ100" i="6" s="1"/>
  <c r="AI101" i="6" s="1"/>
  <c r="AJ101" i="6" s="1"/>
  <c r="AI102" i="6" s="1"/>
  <c r="AJ102" i="6" s="1"/>
  <c r="AI103" i="6" s="1"/>
  <c r="AJ103" i="6" s="1"/>
  <c r="BT4" i="6"/>
  <c r="BS5" i="6" s="1"/>
  <c r="BT5" i="6" s="1"/>
  <c r="BS6" i="6" s="1"/>
  <c r="BT6" i="6" s="1"/>
  <c r="BS7" i="6" s="1"/>
  <c r="BT7" i="6" s="1"/>
  <c r="BS8" i="6" s="1"/>
  <c r="BT8" i="6" s="1"/>
  <c r="BS9" i="6" s="1"/>
  <c r="BT9" i="6" s="1"/>
  <c r="BS10" i="6" s="1"/>
  <c r="BT10" i="6" s="1"/>
  <c r="BS11" i="6" s="1"/>
  <c r="BT11" i="6" s="1"/>
  <c r="BS12" i="6" s="1"/>
  <c r="BT12" i="6" s="1"/>
  <c r="BS13" i="6" s="1"/>
  <c r="BT13" i="6" s="1"/>
  <c r="BS14" i="6" s="1"/>
  <c r="BT14" i="6" s="1"/>
  <c r="BS15" i="6" s="1"/>
  <c r="BT15" i="6" s="1"/>
  <c r="BS16" i="6" s="1"/>
  <c r="BT16" i="6" s="1"/>
  <c r="BS17" i="6" s="1"/>
  <c r="BT17" i="6" s="1"/>
  <c r="BS18" i="6" s="1"/>
  <c r="BT18" i="6" s="1"/>
  <c r="BS19" i="6" s="1"/>
  <c r="BT19" i="6" s="1"/>
  <c r="BS20" i="6" s="1"/>
  <c r="BT20" i="6" s="1"/>
  <c r="BS21" i="6" s="1"/>
  <c r="BT21" i="6" s="1"/>
  <c r="BS22" i="6" s="1"/>
  <c r="BT22" i="6" s="1"/>
  <c r="BS23" i="6" s="1"/>
  <c r="BT23" i="6" s="1"/>
  <c r="BS24" i="6" s="1"/>
  <c r="BT24" i="6" s="1"/>
  <c r="BS25" i="6" s="1"/>
  <c r="BT25" i="6" s="1"/>
  <c r="BS26" i="6" s="1"/>
  <c r="BT26" i="6" s="1"/>
  <c r="BS27" i="6" s="1"/>
  <c r="BT27" i="6" s="1"/>
  <c r="BS28" i="6" s="1"/>
  <c r="BT28" i="6" s="1"/>
  <c r="BS29" i="6" s="1"/>
  <c r="BT29" i="6" s="1"/>
  <c r="BS30" i="6" s="1"/>
  <c r="BT30" i="6" s="1"/>
  <c r="BS31" i="6" s="1"/>
  <c r="BT31" i="6" s="1"/>
  <c r="BS32" i="6" s="1"/>
  <c r="BT32" i="6" s="1"/>
  <c r="BS33" i="6" s="1"/>
  <c r="BT33" i="6" s="1"/>
  <c r="BS34" i="6" s="1"/>
  <c r="BT34" i="6" s="1"/>
  <c r="BS35" i="6" s="1"/>
  <c r="BT35" i="6" s="1"/>
  <c r="BS36" i="6" s="1"/>
  <c r="BT36" i="6" s="1"/>
  <c r="BS37" i="6" s="1"/>
  <c r="BT37" i="6" s="1"/>
  <c r="BS38" i="6" s="1"/>
  <c r="BT38" i="6" s="1"/>
  <c r="BS39" i="6" s="1"/>
  <c r="BT39" i="6" s="1"/>
  <c r="BS40" i="6" s="1"/>
  <c r="BT40" i="6" s="1"/>
  <c r="BS41" i="6" s="1"/>
  <c r="BT41" i="6" s="1"/>
  <c r="BS42" i="6" s="1"/>
  <c r="BT42" i="6" s="1"/>
  <c r="BS43" i="6" s="1"/>
  <c r="BT43" i="6" s="1"/>
  <c r="BS44" i="6" s="1"/>
  <c r="BT44" i="6" s="1"/>
  <c r="BS45" i="6" s="1"/>
  <c r="BT45" i="6" s="1"/>
  <c r="BS46" i="6" s="1"/>
  <c r="BT46" i="6" s="1"/>
  <c r="BS47" i="6" s="1"/>
  <c r="BT47" i="6" s="1"/>
  <c r="BS48" i="6" s="1"/>
  <c r="BT48" i="6" s="1"/>
  <c r="BS49" i="6" s="1"/>
  <c r="BT49" i="6" s="1"/>
  <c r="BS50" i="6" s="1"/>
  <c r="BT50" i="6" s="1"/>
  <c r="BS51" i="6" s="1"/>
  <c r="BT51" i="6" s="1"/>
  <c r="BS52" i="6" s="1"/>
  <c r="BT52" i="6" s="1"/>
  <c r="BS53" i="6" s="1"/>
  <c r="BT53" i="6" s="1"/>
  <c r="BS54" i="6" s="1"/>
  <c r="BT54" i="6" s="1"/>
  <c r="BS55" i="6" s="1"/>
  <c r="BT55" i="6" s="1"/>
  <c r="BS56" i="6" s="1"/>
  <c r="BT56" i="6" s="1"/>
  <c r="BS57" i="6" s="1"/>
  <c r="BT57" i="6" s="1"/>
  <c r="BS58" i="6" s="1"/>
  <c r="BT58" i="6" s="1"/>
  <c r="BS59" i="6" s="1"/>
  <c r="BT59" i="6" s="1"/>
  <c r="BS60" i="6" s="1"/>
  <c r="BT60" i="6" s="1"/>
  <c r="BS61" i="6" s="1"/>
  <c r="BT61" i="6" s="1"/>
  <c r="BS62" i="6" s="1"/>
  <c r="BT62" i="6" s="1"/>
  <c r="BS63" i="6" s="1"/>
  <c r="BT63" i="6" s="1"/>
  <c r="BS64" i="6" s="1"/>
  <c r="BT64" i="6" s="1"/>
  <c r="BS65" i="6" s="1"/>
  <c r="BT65" i="6" s="1"/>
  <c r="BS66" i="6" s="1"/>
  <c r="BT66" i="6" s="1"/>
  <c r="BS67" i="6" s="1"/>
  <c r="BT67" i="6" s="1"/>
  <c r="BS68" i="6" s="1"/>
  <c r="BT68" i="6" s="1"/>
  <c r="BS69" i="6" s="1"/>
  <c r="BT69" i="6" s="1"/>
  <c r="BS70" i="6" s="1"/>
  <c r="BT70" i="6" s="1"/>
  <c r="BS71" i="6" s="1"/>
  <c r="BT71" i="6" s="1"/>
  <c r="BS72" i="6" s="1"/>
  <c r="BT72" i="6" s="1"/>
  <c r="BS73" i="6" s="1"/>
  <c r="BT73" i="6" s="1"/>
  <c r="BS74" i="6" s="1"/>
  <c r="BT74" i="6" s="1"/>
  <c r="BS75" i="6" s="1"/>
  <c r="BT75" i="6" s="1"/>
  <c r="BS76" i="6" s="1"/>
  <c r="BT76" i="6" s="1"/>
  <c r="BS77" i="6" s="1"/>
  <c r="BT77" i="6" s="1"/>
  <c r="BS78" i="6" s="1"/>
  <c r="BT78" i="6" s="1"/>
  <c r="BS79" i="6" s="1"/>
  <c r="BT79" i="6" s="1"/>
  <c r="BS80" i="6" s="1"/>
  <c r="BT80" i="6" s="1"/>
  <c r="BS81" i="6" s="1"/>
  <c r="BT81" i="6" s="1"/>
  <c r="BS82" i="6" s="1"/>
  <c r="BT82" i="6" s="1"/>
  <c r="BS83" i="6" s="1"/>
  <c r="BT83" i="6" s="1"/>
  <c r="BS84" i="6" s="1"/>
  <c r="BT84" i="6" s="1"/>
  <c r="BS85" i="6" s="1"/>
  <c r="BT85" i="6" s="1"/>
  <c r="BS86" i="6" s="1"/>
  <c r="BT86" i="6" s="1"/>
  <c r="BS87" i="6" s="1"/>
  <c r="BT87" i="6" s="1"/>
  <c r="BS88" i="6" s="1"/>
  <c r="BT88" i="6" s="1"/>
  <c r="BS89" i="6" s="1"/>
  <c r="BT89" i="6" s="1"/>
  <c r="BS90" i="6" s="1"/>
  <c r="BT90" i="6" s="1"/>
  <c r="BS91" i="6" s="1"/>
  <c r="BT91" i="6" s="1"/>
  <c r="BS92" i="6" s="1"/>
  <c r="BT92" i="6" s="1"/>
  <c r="BS93" i="6" s="1"/>
  <c r="BT93" i="6" s="1"/>
  <c r="BS94" i="6" s="1"/>
  <c r="BT94" i="6" s="1"/>
  <c r="BS95" i="6" s="1"/>
  <c r="BT95" i="6" s="1"/>
  <c r="BS96" i="6" s="1"/>
  <c r="BT96" i="6" s="1"/>
  <c r="BS97" i="6" s="1"/>
  <c r="BT97" i="6" s="1"/>
  <c r="BS98" i="6" s="1"/>
  <c r="BT98" i="6" s="1"/>
  <c r="BS99" i="6" s="1"/>
  <c r="BT99" i="6" s="1"/>
  <c r="BS100" i="6" s="1"/>
  <c r="BT100" i="6" s="1"/>
  <c r="BS101" i="6" s="1"/>
  <c r="BT101" i="6" s="1"/>
  <c r="BS102" i="6" s="1"/>
  <c r="BT102" i="6" s="1"/>
  <c r="BS103" i="6" s="1"/>
  <c r="BT103" i="6" s="1"/>
  <c r="AP4" i="6"/>
  <c r="AO5" i="6" s="1"/>
  <c r="AP5" i="6" s="1"/>
  <c r="AO6" i="6" s="1"/>
  <c r="AP6" i="6" s="1"/>
  <c r="AO7" i="6" s="1"/>
  <c r="AP7" i="6" s="1"/>
  <c r="AO8" i="6" s="1"/>
  <c r="AP8" i="6" s="1"/>
  <c r="AO9" i="6" s="1"/>
  <c r="AP9" i="6" s="1"/>
  <c r="AO10" i="6" s="1"/>
  <c r="AP10" i="6" s="1"/>
  <c r="AO11" i="6" s="1"/>
  <c r="AP11" i="6" s="1"/>
  <c r="AO12" i="6" s="1"/>
  <c r="AP12" i="6" s="1"/>
  <c r="AO13" i="6" s="1"/>
  <c r="AP13" i="6" s="1"/>
  <c r="AO14" i="6" s="1"/>
  <c r="AP14" i="6" s="1"/>
  <c r="AO15" i="6" s="1"/>
  <c r="AP15" i="6" s="1"/>
  <c r="AO16" i="6" s="1"/>
  <c r="AP16" i="6" s="1"/>
  <c r="AO17" i="6" s="1"/>
  <c r="AP17" i="6" s="1"/>
  <c r="AO18" i="6" s="1"/>
  <c r="AP18" i="6" s="1"/>
  <c r="AO19" i="6" s="1"/>
  <c r="AP19" i="6" s="1"/>
  <c r="AO20" i="6" s="1"/>
  <c r="AP20" i="6" s="1"/>
  <c r="AO21" i="6" s="1"/>
  <c r="AP21" i="6" s="1"/>
  <c r="AO22" i="6" s="1"/>
  <c r="AP22" i="6" s="1"/>
  <c r="AO23" i="6" s="1"/>
  <c r="AP23" i="6" s="1"/>
  <c r="AO24" i="6" s="1"/>
  <c r="AP24" i="6" s="1"/>
  <c r="AO25" i="6" s="1"/>
  <c r="AP25" i="6" s="1"/>
  <c r="AO26" i="6" s="1"/>
  <c r="AP26" i="6" s="1"/>
  <c r="AO27" i="6" s="1"/>
  <c r="AP27" i="6" s="1"/>
  <c r="AO28" i="6" s="1"/>
  <c r="AP28" i="6" s="1"/>
  <c r="AO29" i="6" s="1"/>
  <c r="AP29" i="6" s="1"/>
  <c r="AO30" i="6" s="1"/>
  <c r="AP30" i="6" s="1"/>
  <c r="AO31" i="6" s="1"/>
  <c r="AP31" i="6" s="1"/>
  <c r="AO32" i="6" s="1"/>
  <c r="AP32" i="6" s="1"/>
  <c r="AO33" i="6" s="1"/>
  <c r="AP33" i="6" s="1"/>
  <c r="AO34" i="6" s="1"/>
  <c r="AP34" i="6" s="1"/>
  <c r="AO35" i="6" s="1"/>
  <c r="AP35" i="6" s="1"/>
  <c r="AO36" i="6" s="1"/>
  <c r="AP36" i="6" s="1"/>
  <c r="AO37" i="6" s="1"/>
  <c r="AP37" i="6" s="1"/>
  <c r="AO38" i="6" s="1"/>
  <c r="AP38" i="6" s="1"/>
  <c r="AO39" i="6" s="1"/>
  <c r="AP39" i="6" s="1"/>
  <c r="AO40" i="6" s="1"/>
  <c r="AP40" i="6" s="1"/>
  <c r="AO41" i="6" s="1"/>
  <c r="AP41" i="6" s="1"/>
  <c r="AO42" i="6" s="1"/>
  <c r="AP42" i="6" s="1"/>
  <c r="AO43" i="6" s="1"/>
  <c r="AP43" i="6" s="1"/>
  <c r="AO44" i="6" s="1"/>
  <c r="AP44" i="6" s="1"/>
  <c r="AO45" i="6" s="1"/>
  <c r="AP45" i="6" s="1"/>
  <c r="AO46" i="6" s="1"/>
  <c r="AP46" i="6" s="1"/>
  <c r="AO47" i="6" s="1"/>
  <c r="AP47" i="6" s="1"/>
  <c r="AO48" i="6" s="1"/>
  <c r="AP48" i="6" s="1"/>
  <c r="AO49" i="6" s="1"/>
  <c r="AP49" i="6" s="1"/>
  <c r="AO50" i="6" s="1"/>
  <c r="AP50" i="6" s="1"/>
  <c r="AO51" i="6" s="1"/>
  <c r="AP51" i="6" s="1"/>
  <c r="AO52" i="6" s="1"/>
  <c r="AP52" i="6" s="1"/>
  <c r="AO53" i="6" s="1"/>
  <c r="AP53" i="6" s="1"/>
  <c r="AO54" i="6" s="1"/>
  <c r="AP54" i="6" s="1"/>
  <c r="AO55" i="6" s="1"/>
  <c r="AP55" i="6" s="1"/>
  <c r="AO56" i="6" s="1"/>
  <c r="AP56" i="6" s="1"/>
  <c r="AO57" i="6" s="1"/>
  <c r="AP57" i="6" s="1"/>
  <c r="AO58" i="6" s="1"/>
  <c r="AP58" i="6" s="1"/>
  <c r="AO59" i="6" s="1"/>
  <c r="AP59" i="6" s="1"/>
  <c r="AO60" i="6" s="1"/>
  <c r="AP60" i="6" s="1"/>
  <c r="AO61" i="6" s="1"/>
  <c r="AP61" i="6" s="1"/>
  <c r="AO62" i="6" s="1"/>
  <c r="AP62" i="6" s="1"/>
  <c r="AO63" i="6" s="1"/>
  <c r="AP63" i="6" s="1"/>
  <c r="AO64" i="6" s="1"/>
  <c r="AP64" i="6" s="1"/>
  <c r="AO65" i="6" s="1"/>
  <c r="AP65" i="6" s="1"/>
  <c r="AO66" i="6" s="1"/>
  <c r="AP66" i="6" s="1"/>
  <c r="AO67" i="6" s="1"/>
  <c r="AP67" i="6" s="1"/>
  <c r="AO68" i="6" s="1"/>
  <c r="AP68" i="6" s="1"/>
  <c r="AO69" i="6" s="1"/>
  <c r="AP69" i="6" s="1"/>
  <c r="AO70" i="6" s="1"/>
  <c r="AP70" i="6" s="1"/>
  <c r="AO71" i="6" s="1"/>
  <c r="AP71" i="6" s="1"/>
  <c r="AO72" i="6" s="1"/>
  <c r="AP72" i="6" s="1"/>
  <c r="AO73" i="6" s="1"/>
  <c r="AP73" i="6" s="1"/>
  <c r="AO74" i="6" s="1"/>
  <c r="AP74" i="6" s="1"/>
  <c r="AO75" i="6" s="1"/>
  <c r="AP75" i="6" s="1"/>
  <c r="AO76" i="6" s="1"/>
  <c r="AP76" i="6" s="1"/>
  <c r="AO77" i="6" s="1"/>
  <c r="AP77" i="6" s="1"/>
  <c r="AO78" i="6" s="1"/>
  <c r="AP78" i="6" s="1"/>
  <c r="AO79" i="6" s="1"/>
  <c r="AP79" i="6" s="1"/>
  <c r="AO80" i="6" s="1"/>
  <c r="AP80" i="6" s="1"/>
  <c r="AO81" i="6" s="1"/>
  <c r="AP81" i="6" s="1"/>
  <c r="AO82" i="6" s="1"/>
  <c r="AP82" i="6" s="1"/>
  <c r="AO83" i="6" s="1"/>
  <c r="AP83" i="6" s="1"/>
  <c r="AO84" i="6" s="1"/>
  <c r="AP84" i="6" s="1"/>
  <c r="AO85" i="6" s="1"/>
  <c r="AP85" i="6" s="1"/>
  <c r="AO86" i="6" s="1"/>
  <c r="AP86" i="6" s="1"/>
  <c r="AO87" i="6" s="1"/>
  <c r="AP87" i="6" s="1"/>
  <c r="AO88" i="6" s="1"/>
  <c r="AP88" i="6" s="1"/>
  <c r="AO89" i="6" s="1"/>
  <c r="AP89" i="6" s="1"/>
  <c r="AO90" i="6" s="1"/>
  <c r="AP90" i="6" s="1"/>
  <c r="AO91" i="6" s="1"/>
  <c r="AP91" i="6" s="1"/>
  <c r="AO92" i="6" s="1"/>
  <c r="AP92" i="6" s="1"/>
  <c r="AO93" i="6" s="1"/>
  <c r="AP93" i="6" s="1"/>
  <c r="AO94" i="6" s="1"/>
  <c r="AP94" i="6" s="1"/>
  <c r="AO95" i="6" s="1"/>
  <c r="AP95" i="6" s="1"/>
  <c r="AO96" i="6" s="1"/>
  <c r="AP96" i="6" s="1"/>
  <c r="AO97" i="6" s="1"/>
  <c r="AP97" i="6" s="1"/>
  <c r="AO98" i="6" s="1"/>
  <c r="AP98" i="6" s="1"/>
  <c r="AO99" i="6" s="1"/>
  <c r="AP99" i="6" s="1"/>
  <c r="AS4" i="6"/>
  <c r="AR5" i="6" s="1"/>
  <c r="AS5" i="6" s="1"/>
  <c r="AR6" i="6" s="1"/>
  <c r="AS6" i="6" s="1"/>
  <c r="AR7" i="6" s="1"/>
  <c r="AS7" i="6" s="1"/>
  <c r="AR8" i="6" s="1"/>
  <c r="AS8" i="6" s="1"/>
  <c r="AR9" i="6" s="1"/>
  <c r="AS9" i="6" s="1"/>
  <c r="AR10" i="6" s="1"/>
  <c r="AS10" i="6" s="1"/>
  <c r="AR11" i="6" s="1"/>
  <c r="AS11" i="6" s="1"/>
  <c r="AR12" i="6" s="1"/>
  <c r="AS12" i="6" s="1"/>
  <c r="AR13" i="6" s="1"/>
  <c r="AS13" i="6" s="1"/>
  <c r="AR14" i="6" s="1"/>
  <c r="AS14" i="6" s="1"/>
  <c r="AR15" i="6" s="1"/>
  <c r="AS15" i="6" s="1"/>
  <c r="AR16" i="6" s="1"/>
  <c r="AS16" i="6" s="1"/>
  <c r="AR17" i="6" s="1"/>
  <c r="AS17" i="6" s="1"/>
  <c r="AR18" i="6" s="1"/>
  <c r="AS18" i="6" s="1"/>
  <c r="AR19" i="6" s="1"/>
  <c r="AS19" i="6" s="1"/>
  <c r="AR20" i="6" s="1"/>
  <c r="AS20" i="6" s="1"/>
  <c r="AR21" i="6" s="1"/>
  <c r="AS21" i="6" s="1"/>
  <c r="AR22" i="6" s="1"/>
  <c r="AS22" i="6" s="1"/>
  <c r="AR23" i="6" s="1"/>
  <c r="AS23" i="6" s="1"/>
  <c r="AR24" i="6" s="1"/>
  <c r="AS24" i="6" s="1"/>
  <c r="AR25" i="6" s="1"/>
  <c r="AS25" i="6" s="1"/>
  <c r="AR26" i="6" s="1"/>
  <c r="AS26" i="6" s="1"/>
  <c r="AR27" i="6" s="1"/>
  <c r="AS27" i="6" s="1"/>
  <c r="AR28" i="6" s="1"/>
  <c r="AS28" i="6" s="1"/>
  <c r="AR29" i="6" s="1"/>
  <c r="AS29" i="6" s="1"/>
  <c r="AR30" i="6" s="1"/>
  <c r="AS30" i="6" s="1"/>
  <c r="AR31" i="6" s="1"/>
  <c r="AS31" i="6" s="1"/>
  <c r="AR32" i="6" s="1"/>
  <c r="AS32" i="6" s="1"/>
  <c r="AR33" i="6" s="1"/>
  <c r="AS33" i="6" s="1"/>
  <c r="AR34" i="6" s="1"/>
  <c r="AS34" i="6" s="1"/>
  <c r="AR35" i="6" s="1"/>
  <c r="AS35" i="6" s="1"/>
  <c r="AR36" i="6" s="1"/>
  <c r="AS36" i="6" s="1"/>
  <c r="AR37" i="6" s="1"/>
  <c r="AS37" i="6" s="1"/>
  <c r="AR38" i="6" s="1"/>
  <c r="AS38" i="6" s="1"/>
  <c r="AR39" i="6" s="1"/>
  <c r="AS39" i="6" s="1"/>
  <c r="AR40" i="6" s="1"/>
  <c r="AS40" i="6" s="1"/>
  <c r="AR41" i="6" s="1"/>
  <c r="AS41" i="6" s="1"/>
  <c r="AR42" i="6" s="1"/>
  <c r="AS42" i="6" s="1"/>
  <c r="AR43" i="6" s="1"/>
  <c r="AS43" i="6" s="1"/>
  <c r="AR44" i="6" s="1"/>
  <c r="AS44" i="6" s="1"/>
  <c r="AR45" i="6" s="1"/>
  <c r="AS45" i="6" s="1"/>
  <c r="AR46" i="6" s="1"/>
  <c r="AS46" i="6" s="1"/>
  <c r="AR47" i="6" s="1"/>
  <c r="AS47" i="6" s="1"/>
  <c r="AR48" i="6" s="1"/>
  <c r="AS48" i="6" s="1"/>
  <c r="AR49" i="6" s="1"/>
  <c r="AS49" i="6" s="1"/>
  <c r="AR50" i="6" s="1"/>
  <c r="AS50" i="6" s="1"/>
  <c r="AR51" i="6" s="1"/>
  <c r="AS51" i="6" s="1"/>
  <c r="AR52" i="6" s="1"/>
  <c r="AS52" i="6" s="1"/>
  <c r="AR53" i="6" s="1"/>
  <c r="AS53" i="6" s="1"/>
  <c r="AR54" i="6" s="1"/>
  <c r="AS54" i="6" s="1"/>
  <c r="AR55" i="6" s="1"/>
  <c r="AS55" i="6" s="1"/>
  <c r="AR56" i="6" s="1"/>
  <c r="AS56" i="6" s="1"/>
  <c r="AR57" i="6" s="1"/>
  <c r="AS57" i="6" s="1"/>
  <c r="AR58" i="6" s="1"/>
  <c r="AS58" i="6" s="1"/>
  <c r="AR59" i="6" s="1"/>
  <c r="AS59" i="6" s="1"/>
  <c r="AR60" i="6" s="1"/>
  <c r="AS60" i="6" s="1"/>
  <c r="AR61" i="6" s="1"/>
  <c r="AS61" i="6" s="1"/>
  <c r="AR62" i="6" s="1"/>
  <c r="AS62" i="6" s="1"/>
  <c r="AR63" i="6" s="1"/>
  <c r="AS63" i="6" s="1"/>
  <c r="AR64" i="6" s="1"/>
  <c r="AS64" i="6" s="1"/>
  <c r="AR65" i="6" s="1"/>
  <c r="AS65" i="6" s="1"/>
  <c r="AR66" i="6" s="1"/>
  <c r="AS66" i="6" s="1"/>
  <c r="AR67" i="6" s="1"/>
  <c r="AS67" i="6" s="1"/>
  <c r="AR68" i="6" s="1"/>
  <c r="AS68" i="6" s="1"/>
  <c r="AR69" i="6" s="1"/>
  <c r="AS69" i="6" s="1"/>
  <c r="AR70" i="6" s="1"/>
  <c r="AS70" i="6" s="1"/>
  <c r="AR71" i="6" s="1"/>
  <c r="AS71" i="6" s="1"/>
  <c r="AR72" i="6" s="1"/>
  <c r="AS72" i="6" s="1"/>
  <c r="AR73" i="6" s="1"/>
  <c r="AS73" i="6" s="1"/>
  <c r="AR74" i="6" s="1"/>
  <c r="AS74" i="6" s="1"/>
  <c r="AR75" i="6" s="1"/>
  <c r="AS75" i="6" s="1"/>
  <c r="AR76" i="6" s="1"/>
  <c r="AS76" i="6" s="1"/>
  <c r="AR77" i="6" s="1"/>
  <c r="AS77" i="6" s="1"/>
  <c r="AR78" i="6" s="1"/>
  <c r="AS78" i="6" s="1"/>
  <c r="AR79" i="6" s="1"/>
  <c r="AS79" i="6" s="1"/>
  <c r="AR80" i="6" s="1"/>
  <c r="AS80" i="6" s="1"/>
  <c r="AR81" i="6" s="1"/>
  <c r="AS81" i="6" s="1"/>
  <c r="AR82" i="6" s="1"/>
  <c r="AS82" i="6" s="1"/>
  <c r="AR83" i="6" s="1"/>
  <c r="AS83" i="6" s="1"/>
  <c r="AR84" i="6" s="1"/>
  <c r="AS84" i="6" s="1"/>
  <c r="AR85" i="6" s="1"/>
  <c r="AS85" i="6" s="1"/>
  <c r="AR86" i="6" s="1"/>
  <c r="AS86" i="6" s="1"/>
  <c r="AR87" i="6" s="1"/>
  <c r="AS87" i="6" s="1"/>
  <c r="AR88" i="6" s="1"/>
  <c r="AS88" i="6" s="1"/>
  <c r="AR89" i="6" s="1"/>
  <c r="AS89" i="6" s="1"/>
  <c r="AR90" i="6" s="1"/>
  <c r="AS90" i="6" s="1"/>
  <c r="AR91" i="6" s="1"/>
  <c r="AS91" i="6" s="1"/>
  <c r="AR92" i="6" s="1"/>
  <c r="AS92" i="6" s="1"/>
  <c r="AR93" i="6" s="1"/>
  <c r="AS93" i="6" s="1"/>
  <c r="AR94" i="6" s="1"/>
  <c r="AS94" i="6" s="1"/>
  <c r="AR95" i="6" s="1"/>
  <c r="AS95" i="6" s="1"/>
  <c r="AR96" i="6" s="1"/>
  <c r="AS96" i="6" s="1"/>
  <c r="AR97" i="6" s="1"/>
  <c r="AS97" i="6" s="1"/>
  <c r="AR98" i="6" s="1"/>
  <c r="AS98" i="6" s="1"/>
  <c r="AR99" i="6" s="1"/>
  <c r="AS99" i="6" s="1"/>
  <c r="AR100" i="6" s="1"/>
  <c r="AS100" i="6" s="1"/>
  <c r="AR101" i="6" s="1"/>
  <c r="AS101" i="6" s="1"/>
  <c r="AR102" i="6" s="1"/>
  <c r="AS102" i="6" s="1"/>
  <c r="AR103" i="6" s="1"/>
  <c r="AS103" i="6" s="1"/>
  <c r="AD4" i="6"/>
  <c r="AC5" i="6" s="1"/>
  <c r="AD5" i="6" s="1"/>
  <c r="AC6" i="6" s="1"/>
  <c r="AD6" i="6" s="1"/>
  <c r="AC7" i="6" s="1"/>
  <c r="AD7" i="6" s="1"/>
  <c r="AC8" i="6" s="1"/>
  <c r="AD8" i="6" s="1"/>
  <c r="AC9" i="6" s="1"/>
  <c r="AD9" i="6" s="1"/>
  <c r="AC10" i="6" s="1"/>
  <c r="AD10" i="6" s="1"/>
  <c r="AC11" i="6" s="1"/>
  <c r="AD11" i="6" s="1"/>
  <c r="AC12" i="6" s="1"/>
  <c r="AD12" i="6" s="1"/>
  <c r="AC13" i="6" s="1"/>
  <c r="AD13" i="6" s="1"/>
  <c r="AC14" i="6" s="1"/>
  <c r="AD14" i="6" s="1"/>
  <c r="AC15" i="6" s="1"/>
  <c r="AD15" i="6" s="1"/>
  <c r="AC16" i="6" s="1"/>
  <c r="AD16" i="6" s="1"/>
  <c r="AC17" i="6" s="1"/>
  <c r="AD17" i="6" s="1"/>
  <c r="AC18" i="6" s="1"/>
  <c r="AD18" i="6" s="1"/>
  <c r="AC19" i="6" s="1"/>
  <c r="AD19" i="6" s="1"/>
  <c r="AC20" i="6" s="1"/>
  <c r="AD20" i="6" s="1"/>
  <c r="AC21" i="6" s="1"/>
  <c r="AD21" i="6" s="1"/>
  <c r="AC22" i="6" s="1"/>
  <c r="AD22" i="6" s="1"/>
  <c r="AC23" i="6" s="1"/>
  <c r="AD23" i="6" s="1"/>
  <c r="AC24" i="6" s="1"/>
  <c r="AD24" i="6" s="1"/>
  <c r="AC25" i="6" s="1"/>
  <c r="AD25" i="6" s="1"/>
  <c r="AC26" i="6" s="1"/>
  <c r="AD26" i="6" s="1"/>
  <c r="AC27" i="6" s="1"/>
  <c r="AD27" i="6" s="1"/>
  <c r="AC28" i="6" s="1"/>
  <c r="AD28" i="6" s="1"/>
  <c r="AC29" i="6" s="1"/>
  <c r="AD29" i="6" s="1"/>
  <c r="AC30" i="6" s="1"/>
  <c r="AD30" i="6" s="1"/>
  <c r="AC31" i="6" s="1"/>
  <c r="AD31" i="6" s="1"/>
  <c r="AC32" i="6" s="1"/>
  <c r="AD32" i="6" s="1"/>
  <c r="AC33" i="6" s="1"/>
  <c r="AD33" i="6" s="1"/>
  <c r="AC34" i="6" s="1"/>
  <c r="AD34" i="6" s="1"/>
  <c r="AC35" i="6" s="1"/>
  <c r="AD35" i="6" s="1"/>
  <c r="AC36" i="6" s="1"/>
  <c r="AD36" i="6" s="1"/>
  <c r="AC37" i="6" s="1"/>
  <c r="AD37" i="6" s="1"/>
  <c r="AC38" i="6" s="1"/>
  <c r="AD38" i="6" s="1"/>
  <c r="AC39" i="6" s="1"/>
  <c r="AD39" i="6" s="1"/>
  <c r="AC40" i="6" s="1"/>
  <c r="AD40" i="6" s="1"/>
  <c r="AC41" i="6" s="1"/>
  <c r="AD41" i="6" s="1"/>
  <c r="AC42" i="6" s="1"/>
  <c r="AD42" i="6" s="1"/>
  <c r="AC43" i="6" s="1"/>
  <c r="AD43" i="6" s="1"/>
  <c r="AC44" i="6" s="1"/>
  <c r="AD44" i="6" s="1"/>
  <c r="AC45" i="6" s="1"/>
  <c r="AD45" i="6" s="1"/>
  <c r="AC46" i="6" s="1"/>
  <c r="AD46" i="6" s="1"/>
  <c r="AC47" i="6" s="1"/>
  <c r="AD47" i="6" s="1"/>
  <c r="AC48" i="6" s="1"/>
  <c r="AD48" i="6" s="1"/>
  <c r="AC49" i="6" s="1"/>
  <c r="AD49" i="6" s="1"/>
  <c r="AC50" i="6" s="1"/>
  <c r="AD50" i="6" s="1"/>
  <c r="AC51" i="6" s="1"/>
  <c r="AD51" i="6" s="1"/>
  <c r="AC52" i="6" s="1"/>
  <c r="AD52" i="6" s="1"/>
  <c r="AC53" i="6" s="1"/>
  <c r="AD53" i="6" s="1"/>
  <c r="AC54" i="6" s="1"/>
  <c r="AD54" i="6" s="1"/>
  <c r="AC55" i="6" s="1"/>
  <c r="AD55" i="6" s="1"/>
  <c r="AC56" i="6" s="1"/>
  <c r="AD56" i="6" s="1"/>
  <c r="AC57" i="6" s="1"/>
  <c r="AD57" i="6" s="1"/>
  <c r="AC58" i="6" s="1"/>
  <c r="AD58" i="6" s="1"/>
  <c r="AC59" i="6" s="1"/>
  <c r="AD59" i="6" s="1"/>
  <c r="AC60" i="6" s="1"/>
  <c r="AD60" i="6" s="1"/>
  <c r="AC61" i="6" s="1"/>
  <c r="AD61" i="6" s="1"/>
  <c r="AC62" i="6" s="1"/>
  <c r="AD62" i="6" s="1"/>
  <c r="AC63" i="6" s="1"/>
  <c r="AD63" i="6" s="1"/>
  <c r="AC64" i="6" s="1"/>
  <c r="AD64" i="6" s="1"/>
  <c r="AC65" i="6" s="1"/>
  <c r="AD65" i="6" s="1"/>
  <c r="AC66" i="6" s="1"/>
  <c r="AD66" i="6" s="1"/>
  <c r="AC67" i="6" s="1"/>
  <c r="AD67" i="6" s="1"/>
  <c r="AC68" i="6" s="1"/>
  <c r="AD68" i="6" s="1"/>
  <c r="AC69" i="6" s="1"/>
  <c r="AD69" i="6" s="1"/>
  <c r="AC70" i="6" s="1"/>
  <c r="AD70" i="6" s="1"/>
  <c r="AC71" i="6" s="1"/>
  <c r="AD71" i="6" s="1"/>
  <c r="AC72" i="6" s="1"/>
  <c r="AD72" i="6" s="1"/>
  <c r="AC73" i="6" s="1"/>
  <c r="AD73" i="6" s="1"/>
  <c r="AC74" i="6" s="1"/>
  <c r="AD74" i="6" s="1"/>
  <c r="AC75" i="6" s="1"/>
  <c r="AD75" i="6" s="1"/>
  <c r="AC76" i="6" s="1"/>
  <c r="AD76" i="6" s="1"/>
  <c r="AC77" i="6" s="1"/>
  <c r="AD77" i="6" s="1"/>
  <c r="AC78" i="6" s="1"/>
  <c r="AD78" i="6" s="1"/>
  <c r="AC79" i="6" s="1"/>
  <c r="AD79" i="6" s="1"/>
  <c r="AC80" i="6" s="1"/>
  <c r="AD80" i="6" s="1"/>
  <c r="AC81" i="6" s="1"/>
  <c r="AD81" i="6" s="1"/>
  <c r="AC82" i="6" s="1"/>
  <c r="AD82" i="6" s="1"/>
  <c r="AC83" i="6" s="1"/>
  <c r="AD83" i="6" s="1"/>
  <c r="AC84" i="6" s="1"/>
  <c r="AD84" i="6" s="1"/>
  <c r="AC85" i="6" s="1"/>
  <c r="AD85" i="6" s="1"/>
  <c r="AC86" i="6" s="1"/>
  <c r="AD86" i="6" s="1"/>
  <c r="AC87" i="6" s="1"/>
  <c r="AD87" i="6" s="1"/>
  <c r="AC88" i="6" s="1"/>
  <c r="AD88" i="6" s="1"/>
  <c r="AC89" i="6" s="1"/>
  <c r="AD89" i="6" s="1"/>
  <c r="AC90" i="6" s="1"/>
  <c r="AD90" i="6" s="1"/>
  <c r="AC91" i="6" s="1"/>
  <c r="AD91" i="6" s="1"/>
  <c r="AC92" i="6" s="1"/>
  <c r="AD92" i="6" s="1"/>
  <c r="AC93" i="6" s="1"/>
  <c r="AD93" i="6" s="1"/>
  <c r="AC94" i="6" s="1"/>
  <c r="AD94" i="6" s="1"/>
  <c r="AC95" i="6" s="1"/>
  <c r="AD95" i="6" s="1"/>
  <c r="AC96" i="6" s="1"/>
  <c r="AD96" i="6" s="1"/>
  <c r="AC97" i="6" s="1"/>
  <c r="AD97" i="6" s="1"/>
  <c r="AC98" i="6" s="1"/>
  <c r="AD98" i="6" s="1"/>
  <c r="AC99" i="6" s="1"/>
  <c r="AD99" i="6" s="1"/>
  <c r="AC100" i="6" s="1"/>
  <c r="AD100" i="6" s="1"/>
  <c r="AC101" i="6" s="1"/>
  <c r="AD101" i="6" s="1"/>
  <c r="AC102" i="6" s="1"/>
  <c r="AD102" i="6" s="1"/>
  <c r="AC103" i="6" s="1"/>
  <c r="AD103" i="6" s="1"/>
  <c r="R4" i="6"/>
  <c r="Q5" i="6" s="1"/>
  <c r="R5" i="6" s="1"/>
  <c r="Q6" i="6" s="1"/>
  <c r="R6" i="6" s="1"/>
  <c r="Q7" i="6" s="1"/>
  <c r="R7" i="6" s="1"/>
  <c r="Q8" i="6" s="1"/>
  <c r="R8" i="6" s="1"/>
  <c r="Q9" i="6" s="1"/>
  <c r="R9" i="6" s="1"/>
  <c r="Q10" i="6" s="1"/>
  <c r="R10" i="6" s="1"/>
  <c r="Q11" i="6" s="1"/>
  <c r="R11" i="6" s="1"/>
  <c r="Q12" i="6" s="1"/>
  <c r="R12" i="6" s="1"/>
  <c r="Q13" i="6" s="1"/>
  <c r="R13" i="6" s="1"/>
  <c r="Q14" i="6" s="1"/>
  <c r="R14" i="6" s="1"/>
  <c r="Q15" i="6" s="1"/>
  <c r="R15" i="6" s="1"/>
  <c r="Q16" i="6" s="1"/>
  <c r="R16" i="6" s="1"/>
  <c r="Q17" i="6" s="1"/>
  <c r="R17" i="6" s="1"/>
  <c r="Q18" i="6" s="1"/>
  <c r="R18" i="6" s="1"/>
  <c r="Q19" i="6" s="1"/>
  <c r="R19" i="6" s="1"/>
  <c r="Q20" i="6" s="1"/>
  <c r="R20" i="6" s="1"/>
  <c r="Q21" i="6" s="1"/>
  <c r="R21" i="6" s="1"/>
  <c r="Q22" i="6" s="1"/>
  <c r="R22" i="6" s="1"/>
  <c r="Q23" i="6" s="1"/>
  <c r="R23" i="6" s="1"/>
  <c r="Q24" i="6" s="1"/>
  <c r="R24" i="6" s="1"/>
  <c r="Q25" i="6" s="1"/>
  <c r="R25" i="6" s="1"/>
  <c r="Q26" i="6" s="1"/>
  <c r="R26" i="6" s="1"/>
  <c r="Q27" i="6" s="1"/>
  <c r="R27" i="6" s="1"/>
  <c r="Q28" i="6" s="1"/>
  <c r="R28" i="6" s="1"/>
  <c r="Q29" i="6" s="1"/>
  <c r="R29" i="6" s="1"/>
  <c r="Q30" i="6" s="1"/>
  <c r="R30" i="6" s="1"/>
  <c r="Q31" i="6" s="1"/>
  <c r="R31" i="6" s="1"/>
  <c r="Q32" i="6" s="1"/>
  <c r="R32" i="6" s="1"/>
  <c r="Q33" i="6" s="1"/>
  <c r="R33" i="6" s="1"/>
  <c r="Q34" i="6" s="1"/>
  <c r="R34" i="6" s="1"/>
  <c r="Q35" i="6" s="1"/>
  <c r="R35" i="6" s="1"/>
  <c r="Q36" i="6" s="1"/>
  <c r="R36" i="6" s="1"/>
  <c r="Q37" i="6" s="1"/>
  <c r="R37" i="6" s="1"/>
  <c r="Q38" i="6" s="1"/>
  <c r="R38" i="6" s="1"/>
  <c r="Q39" i="6" s="1"/>
  <c r="R39" i="6" s="1"/>
  <c r="Q40" i="6" s="1"/>
  <c r="R40" i="6" s="1"/>
  <c r="Q41" i="6" s="1"/>
  <c r="R41" i="6" s="1"/>
  <c r="Q42" i="6" s="1"/>
  <c r="R42" i="6" s="1"/>
  <c r="Q43" i="6" s="1"/>
  <c r="R43" i="6" s="1"/>
  <c r="Q44" i="6" s="1"/>
  <c r="R44" i="6" s="1"/>
  <c r="Q45" i="6" s="1"/>
  <c r="R45" i="6" s="1"/>
  <c r="Q46" i="6" s="1"/>
  <c r="R46" i="6" s="1"/>
  <c r="Q47" i="6" s="1"/>
  <c r="R47" i="6" s="1"/>
  <c r="Q48" i="6" s="1"/>
  <c r="R48" i="6" s="1"/>
  <c r="Q49" i="6" s="1"/>
  <c r="R49" i="6" s="1"/>
  <c r="Q50" i="6" s="1"/>
  <c r="R50" i="6" s="1"/>
  <c r="Q51" i="6" s="1"/>
  <c r="R51" i="6" s="1"/>
  <c r="Q52" i="6" s="1"/>
  <c r="R52" i="6" s="1"/>
  <c r="Q53" i="6" s="1"/>
  <c r="R53" i="6" s="1"/>
  <c r="Q54" i="6" s="1"/>
  <c r="R54" i="6" s="1"/>
  <c r="Q55" i="6" s="1"/>
  <c r="R55" i="6" s="1"/>
  <c r="Q56" i="6" s="1"/>
  <c r="R56" i="6" s="1"/>
  <c r="Q57" i="6" s="1"/>
  <c r="R57" i="6" s="1"/>
  <c r="Q58" i="6" s="1"/>
  <c r="R58" i="6" s="1"/>
  <c r="Q59" i="6" s="1"/>
  <c r="R59" i="6" s="1"/>
  <c r="Q60" i="6" s="1"/>
  <c r="R60" i="6" s="1"/>
  <c r="Q61" i="6" s="1"/>
  <c r="R61" i="6" s="1"/>
  <c r="Q62" i="6" s="1"/>
  <c r="R62" i="6" s="1"/>
  <c r="Q63" i="6" s="1"/>
  <c r="R63" i="6" s="1"/>
  <c r="Q64" i="6" s="1"/>
  <c r="R64" i="6" s="1"/>
  <c r="Q65" i="6" s="1"/>
  <c r="R65" i="6" s="1"/>
  <c r="Q66" i="6" s="1"/>
  <c r="R66" i="6" s="1"/>
  <c r="Q67" i="6" s="1"/>
  <c r="R67" i="6" s="1"/>
  <c r="Q68" i="6" s="1"/>
  <c r="R68" i="6" s="1"/>
  <c r="Q69" i="6" s="1"/>
  <c r="R69" i="6" s="1"/>
  <c r="Q70" i="6" s="1"/>
  <c r="R70" i="6" s="1"/>
  <c r="Q71" i="6" s="1"/>
  <c r="R71" i="6" s="1"/>
  <c r="Q72" i="6" s="1"/>
  <c r="R72" i="6" s="1"/>
  <c r="Q73" i="6" s="1"/>
  <c r="R73" i="6" s="1"/>
  <c r="Q74" i="6" s="1"/>
  <c r="R74" i="6" s="1"/>
  <c r="Q75" i="6" s="1"/>
  <c r="R75" i="6" s="1"/>
  <c r="Q76" i="6" s="1"/>
  <c r="R76" i="6" s="1"/>
  <c r="Q77" i="6" s="1"/>
  <c r="R77" i="6" s="1"/>
  <c r="Q78" i="6" s="1"/>
  <c r="R78" i="6" s="1"/>
  <c r="Q79" i="6" s="1"/>
  <c r="R79" i="6" s="1"/>
  <c r="Q80" i="6" s="1"/>
  <c r="R80" i="6" s="1"/>
  <c r="Q81" i="6" s="1"/>
  <c r="R81" i="6" s="1"/>
  <c r="Q82" i="6" s="1"/>
  <c r="R82" i="6" s="1"/>
  <c r="Q83" i="6" s="1"/>
  <c r="R83" i="6" s="1"/>
  <c r="Q84" i="6" s="1"/>
  <c r="R84" i="6" s="1"/>
  <c r="Q85" i="6" s="1"/>
  <c r="R85" i="6" s="1"/>
  <c r="Q86" i="6" s="1"/>
  <c r="R86" i="6" s="1"/>
  <c r="Q87" i="6" s="1"/>
  <c r="R87" i="6" s="1"/>
  <c r="Q88" i="6" s="1"/>
  <c r="R88" i="6" s="1"/>
  <c r="Q89" i="6" s="1"/>
  <c r="R89" i="6" s="1"/>
  <c r="Q90" i="6" s="1"/>
  <c r="R90" i="6" s="1"/>
  <c r="Q91" i="6" s="1"/>
  <c r="R91" i="6" s="1"/>
  <c r="Q92" i="6" s="1"/>
  <c r="R92" i="6" s="1"/>
  <c r="Q93" i="6" s="1"/>
  <c r="R93" i="6" s="1"/>
  <c r="Q94" i="6" s="1"/>
  <c r="R94" i="6" s="1"/>
  <c r="Q95" i="6" s="1"/>
  <c r="R95" i="6" s="1"/>
  <c r="Q96" i="6" s="1"/>
  <c r="R96" i="6" s="1"/>
  <c r="Q97" i="6" s="1"/>
  <c r="R97" i="6" s="1"/>
  <c r="Q98" i="6" s="1"/>
  <c r="R98" i="6" s="1"/>
  <c r="Q99" i="6" s="1"/>
  <c r="R99" i="6" s="1"/>
  <c r="Q100" i="6" s="1"/>
  <c r="R100" i="6" s="1"/>
  <c r="Q101" i="6" s="1"/>
  <c r="R101" i="6" s="1"/>
  <c r="Q102" i="6" s="1"/>
  <c r="R102" i="6" s="1"/>
  <c r="Q103" i="6" s="1"/>
  <c r="R103" i="6" s="1"/>
  <c r="BK4" i="6"/>
  <c r="BJ5" i="6" s="1"/>
  <c r="BK5" i="6" s="1"/>
  <c r="BJ6" i="6" s="1"/>
  <c r="BK6" i="6" s="1"/>
  <c r="BJ7" i="6" s="1"/>
  <c r="BK7" i="6" s="1"/>
  <c r="BJ8" i="6" s="1"/>
  <c r="BK8" i="6" s="1"/>
  <c r="BJ9" i="6" s="1"/>
  <c r="BK9" i="6" s="1"/>
  <c r="BJ10" i="6" s="1"/>
  <c r="BK10" i="6" s="1"/>
  <c r="BJ11" i="6" s="1"/>
  <c r="BK11" i="6" s="1"/>
  <c r="BJ12" i="6" s="1"/>
  <c r="BK12" i="6" s="1"/>
  <c r="BJ13" i="6" s="1"/>
  <c r="BK13" i="6" s="1"/>
  <c r="BJ14" i="6" s="1"/>
  <c r="BK14" i="6" s="1"/>
  <c r="BJ15" i="6" s="1"/>
  <c r="BK15" i="6" s="1"/>
  <c r="BJ16" i="6" s="1"/>
  <c r="BK16" i="6" s="1"/>
  <c r="BJ17" i="6" s="1"/>
  <c r="BK17" i="6" s="1"/>
  <c r="BJ18" i="6" s="1"/>
  <c r="BK18" i="6" s="1"/>
  <c r="BJ19" i="6" s="1"/>
  <c r="BK19" i="6" s="1"/>
  <c r="BJ20" i="6" s="1"/>
  <c r="BK20" i="6" s="1"/>
  <c r="BJ21" i="6" s="1"/>
  <c r="BK21" i="6" s="1"/>
  <c r="BJ22" i="6" s="1"/>
  <c r="BK22" i="6" s="1"/>
  <c r="BJ23" i="6" s="1"/>
  <c r="BK23" i="6" s="1"/>
  <c r="BJ24" i="6" s="1"/>
  <c r="BK24" i="6" s="1"/>
  <c r="BJ25" i="6" s="1"/>
  <c r="BK25" i="6" s="1"/>
  <c r="BJ26" i="6" s="1"/>
  <c r="BK26" i="6" s="1"/>
  <c r="BJ27" i="6" s="1"/>
  <c r="BK27" i="6" s="1"/>
  <c r="BJ28" i="6" s="1"/>
  <c r="BK28" i="6" s="1"/>
  <c r="BJ29" i="6" s="1"/>
  <c r="BK29" i="6" s="1"/>
  <c r="BJ30" i="6" s="1"/>
  <c r="BK30" i="6" s="1"/>
  <c r="BJ31" i="6" s="1"/>
  <c r="BK31" i="6" s="1"/>
  <c r="BJ32" i="6" s="1"/>
  <c r="BK32" i="6" s="1"/>
  <c r="BJ33" i="6" s="1"/>
  <c r="BK33" i="6" s="1"/>
  <c r="BJ34" i="6" s="1"/>
  <c r="BK34" i="6" s="1"/>
  <c r="BJ35" i="6" s="1"/>
  <c r="BK35" i="6" s="1"/>
  <c r="BJ36" i="6" s="1"/>
  <c r="BK36" i="6" s="1"/>
  <c r="BJ37" i="6" s="1"/>
  <c r="BK37" i="6" s="1"/>
  <c r="BJ38" i="6" s="1"/>
  <c r="BK38" i="6" s="1"/>
  <c r="BJ39" i="6" s="1"/>
  <c r="BK39" i="6" s="1"/>
  <c r="BJ40" i="6" s="1"/>
  <c r="BK40" i="6" s="1"/>
  <c r="BJ41" i="6" s="1"/>
  <c r="BK41" i="6" s="1"/>
  <c r="BJ42" i="6" s="1"/>
  <c r="BK42" i="6" s="1"/>
  <c r="BJ43" i="6" s="1"/>
  <c r="BK43" i="6" s="1"/>
  <c r="BJ44" i="6" s="1"/>
  <c r="BK44" i="6" s="1"/>
  <c r="BJ45" i="6" s="1"/>
  <c r="BK45" i="6" s="1"/>
  <c r="BJ46" i="6" s="1"/>
  <c r="BK46" i="6" s="1"/>
  <c r="BJ47" i="6" s="1"/>
  <c r="BK47" i="6" s="1"/>
  <c r="BJ48" i="6" s="1"/>
  <c r="BK48" i="6" s="1"/>
  <c r="BJ49" i="6" s="1"/>
  <c r="BK49" i="6" s="1"/>
  <c r="BJ50" i="6" s="1"/>
  <c r="BK50" i="6" s="1"/>
  <c r="BJ51" i="6" s="1"/>
  <c r="BK51" i="6" s="1"/>
  <c r="BJ52" i="6" s="1"/>
  <c r="BK52" i="6" s="1"/>
  <c r="BJ53" i="6" s="1"/>
  <c r="BK53" i="6" s="1"/>
  <c r="BJ54" i="6" s="1"/>
  <c r="BK54" i="6" s="1"/>
  <c r="BJ55" i="6" s="1"/>
  <c r="BK55" i="6" s="1"/>
  <c r="BJ56" i="6" s="1"/>
  <c r="BK56" i="6" s="1"/>
  <c r="BJ57" i="6" s="1"/>
  <c r="BK57" i="6" s="1"/>
  <c r="BJ58" i="6" s="1"/>
  <c r="BK58" i="6" s="1"/>
  <c r="BJ59" i="6" s="1"/>
  <c r="BK59" i="6" s="1"/>
  <c r="BJ60" i="6" s="1"/>
  <c r="BK60" i="6" s="1"/>
  <c r="BJ61" i="6" s="1"/>
  <c r="BK61" i="6" s="1"/>
  <c r="BJ62" i="6" s="1"/>
  <c r="BK62" i="6" s="1"/>
  <c r="BJ63" i="6" s="1"/>
  <c r="BK63" i="6" s="1"/>
  <c r="BJ64" i="6" s="1"/>
  <c r="BK64" i="6" s="1"/>
  <c r="BJ65" i="6" s="1"/>
  <c r="BK65" i="6" s="1"/>
  <c r="BJ66" i="6" s="1"/>
  <c r="BK66" i="6" s="1"/>
  <c r="BJ67" i="6" s="1"/>
  <c r="BK67" i="6" s="1"/>
  <c r="BJ68" i="6" s="1"/>
  <c r="BK68" i="6" s="1"/>
  <c r="BJ69" i="6" s="1"/>
  <c r="BK69" i="6" s="1"/>
  <c r="BJ70" i="6" s="1"/>
  <c r="BK70" i="6" s="1"/>
  <c r="BJ71" i="6" s="1"/>
  <c r="BK71" i="6" s="1"/>
  <c r="BJ72" i="6" s="1"/>
  <c r="BK72" i="6" s="1"/>
  <c r="BJ73" i="6" s="1"/>
  <c r="BK73" i="6" s="1"/>
  <c r="BJ74" i="6" s="1"/>
  <c r="BK74" i="6" s="1"/>
  <c r="BJ75" i="6" s="1"/>
  <c r="BK75" i="6" s="1"/>
  <c r="BJ76" i="6" s="1"/>
  <c r="BK76" i="6" s="1"/>
  <c r="BJ77" i="6" s="1"/>
  <c r="BK77" i="6" s="1"/>
  <c r="BJ78" i="6" s="1"/>
  <c r="BK78" i="6" s="1"/>
  <c r="BJ79" i="6" s="1"/>
  <c r="BK79" i="6" s="1"/>
  <c r="BJ80" i="6" s="1"/>
  <c r="BK80" i="6" s="1"/>
  <c r="BJ81" i="6" s="1"/>
  <c r="BK81" i="6" s="1"/>
  <c r="BJ82" i="6" s="1"/>
  <c r="BK82" i="6" s="1"/>
  <c r="BJ83" i="6" s="1"/>
  <c r="BK83" i="6" s="1"/>
  <c r="BJ84" i="6" s="1"/>
  <c r="BK84" i="6" s="1"/>
  <c r="BJ85" i="6" s="1"/>
  <c r="BK85" i="6" s="1"/>
  <c r="BJ86" i="6" s="1"/>
  <c r="BK86" i="6" s="1"/>
  <c r="BJ87" i="6" s="1"/>
  <c r="BK87" i="6" s="1"/>
  <c r="BJ88" i="6" s="1"/>
  <c r="BK88" i="6" s="1"/>
  <c r="BJ89" i="6" s="1"/>
  <c r="BK89" i="6" s="1"/>
  <c r="BJ90" i="6" s="1"/>
  <c r="BK90" i="6" s="1"/>
  <c r="BJ91" i="6" s="1"/>
  <c r="BK91" i="6" s="1"/>
  <c r="BJ92" i="6" s="1"/>
  <c r="BK92" i="6" s="1"/>
  <c r="BJ93" i="6" s="1"/>
  <c r="BK93" i="6" s="1"/>
  <c r="BJ94" i="6" s="1"/>
  <c r="BK94" i="6" s="1"/>
  <c r="BJ95" i="6" s="1"/>
  <c r="BK95" i="6" s="1"/>
  <c r="BJ96" i="6" s="1"/>
  <c r="BK96" i="6" s="1"/>
  <c r="BJ97" i="6" s="1"/>
  <c r="BK97" i="6" s="1"/>
  <c r="BJ98" i="6" s="1"/>
  <c r="BK98" i="6" s="1"/>
  <c r="BJ99" i="6" s="1"/>
  <c r="BK99" i="6" s="1"/>
  <c r="BJ100" i="6" s="1"/>
  <c r="BK100" i="6" s="1"/>
  <c r="BJ101" i="6" s="1"/>
  <c r="BK101" i="6" s="1"/>
  <c r="BJ102" i="6" s="1"/>
  <c r="BK102" i="6" s="1"/>
  <c r="BJ103" i="6" s="1"/>
  <c r="BK103" i="6" s="1"/>
  <c r="AV4" i="6"/>
  <c r="AU5" i="6" s="1"/>
  <c r="AV5" i="6" s="1"/>
  <c r="AU6" i="6" s="1"/>
  <c r="AV6" i="6" s="1"/>
  <c r="AU7" i="6" s="1"/>
  <c r="AV7" i="6" s="1"/>
  <c r="AU8" i="6" s="1"/>
  <c r="AV8" i="6" s="1"/>
  <c r="AU9" i="6" s="1"/>
  <c r="AV9" i="6" s="1"/>
  <c r="AU10" i="6" s="1"/>
  <c r="AV10" i="6" s="1"/>
  <c r="AU11" i="6" s="1"/>
  <c r="AV11" i="6" s="1"/>
  <c r="AU12" i="6" s="1"/>
  <c r="AV12" i="6" s="1"/>
  <c r="AU13" i="6" s="1"/>
  <c r="AV13" i="6" s="1"/>
  <c r="AU14" i="6" s="1"/>
  <c r="AV14" i="6" s="1"/>
  <c r="AU15" i="6" s="1"/>
  <c r="AV15" i="6" s="1"/>
  <c r="AU16" i="6" s="1"/>
  <c r="AV16" i="6" s="1"/>
  <c r="AU17" i="6" s="1"/>
  <c r="AV17" i="6" s="1"/>
  <c r="AU18" i="6" s="1"/>
  <c r="AV18" i="6" s="1"/>
  <c r="AU19" i="6" s="1"/>
  <c r="AV19" i="6" s="1"/>
  <c r="AU20" i="6" s="1"/>
  <c r="AV20" i="6" s="1"/>
  <c r="AU21" i="6" s="1"/>
  <c r="AV21" i="6" s="1"/>
  <c r="AU22" i="6" s="1"/>
  <c r="AV22" i="6" s="1"/>
  <c r="AU23" i="6" s="1"/>
  <c r="AV23" i="6" s="1"/>
  <c r="AU24" i="6" s="1"/>
  <c r="AV24" i="6" s="1"/>
  <c r="AU25" i="6" s="1"/>
  <c r="AV25" i="6" s="1"/>
  <c r="AU26" i="6" s="1"/>
  <c r="AV26" i="6" s="1"/>
  <c r="AU27" i="6" s="1"/>
  <c r="AV27" i="6" s="1"/>
  <c r="AU28" i="6" s="1"/>
  <c r="AV28" i="6" s="1"/>
  <c r="AU29" i="6" s="1"/>
  <c r="AV29" i="6" s="1"/>
  <c r="AU30" i="6" s="1"/>
  <c r="AV30" i="6" s="1"/>
  <c r="AU31" i="6" s="1"/>
  <c r="AV31" i="6" s="1"/>
  <c r="AU32" i="6" s="1"/>
  <c r="AV32" i="6" s="1"/>
  <c r="AU33" i="6" s="1"/>
  <c r="AV33" i="6" s="1"/>
  <c r="AU34" i="6" s="1"/>
  <c r="AV34" i="6" s="1"/>
  <c r="AU35" i="6" s="1"/>
  <c r="AV35" i="6" s="1"/>
  <c r="AU36" i="6" s="1"/>
  <c r="AV36" i="6" s="1"/>
  <c r="AU37" i="6" s="1"/>
  <c r="AV37" i="6" s="1"/>
  <c r="AU38" i="6" s="1"/>
  <c r="AV38" i="6" s="1"/>
  <c r="AU39" i="6" s="1"/>
  <c r="AV39" i="6" s="1"/>
  <c r="AU40" i="6" s="1"/>
  <c r="AV40" i="6" s="1"/>
  <c r="AU41" i="6" s="1"/>
  <c r="AV41" i="6" s="1"/>
  <c r="AU42" i="6" s="1"/>
  <c r="AV42" i="6" s="1"/>
  <c r="AU43" i="6" s="1"/>
  <c r="AV43" i="6" s="1"/>
  <c r="AU44" i="6" s="1"/>
  <c r="AV44" i="6" s="1"/>
  <c r="AU45" i="6" s="1"/>
  <c r="AV45" i="6" s="1"/>
  <c r="AU46" i="6" s="1"/>
  <c r="AV46" i="6" s="1"/>
  <c r="AU47" i="6" s="1"/>
  <c r="AV47" i="6" s="1"/>
  <c r="AU48" i="6" s="1"/>
  <c r="AV48" i="6" s="1"/>
  <c r="AU49" i="6" s="1"/>
  <c r="AV49" i="6" s="1"/>
  <c r="AU50" i="6" s="1"/>
  <c r="AV50" i="6" s="1"/>
  <c r="AU51" i="6" s="1"/>
  <c r="AV51" i="6" s="1"/>
  <c r="AU52" i="6" s="1"/>
  <c r="AV52" i="6" s="1"/>
  <c r="AU53" i="6" s="1"/>
  <c r="AV53" i="6" s="1"/>
  <c r="AU54" i="6" s="1"/>
  <c r="AV54" i="6" s="1"/>
  <c r="AU55" i="6" s="1"/>
  <c r="AV55" i="6" s="1"/>
  <c r="AU56" i="6" s="1"/>
  <c r="AV56" i="6" s="1"/>
  <c r="AU57" i="6" s="1"/>
  <c r="AV57" i="6" s="1"/>
  <c r="AU58" i="6" s="1"/>
  <c r="AV58" i="6" s="1"/>
  <c r="AU59" i="6" s="1"/>
  <c r="AV59" i="6" s="1"/>
  <c r="AU60" i="6" s="1"/>
  <c r="AV60" i="6" s="1"/>
  <c r="AU61" i="6" s="1"/>
  <c r="AV61" i="6" s="1"/>
  <c r="AU62" i="6" s="1"/>
  <c r="AV62" i="6" s="1"/>
  <c r="AU63" i="6" s="1"/>
  <c r="AV63" i="6" s="1"/>
  <c r="AU64" i="6" s="1"/>
  <c r="AV64" i="6" s="1"/>
  <c r="AU65" i="6" s="1"/>
  <c r="AV65" i="6" s="1"/>
  <c r="AU66" i="6" s="1"/>
  <c r="AV66" i="6" s="1"/>
  <c r="AU67" i="6" s="1"/>
  <c r="AV67" i="6" s="1"/>
  <c r="AU68" i="6" s="1"/>
  <c r="AV68" i="6" s="1"/>
  <c r="AU69" i="6" s="1"/>
  <c r="AV69" i="6" s="1"/>
  <c r="AU70" i="6" s="1"/>
  <c r="AV70" i="6" s="1"/>
  <c r="AU71" i="6" s="1"/>
  <c r="AV71" i="6" s="1"/>
  <c r="AU72" i="6" s="1"/>
  <c r="AV72" i="6" s="1"/>
  <c r="AU73" i="6" s="1"/>
  <c r="AV73" i="6" s="1"/>
  <c r="AU74" i="6" s="1"/>
  <c r="AV74" i="6" s="1"/>
  <c r="AU75" i="6" s="1"/>
  <c r="AV75" i="6" s="1"/>
  <c r="AU76" i="6" s="1"/>
  <c r="AV76" i="6" s="1"/>
  <c r="AU77" i="6" s="1"/>
  <c r="AV77" i="6" s="1"/>
  <c r="AU78" i="6" s="1"/>
  <c r="AV78" i="6" s="1"/>
  <c r="AU79" i="6" s="1"/>
  <c r="AV79" i="6" s="1"/>
  <c r="AU80" i="6" s="1"/>
  <c r="AV80" i="6" s="1"/>
  <c r="AU81" i="6" s="1"/>
  <c r="AV81" i="6" s="1"/>
  <c r="AU82" i="6" s="1"/>
  <c r="AV82" i="6" s="1"/>
  <c r="AU83" i="6" s="1"/>
  <c r="AV83" i="6" s="1"/>
  <c r="AU84" i="6" s="1"/>
  <c r="AV84" i="6" s="1"/>
  <c r="AU85" i="6" s="1"/>
  <c r="AV85" i="6" s="1"/>
  <c r="AU86" i="6" s="1"/>
  <c r="AV86" i="6" s="1"/>
  <c r="AU87" i="6" s="1"/>
  <c r="AV87" i="6" s="1"/>
  <c r="AU88" i="6" s="1"/>
  <c r="AV88" i="6" s="1"/>
  <c r="AU89" i="6" s="1"/>
  <c r="AV89" i="6" s="1"/>
  <c r="AU90" i="6" s="1"/>
  <c r="AV90" i="6" s="1"/>
  <c r="AU91" i="6" s="1"/>
  <c r="AV91" i="6" s="1"/>
  <c r="AU92" i="6" s="1"/>
  <c r="AV92" i="6" s="1"/>
  <c r="AU93" i="6" s="1"/>
  <c r="AV93" i="6" s="1"/>
  <c r="AU94" i="6" s="1"/>
  <c r="AV94" i="6" s="1"/>
  <c r="AU95" i="6" s="1"/>
  <c r="AV95" i="6" s="1"/>
  <c r="AU96" i="6" s="1"/>
  <c r="AV96" i="6" s="1"/>
  <c r="AU97" i="6" s="1"/>
  <c r="AV97" i="6" s="1"/>
  <c r="AU98" i="6" s="1"/>
  <c r="AV98" i="6" s="1"/>
  <c r="AU99" i="6" s="1"/>
  <c r="AV99" i="6" s="1"/>
  <c r="AU100" i="6" s="1"/>
  <c r="AV100" i="6" s="1"/>
  <c r="AU101" i="6" s="1"/>
  <c r="AV101" i="6" s="1"/>
  <c r="AU102" i="6" s="1"/>
  <c r="AV102" i="6" s="1"/>
  <c r="AU103" i="6" s="1"/>
  <c r="AV103" i="6" s="1"/>
  <c r="AA4" i="6"/>
  <c r="Z5" i="6" s="1"/>
  <c r="AA5" i="6" s="1"/>
  <c r="Z6" i="6" s="1"/>
  <c r="AA6" i="6" s="1"/>
  <c r="Z7" i="6" s="1"/>
  <c r="AA7" i="6" s="1"/>
  <c r="Z8" i="6" s="1"/>
  <c r="AA8" i="6" s="1"/>
  <c r="Z9" i="6" s="1"/>
  <c r="AA9" i="6" s="1"/>
  <c r="Z10" i="6" s="1"/>
  <c r="AA10" i="6" s="1"/>
  <c r="Z11" i="6" s="1"/>
  <c r="AA11" i="6" s="1"/>
  <c r="Z12" i="6" s="1"/>
  <c r="AA12" i="6" s="1"/>
  <c r="Z13" i="6" s="1"/>
  <c r="AA13" i="6" s="1"/>
  <c r="Z14" i="6" s="1"/>
  <c r="AA14" i="6" s="1"/>
  <c r="Z15" i="6" s="1"/>
  <c r="AA15" i="6" s="1"/>
  <c r="Z16" i="6" s="1"/>
  <c r="AA16" i="6" s="1"/>
  <c r="Z17" i="6" s="1"/>
  <c r="AA17" i="6" s="1"/>
  <c r="Z18" i="6" s="1"/>
  <c r="AA18" i="6" s="1"/>
  <c r="Z19" i="6" s="1"/>
  <c r="AA19" i="6" s="1"/>
  <c r="Z20" i="6" s="1"/>
  <c r="AA20" i="6" s="1"/>
  <c r="Z21" i="6" s="1"/>
  <c r="AA21" i="6" s="1"/>
  <c r="Z22" i="6" s="1"/>
  <c r="AA22" i="6" s="1"/>
  <c r="Z23" i="6" s="1"/>
  <c r="AA23" i="6" s="1"/>
  <c r="Z24" i="6" s="1"/>
  <c r="AA24" i="6" s="1"/>
  <c r="Z25" i="6" s="1"/>
  <c r="AA25" i="6" s="1"/>
  <c r="Z26" i="6" s="1"/>
  <c r="AA26" i="6" s="1"/>
  <c r="Z27" i="6" s="1"/>
  <c r="AA27" i="6" s="1"/>
  <c r="Z28" i="6" s="1"/>
  <c r="AA28" i="6" s="1"/>
  <c r="Z29" i="6" s="1"/>
  <c r="AA29" i="6" s="1"/>
  <c r="Z30" i="6" s="1"/>
  <c r="AA30" i="6" s="1"/>
  <c r="Z31" i="6" s="1"/>
  <c r="AA31" i="6" s="1"/>
  <c r="Z32" i="6" s="1"/>
  <c r="AA32" i="6" s="1"/>
  <c r="Z33" i="6" s="1"/>
  <c r="AA33" i="6" s="1"/>
  <c r="Z34" i="6" s="1"/>
  <c r="AA34" i="6" s="1"/>
  <c r="Z35" i="6" s="1"/>
  <c r="AA35" i="6" s="1"/>
  <c r="Z36" i="6" s="1"/>
  <c r="AA36" i="6" s="1"/>
  <c r="Z37" i="6" s="1"/>
  <c r="AA37" i="6" s="1"/>
  <c r="Z38" i="6" s="1"/>
  <c r="AA38" i="6" s="1"/>
  <c r="Z39" i="6" s="1"/>
  <c r="AA39" i="6" s="1"/>
  <c r="Z40" i="6" s="1"/>
  <c r="AA40" i="6" s="1"/>
  <c r="Z41" i="6" s="1"/>
  <c r="AA41" i="6" s="1"/>
  <c r="Z42" i="6" s="1"/>
  <c r="AA42" i="6" s="1"/>
  <c r="Z43" i="6" s="1"/>
  <c r="AA43" i="6" s="1"/>
  <c r="Z44" i="6" s="1"/>
  <c r="AA44" i="6" s="1"/>
  <c r="Z45" i="6" s="1"/>
  <c r="AA45" i="6" s="1"/>
  <c r="Z46" i="6" s="1"/>
  <c r="AA46" i="6" s="1"/>
  <c r="Z47" i="6" s="1"/>
  <c r="AA47" i="6" s="1"/>
  <c r="Z48" i="6" s="1"/>
  <c r="AA48" i="6" s="1"/>
  <c r="Z49" i="6" s="1"/>
  <c r="AA49" i="6" s="1"/>
  <c r="Z50" i="6" s="1"/>
  <c r="AA50" i="6" s="1"/>
  <c r="Z51" i="6" s="1"/>
  <c r="AA51" i="6" s="1"/>
  <c r="Z52" i="6" s="1"/>
  <c r="AA52" i="6" s="1"/>
  <c r="Z53" i="6" s="1"/>
  <c r="AA53" i="6" s="1"/>
  <c r="Z54" i="6" s="1"/>
  <c r="AA54" i="6" s="1"/>
  <c r="Z55" i="6" s="1"/>
  <c r="AA55" i="6" s="1"/>
  <c r="Z56" i="6" s="1"/>
  <c r="AA56" i="6" s="1"/>
  <c r="Z57" i="6" s="1"/>
  <c r="AA57" i="6" s="1"/>
  <c r="Z58" i="6" s="1"/>
  <c r="AA58" i="6" s="1"/>
  <c r="Z59" i="6" s="1"/>
  <c r="AA59" i="6" s="1"/>
  <c r="Z60" i="6" s="1"/>
  <c r="AA60" i="6" s="1"/>
  <c r="Z61" i="6" s="1"/>
  <c r="AA61" i="6" s="1"/>
  <c r="Z62" i="6" s="1"/>
  <c r="AA62" i="6" s="1"/>
  <c r="Z63" i="6" s="1"/>
  <c r="AA63" i="6" s="1"/>
  <c r="Z64" i="6" s="1"/>
  <c r="AA64" i="6" s="1"/>
  <c r="Z65" i="6" s="1"/>
  <c r="AA65" i="6" s="1"/>
  <c r="Z66" i="6" s="1"/>
  <c r="AA66" i="6" s="1"/>
  <c r="Z67" i="6" s="1"/>
  <c r="AA67" i="6" s="1"/>
  <c r="Z68" i="6" s="1"/>
  <c r="AA68" i="6" s="1"/>
  <c r="Z69" i="6" s="1"/>
  <c r="AA69" i="6" s="1"/>
  <c r="Z70" i="6" s="1"/>
  <c r="AA70" i="6" s="1"/>
  <c r="Z71" i="6" s="1"/>
  <c r="AA71" i="6" s="1"/>
  <c r="Z72" i="6" s="1"/>
  <c r="AA72" i="6" s="1"/>
  <c r="Z73" i="6" s="1"/>
  <c r="AA73" i="6" s="1"/>
  <c r="Z74" i="6" s="1"/>
  <c r="AA74" i="6" s="1"/>
  <c r="Z75" i="6" s="1"/>
  <c r="AA75" i="6" s="1"/>
  <c r="Z76" i="6" s="1"/>
  <c r="AA76" i="6" s="1"/>
  <c r="Z77" i="6" s="1"/>
  <c r="AA77" i="6" s="1"/>
  <c r="Z78" i="6" s="1"/>
  <c r="AA78" i="6" s="1"/>
  <c r="Z79" i="6" s="1"/>
  <c r="AA79" i="6" s="1"/>
  <c r="Z80" i="6" s="1"/>
  <c r="AA80" i="6" s="1"/>
  <c r="Z81" i="6" s="1"/>
  <c r="AA81" i="6" s="1"/>
  <c r="Z82" i="6" s="1"/>
  <c r="AA82" i="6" s="1"/>
  <c r="Z83" i="6" s="1"/>
  <c r="AA83" i="6" s="1"/>
  <c r="Z84" i="6" s="1"/>
  <c r="AA84" i="6" s="1"/>
  <c r="Z85" i="6" s="1"/>
  <c r="AA85" i="6" s="1"/>
  <c r="Z86" i="6" s="1"/>
  <c r="AA86" i="6" s="1"/>
  <c r="Z87" i="6" s="1"/>
  <c r="AA87" i="6" s="1"/>
  <c r="Z88" i="6" s="1"/>
  <c r="AA88" i="6" s="1"/>
  <c r="Z89" i="6" s="1"/>
  <c r="AA89" i="6" s="1"/>
  <c r="Z90" i="6" s="1"/>
  <c r="AA90" i="6" s="1"/>
  <c r="Z91" i="6" s="1"/>
  <c r="AA91" i="6" s="1"/>
  <c r="Z92" i="6" s="1"/>
  <c r="AA92" i="6" s="1"/>
  <c r="Z93" i="6" s="1"/>
  <c r="AA93" i="6" s="1"/>
  <c r="Z94" i="6" s="1"/>
  <c r="AA94" i="6" s="1"/>
  <c r="Z95" i="6" s="1"/>
  <c r="AA95" i="6" s="1"/>
  <c r="Z96" i="6" s="1"/>
  <c r="AA96" i="6" s="1"/>
  <c r="Z97" i="6" s="1"/>
  <c r="AA97" i="6" s="1"/>
  <c r="Z98" i="6" s="1"/>
  <c r="AA98" i="6" s="1"/>
  <c r="Z99" i="6" s="1"/>
  <c r="AA99" i="6" s="1"/>
  <c r="Z100" i="6" s="1"/>
  <c r="AA100" i="6" s="1"/>
  <c r="Z101" i="6" s="1"/>
  <c r="AA101" i="6" s="1"/>
  <c r="Z102" i="6" s="1"/>
  <c r="AA102" i="6" s="1"/>
  <c r="Z103" i="6" s="1"/>
  <c r="AA103" i="6" s="1"/>
  <c r="CL4" i="6"/>
  <c r="CK5" i="6" s="1"/>
  <c r="CL5" i="6" s="1"/>
  <c r="CK6" i="6" s="1"/>
  <c r="CL6" i="6" s="1"/>
  <c r="CK7" i="6" s="1"/>
  <c r="CL7" i="6" s="1"/>
  <c r="CK8" i="6" s="1"/>
  <c r="CL8" i="6" s="1"/>
  <c r="CK9" i="6" s="1"/>
  <c r="CL9" i="6" s="1"/>
  <c r="CK10" i="6" s="1"/>
  <c r="CL10" i="6" s="1"/>
  <c r="CK11" i="6" s="1"/>
  <c r="CL11" i="6" s="1"/>
  <c r="CK12" i="6" s="1"/>
  <c r="CL12" i="6" s="1"/>
  <c r="CK13" i="6" s="1"/>
  <c r="CL13" i="6" s="1"/>
  <c r="CK14" i="6" s="1"/>
  <c r="CL14" i="6" s="1"/>
  <c r="CK15" i="6" s="1"/>
  <c r="CL15" i="6" s="1"/>
  <c r="CK16" i="6" s="1"/>
  <c r="CL16" i="6" s="1"/>
  <c r="CK17" i="6" s="1"/>
  <c r="CL17" i="6" s="1"/>
  <c r="CK18" i="6" s="1"/>
  <c r="CL18" i="6" s="1"/>
  <c r="CK19" i="6" s="1"/>
  <c r="CL19" i="6" s="1"/>
  <c r="CK20" i="6" s="1"/>
  <c r="CL20" i="6" s="1"/>
  <c r="CK21" i="6" s="1"/>
  <c r="CL21" i="6" s="1"/>
  <c r="CK22" i="6" s="1"/>
  <c r="CL22" i="6" s="1"/>
  <c r="CK23" i="6" s="1"/>
  <c r="CL23" i="6" s="1"/>
  <c r="CK24" i="6" s="1"/>
  <c r="CL24" i="6" s="1"/>
  <c r="CK25" i="6" s="1"/>
  <c r="CL25" i="6" s="1"/>
  <c r="CK26" i="6" s="1"/>
  <c r="CL26" i="6" s="1"/>
  <c r="CK27" i="6" s="1"/>
  <c r="CL27" i="6" s="1"/>
  <c r="CK28" i="6" s="1"/>
  <c r="CL28" i="6" s="1"/>
  <c r="CK29" i="6" s="1"/>
  <c r="CL29" i="6" s="1"/>
  <c r="CK30" i="6" s="1"/>
  <c r="CL30" i="6" s="1"/>
  <c r="CK31" i="6" s="1"/>
  <c r="CL31" i="6" s="1"/>
  <c r="CK32" i="6" s="1"/>
  <c r="CL32" i="6" s="1"/>
  <c r="CK33" i="6" s="1"/>
  <c r="CL33" i="6" s="1"/>
  <c r="CK34" i="6" s="1"/>
  <c r="CL34" i="6" s="1"/>
  <c r="CK35" i="6" s="1"/>
  <c r="CL35" i="6" s="1"/>
  <c r="CK36" i="6" s="1"/>
  <c r="CL36" i="6" s="1"/>
  <c r="CK37" i="6" s="1"/>
  <c r="CL37" i="6" s="1"/>
  <c r="CK38" i="6" s="1"/>
  <c r="CL38" i="6" s="1"/>
  <c r="CK39" i="6" s="1"/>
  <c r="CL39" i="6" s="1"/>
  <c r="CK40" i="6" s="1"/>
  <c r="CL40" i="6" s="1"/>
  <c r="CK41" i="6" s="1"/>
  <c r="CL41" i="6" s="1"/>
  <c r="CK42" i="6" s="1"/>
  <c r="CL42" i="6" s="1"/>
  <c r="CK43" i="6" s="1"/>
  <c r="CL43" i="6" s="1"/>
  <c r="CK44" i="6" s="1"/>
  <c r="CL44" i="6" s="1"/>
  <c r="CK45" i="6" s="1"/>
  <c r="CL45" i="6" s="1"/>
  <c r="CK46" i="6" s="1"/>
  <c r="CL46" i="6" s="1"/>
  <c r="CK47" i="6" s="1"/>
  <c r="CL47" i="6" s="1"/>
  <c r="CK48" i="6" s="1"/>
  <c r="CL48" i="6" s="1"/>
  <c r="CK49" i="6" s="1"/>
  <c r="CL49" i="6" s="1"/>
  <c r="CK50" i="6" s="1"/>
  <c r="CL50" i="6" s="1"/>
  <c r="CK51" i="6" s="1"/>
  <c r="CL51" i="6" s="1"/>
  <c r="CK52" i="6" s="1"/>
  <c r="CL52" i="6" s="1"/>
  <c r="CK53" i="6" s="1"/>
  <c r="CL53" i="6" s="1"/>
  <c r="CK54" i="6" s="1"/>
  <c r="CL54" i="6" s="1"/>
  <c r="CK55" i="6" s="1"/>
  <c r="CL55" i="6" s="1"/>
  <c r="CK56" i="6" s="1"/>
  <c r="CL56" i="6" s="1"/>
  <c r="CK57" i="6" s="1"/>
  <c r="CL57" i="6" s="1"/>
  <c r="CK58" i="6" s="1"/>
  <c r="CL58" i="6" s="1"/>
  <c r="CK59" i="6" s="1"/>
  <c r="CL59" i="6" s="1"/>
  <c r="CK60" i="6" s="1"/>
  <c r="CL60" i="6" s="1"/>
  <c r="CK61" i="6" s="1"/>
  <c r="CL61" i="6" s="1"/>
  <c r="CK62" i="6" s="1"/>
  <c r="CL62" i="6" s="1"/>
  <c r="CK63" i="6" s="1"/>
  <c r="CL63" i="6" s="1"/>
  <c r="CK64" i="6" s="1"/>
  <c r="CL64" i="6" s="1"/>
  <c r="CK65" i="6" s="1"/>
  <c r="CL65" i="6" s="1"/>
  <c r="CK66" i="6" s="1"/>
  <c r="CL66" i="6" s="1"/>
  <c r="CK67" i="6" s="1"/>
  <c r="CL67" i="6" s="1"/>
  <c r="CK68" i="6" s="1"/>
  <c r="CL68" i="6" s="1"/>
  <c r="CK69" i="6" s="1"/>
  <c r="CL69" i="6" s="1"/>
  <c r="CK70" i="6" s="1"/>
  <c r="CL70" i="6" s="1"/>
  <c r="CK71" i="6" s="1"/>
  <c r="CL71" i="6" s="1"/>
  <c r="CK72" i="6" s="1"/>
  <c r="CL72" i="6" s="1"/>
  <c r="CK73" i="6" s="1"/>
  <c r="CL73" i="6" s="1"/>
  <c r="CK74" i="6" s="1"/>
  <c r="CL74" i="6" s="1"/>
  <c r="CK75" i="6" s="1"/>
  <c r="CL75" i="6" s="1"/>
  <c r="CK76" i="6" s="1"/>
  <c r="CL76" i="6" s="1"/>
  <c r="CK77" i="6" s="1"/>
  <c r="CL77" i="6" s="1"/>
  <c r="CK78" i="6" s="1"/>
  <c r="CL78" i="6" s="1"/>
  <c r="CK79" i="6" s="1"/>
  <c r="CL79" i="6" s="1"/>
  <c r="CK80" i="6" s="1"/>
  <c r="CL80" i="6" s="1"/>
  <c r="CK81" i="6" s="1"/>
  <c r="CL81" i="6" s="1"/>
  <c r="CK82" i="6" s="1"/>
  <c r="CL82" i="6" s="1"/>
  <c r="CK83" i="6" s="1"/>
  <c r="CL83" i="6" s="1"/>
  <c r="CK84" i="6" s="1"/>
  <c r="CL84" i="6" s="1"/>
  <c r="CK85" i="6" s="1"/>
  <c r="CL85" i="6" s="1"/>
  <c r="CK86" i="6" s="1"/>
  <c r="CL86" i="6" s="1"/>
  <c r="CK87" i="6" s="1"/>
  <c r="CL87" i="6" s="1"/>
  <c r="CK88" i="6" s="1"/>
  <c r="CL88" i="6" s="1"/>
  <c r="CK89" i="6" s="1"/>
  <c r="CL89" i="6" s="1"/>
  <c r="CK90" i="6" s="1"/>
  <c r="CL90" i="6" s="1"/>
  <c r="CK91" i="6" s="1"/>
  <c r="CL91" i="6" s="1"/>
  <c r="CK92" i="6" s="1"/>
  <c r="CL92" i="6" s="1"/>
  <c r="CK93" i="6" s="1"/>
  <c r="CL93" i="6" s="1"/>
  <c r="CK94" i="6" s="1"/>
  <c r="CL94" i="6" s="1"/>
  <c r="CK95" i="6" s="1"/>
  <c r="CL95" i="6" s="1"/>
  <c r="CK96" i="6" s="1"/>
  <c r="CL96" i="6" s="1"/>
  <c r="CK97" i="6" s="1"/>
  <c r="CL97" i="6" s="1"/>
  <c r="CK98" i="6" s="1"/>
  <c r="CL98" i="6" s="1"/>
  <c r="CK99" i="6" s="1"/>
  <c r="CL99" i="6" s="1"/>
  <c r="CK100" i="6" s="1"/>
  <c r="CL100" i="6" s="1"/>
  <c r="CK101" i="6" s="1"/>
  <c r="CL101" i="6" s="1"/>
  <c r="CK102" i="6" s="1"/>
  <c r="CL102" i="6" s="1"/>
  <c r="CK103" i="6" s="1"/>
  <c r="CL103" i="6" s="1"/>
  <c r="BQ4" i="6"/>
  <c r="BP5" i="6" s="1"/>
  <c r="BQ5" i="6" s="1"/>
  <c r="BP6" i="6" s="1"/>
  <c r="BQ6" i="6" s="1"/>
  <c r="BP7" i="6" s="1"/>
  <c r="BQ7" i="6" s="1"/>
  <c r="BP8" i="6" s="1"/>
  <c r="BQ8" i="6" s="1"/>
  <c r="BP9" i="6" s="1"/>
  <c r="BQ9" i="6" s="1"/>
  <c r="BP10" i="6" s="1"/>
  <c r="BQ10" i="6" s="1"/>
  <c r="BP11" i="6" s="1"/>
  <c r="BQ11" i="6" s="1"/>
  <c r="BP12" i="6" s="1"/>
  <c r="BQ12" i="6" s="1"/>
  <c r="BP13" i="6" s="1"/>
  <c r="BQ13" i="6" s="1"/>
  <c r="BP14" i="6" s="1"/>
  <c r="BQ14" i="6" s="1"/>
  <c r="BP15" i="6" s="1"/>
  <c r="BQ15" i="6" s="1"/>
  <c r="BP16" i="6" s="1"/>
  <c r="BQ16" i="6" s="1"/>
  <c r="BP17" i="6" s="1"/>
  <c r="BQ17" i="6" s="1"/>
  <c r="BP18" i="6" s="1"/>
  <c r="BQ18" i="6" s="1"/>
  <c r="BP19" i="6" s="1"/>
  <c r="BQ19" i="6" s="1"/>
  <c r="BP20" i="6" s="1"/>
  <c r="BQ20" i="6" s="1"/>
  <c r="BP21" i="6" s="1"/>
  <c r="BQ21" i="6" s="1"/>
  <c r="BP22" i="6" s="1"/>
  <c r="BQ22" i="6" s="1"/>
  <c r="BP23" i="6" s="1"/>
  <c r="BQ23" i="6" s="1"/>
  <c r="BP24" i="6" s="1"/>
  <c r="BQ24" i="6" s="1"/>
  <c r="BP25" i="6" s="1"/>
  <c r="BQ25" i="6" s="1"/>
  <c r="BP26" i="6" s="1"/>
  <c r="BQ26" i="6" s="1"/>
  <c r="BP27" i="6" s="1"/>
  <c r="BQ27" i="6" s="1"/>
  <c r="BP28" i="6" s="1"/>
  <c r="BQ28" i="6" s="1"/>
  <c r="BP29" i="6" s="1"/>
  <c r="BQ29" i="6" s="1"/>
  <c r="BP30" i="6" s="1"/>
  <c r="BQ30" i="6" s="1"/>
  <c r="BP31" i="6" s="1"/>
  <c r="BQ31" i="6" s="1"/>
  <c r="BP32" i="6" s="1"/>
  <c r="BQ32" i="6" s="1"/>
  <c r="BP33" i="6" s="1"/>
  <c r="BQ33" i="6" s="1"/>
  <c r="BP34" i="6" s="1"/>
  <c r="BQ34" i="6" s="1"/>
  <c r="BP35" i="6" s="1"/>
  <c r="BQ35" i="6" s="1"/>
  <c r="BP36" i="6" s="1"/>
  <c r="BQ36" i="6" s="1"/>
  <c r="BP37" i="6" s="1"/>
  <c r="BQ37" i="6" s="1"/>
  <c r="BP38" i="6" s="1"/>
  <c r="BQ38" i="6" s="1"/>
  <c r="BP39" i="6" s="1"/>
  <c r="BQ39" i="6" s="1"/>
  <c r="BP40" i="6" s="1"/>
  <c r="BQ40" i="6" s="1"/>
  <c r="BP41" i="6" s="1"/>
  <c r="BQ41" i="6" s="1"/>
  <c r="BP42" i="6" s="1"/>
  <c r="BQ42" i="6" s="1"/>
  <c r="BP43" i="6" s="1"/>
  <c r="BQ43" i="6" s="1"/>
  <c r="BP44" i="6" s="1"/>
  <c r="BQ44" i="6" s="1"/>
  <c r="BP45" i="6" s="1"/>
  <c r="BQ45" i="6" s="1"/>
  <c r="BP46" i="6" s="1"/>
  <c r="BQ46" i="6" s="1"/>
  <c r="BP47" i="6" s="1"/>
  <c r="BQ47" i="6" s="1"/>
  <c r="BP48" i="6" s="1"/>
  <c r="BQ48" i="6" s="1"/>
  <c r="BP49" i="6" s="1"/>
  <c r="BQ49" i="6" s="1"/>
  <c r="BP50" i="6" s="1"/>
  <c r="BQ50" i="6" s="1"/>
  <c r="BP51" i="6" s="1"/>
  <c r="BQ51" i="6" s="1"/>
  <c r="BP52" i="6" s="1"/>
  <c r="BQ52" i="6" s="1"/>
  <c r="BP53" i="6" s="1"/>
  <c r="BQ53" i="6" s="1"/>
  <c r="BP54" i="6" s="1"/>
  <c r="BQ54" i="6" s="1"/>
  <c r="BP55" i="6" s="1"/>
  <c r="BQ55" i="6" s="1"/>
  <c r="BP56" i="6" s="1"/>
  <c r="BQ56" i="6" s="1"/>
  <c r="BP57" i="6" s="1"/>
  <c r="BQ57" i="6" s="1"/>
  <c r="BP58" i="6" s="1"/>
  <c r="BQ58" i="6" s="1"/>
  <c r="BP59" i="6" s="1"/>
  <c r="BQ59" i="6" s="1"/>
  <c r="BP60" i="6" s="1"/>
  <c r="BQ60" i="6" s="1"/>
  <c r="BP61" i="6" s="1"/>
  <c r="BQ61" i="6" s="1"/>
  <c r="BP62" i="6" s="1"/>
  <c r="BQ62" i="6" s="1"/>
  <c r="BP63" i="6" s="1"/>
  <c r="BQ63" i="6" s="1"/>
  <c r="BP64" i="6" s="1"/>
  <c r="BQ64" i="6" s="1"/>
  <c r="BP65" i="6" s="1"/>
  <c r="BQ65" i="6" s="1"/>
  <c r="BP66" i="6" s="1"/>
  <c r="BQ66" i="6" s="1"/>
  <c r="BP67" i="6" s="1"/>
  <c r="BQ67" i="6" s="1"/>
  <c r="BP68" i="6" s="1"/>
  <c r="BQ68" i="6" s="1"/>
  <c r="BP69" i="6" s="1"/>
  <c r="BQ69" i="6" s="1"/>
  <c r="BP70" i="6" s="1"/>
  <c r="BQ70" i="6" s="1"/>
  <c r="BP71" i="6" s="1"/>
  <c r="BQ71" i="6" s="1"/>
  <c r="BP72" i="6" s="1"/>
  <c r="BQ72" i="6" s="1"/>
  <c r="BP73" i="6" s="1"/>
  <c r="BQ73" i="6" s="1"/>
  <c r="BP74" i="6" s="1"/>
  <c r="BQ74" i="6" s="1"/>
  <c r="BP75" i="6" s="1"/>
  <c r="BQ75" i="6" s="1"/>
  <c r="BP76" i="6" s="1"/>
  <c r="BQ76" i="6" s="1"/>
  <c r="BP77" i="6" s="1"/>
  <c r="BQ77" i="6" s="1"/>
  <c r="BP78" i="6" s="1"/>
  <c r="BQ78" i="6" s="1"/>
  <c r="BP79" i="6" s="1"/>
  <c r="BQ79" i="6" s="1"/>
  <c r="BP80" i="6" s="1"/>
  <c r="BQ80" i="6" s="1"/>
  <c r="BP81" i="6" s="1"/>
  <c r="BQ81" i="6" s="1"/>
  <c r="BP82" i="6" s="1"/>
  <c r="BQ82" i="6" s="1"/>
  <c r="BP83" i="6" s="1"/>
  <c r="BQ83" i="6" s="1"/>
  <c r="BP84" i="6" s="1"/>
  <c r="BQ84" i="6" s="1"/>
  <c r="BP85" i="6" s="1"/>
  <c r="BQ85" i="6" s="1"/>
  <c r="BP86" i="6" s="1"/>
  <c r="BQ86" i="6" s="1"/>
  <c r="BP87" i="6" s="1"/>
  <c r="BQ87" i="6" s="1"/>
  <c r="BP88" i="6" s="1"/>
  <c r="BQ88" i="6" s="1"/>
  <c r="BP89" i="6" s="1"/>
  <c r="BQ89" i="6" s="1"/>
  <c r="BP90" i="6" s="1"/>
  <c r="BQ90" i="6" s="1"/>
  <c r="BP91" i="6" s="1"/>
  <c r="BQ91" i="6" s="1"/>
  <c r="BP92" i="6" s="1"/>
  <c r="BQ92" i="6" s="1"/>
  <c r="BP93" i="6" s="1"/>
  <c r="BQ93" i="6" s="1"/>
  <c r="BP94" i="6" s="1"/>
  <c r="BQ94" i="6" s="1"/>
  <c r="BP95" i="6" s="1"/>
  <c r="BQ95" i="6" s="1"/>
  <c r="BP96" i="6" s="1"/>
  <c r="BQ96" i="6" s="1"/>
  <c r="BP97" i="6" s="1"/>
  <c r="BQ97" i="6" s="1"/>
  <c r="BP98" i="6" s="1"/>
  <c r="BQ98" i="6" s="1"/>
  <c r="BP99" i="6" s="1"/>
  <c r="BQ99" i="6" s="1"/>
  <c r="BP100" i="6" s="1"/>
  <c r="BQ100" i="6" s="1"/>
  <c r="BP101" i="6" s="1"/>
  <c r="BQ101" i="6" s="1"/>
  <c r="BP102" i="6" s="1"/>
  <c r="BQ102" i="6" s="1"/>
  <c r="BP103" i="6" s="1"/>
  <c r="BQ103" i="6" s="1"/>
  <c r="AM4" i="6"/>
  <c r="AL5" i="6" s="1"/>
  <c r="AM5" i="6" s="1"/>
  <c r="AL6" i="6" s="1"/>
  <c r="AM6" i="6" s="1"/>
  <c r="AL7" i="6" s="1"/>
  <c r="AM7" i="6" s="1"/>
  <c r="AL8" i="6" s="1"/>
  <c r="AM8" i="6" s="1"/>
  <c r="AL9" i="6" s="1"/>
  <c r="AM9" i="6" s="1"/>
  <c r="AL10" i="6" s="1"/>
  <c r="AM10" i="6" s="1"/>
  <c r="AL11" i="6" s="1"/>
  <c r="AM11" i="6" s="1"/>
  <c r="AL12" i="6" s="1"/>
  <c r="AM12" i="6" s="1"/>
  <c r="AL13" i="6" s="1"/>
  <c r="AM13" i="6" s="1"/>
  <c r="AL14" i="6" s="1"/>
  <c r="AM14" i="6" s="1"/>
  <c r="AL15" i="6" s="1"/>
  <c r="AM15" i="6" s="1"/>
  <c r="AL16" i="6" s="1"/>
  <c r="AM16" i="6" s="1"/>
  <c r="AL17" i="6" s="1"/>
  <c r="AM17" i="6" s="1"/>
  <c r="AL18" i="6" s="1"/>
  <c r="AM18" i="6" s="1"/>
  <c r="AL19" i="6" s="1"/>
  <c r="AM19" i="6" s="1"/>
  <c r="AL20" i="6" s="1"/>
  <c r="AM20" i="6" s="1"/>
  <c r="AL21" i="6" s="1"/>
  <c r="AM21" i="6" s="1"/>
  <c r="AL22" i="6" s="1"/>
  <c r="AM22" i="6" s="1"/>
  <c r="AL23" i="6" s="1"/>
  <c r="AM23" i="6" s="1"/>
  <c r="AL24" i="6" s="1"/>
  <c r="AM24" i="6" s="1"/>
  <c r="AL25" i="6" s="1"/>
  <c r="AM25" i="6" s="1"/>
  <c r="AL26" i="6" s="1"/>
  <c r="AM26" i="6" s="1"/>
  <c r="AL27" i="6" s="1"/>
  <c r="AM27" i="6" s="1"/>
  <c r="AL28" i="6" s="1"/>
  <c r="AM28" i="6" s="1"/>
  <c r="AL29" i="6" s="1"/>
  <c r="AM29" i="6" s="1"/>
  <c r="AL30" i="6" s="1"/>
  <c r="AM30" i="6" s="1"/>
  <c r="AL31" i="6" s="1"/>
  <c r="AM31" i="6" s="1"/>
  <c r="AL32" i="6" s="1"/>
  <c r="AM32" i="6" s="1"/>
  <c r="AL33" i="6" s="1"/>
  <c r="AM33" i="6" s="1"/>
  <c r="AL34" i="6" s="1"/>
  <c r="AM34" i="6" s="1"/>
  <c r="AL35" i="6" s="1"/>
  <c r="AM35" i="6" s="1"/>
  <c r="AL36" i="6" s="1"/>
  <c r="AM36" i="6" s="1"/>
  <c r="AL37" i="6" s="1"/>
  <c r="AM37" i="6" s="1"/>
  <c r="AL38" i="6" s="1"/>
  <c r="AM38" i="6" s="1"/>
  <c r="AL39" i="6" s="1"/>
  <c r="AM39" i="6" s="1"/>
  <c r="AL40" i="6" s="1"/>
  <c r="AM40" i="6" s="1"/>
  <c r="AL41" i="6" s="1"/>
  <c r="AM41" i="6" s="1"/>
  <c r="AL42" i="6" s="1"/>
  <c r="AM42" i="6" s="1"/>
  <c r="AL43" i="6" s="1"/>
  <c r="AM43" i="6" s="1"/>
  <c r="AL44" i="6" s="1"/>
  <c r="AM44" i="6" s="1"/>
  <c r="AL45" i="6" s="1"/>
  <c r="AM45" i="6" s="1"/>
  <c r="AL46" i="6" s="1"/>
  <c r="AM46" i="6" s="1"/>
  <c r="AL47" i="6" s="1"/>
  <c r="AM47" i="6" s="1"/>
  <c r="AL48" i="6" s="1"/>
  <c r="AM48" i="6" s="1"/>
  <c r="AL49" i="6" s="1"/>
  <c r="AM49" i="6" s="1"/>
  <c r="AL50" i="6" s="1"/>
  <c r="AM50" i="6" s="1"/>
  <c r="AL51" i="6" s="1"/>
  <c r="AM51" i="6" s="1"/>
  <c r="AL52" i="6" s="1"/>
  <c r="AM52" i="6" s="1"/>
  <c r="AL53" i="6" s="1"/>
  <c r="AM53" i="6" s="1"/>
  <c r="AL54" i="6" s="1"/>
  <c r="AM54" i="6" s="1"/>
  <c r="AL55" i="6" s="1"/>
  <c r="AM55" i="6" s="1"/>
  <c r="AL56" i="6" s="1"/>
  <c r="AM56" i="6" s="1"/>
  <c r="AL57" i="6" s="1"/>
  <c r="AM57" i="6" s="1"/>
  <c r="AL58" i="6" s="1"/>
  <c r="AM58" i="6" s="1"/>
  <c r="AL59" i="6" s="1"/>
  <c r="AM59" i="6" s="1"/>
  <c r="AL60" i="6" s="1"/>
  <c r="AM60" i="6" s="1"/>
  <c r="AL61" i="6" s="1"/>
  <c r="AM61" i="6" s="1"/>
  <c r="AL62" i="6" s="1"/>
  <c r="AM62" i="6" s="1"/>
  <c r="AL63" i="6" s="1"/>
  <c r="AM63" i="6" s="1"/>
  <c r="AL64" i="6" s="1"/>
  <c r="AM64" i="6" s="1"/>
  <c r="AL65" i="6" s="1"/>
  <c r="AM65" i="6" s="1"/>
  <c r="AL66" i="6" s="1"/>
  <c r="AM66" i="6" s="1"/>
  <c r="AL67" i="6" s="1"/>
  <c r="AM67" i="6" s="1"/>
  <c r="AL68" i="6" s="1"/>
  <c r="AM68" i="6" s="1"/>
  <c r="AL69" i="6" s="1"/>
  <c r="AM69" i="6" s="1"/>
  <c r="AL70" i="6" s="1"/>
  <c r="AM70" i="6" s="1"/>
  <c r="AL71" i="6" s="1"/>
  <c r="AM71" i="6" s="1"/>
  <c r="AL72" i="6" s="1"/>
  <c r="AM72" i="6" s="1"/>
  <c r="AL73" i="6" s="1"/>
  <c r="AM73" i="6" s="1"/>
  <c r="AL74" i="6" s="1"/>
  <c r="AM74" i="6" s="1"/>
  <c r="AL75" i="6" s="1"/>
  <c r="AM75" i="6" s="1"/>
  <c r="AL76" i="6" s="1"/>
  <c r="AM76" i="6" s="1"/>
  <c r="AL77" i="6" s="1"/>
  <c r="AM77" i="6" s="1"/>
  <c r="AL78" i="6" s="1"/>
  <c r="AM78" i="6" s="1"/>
  <c r="AL79" i="6" s="1"/>
  <c r="AM79" i="6" s="1"/>
  <c r="AL80" i="6" s="1"/>
  <c r="AM80" i="6" s="1"/>
  <c r="AL81" i="6" s="1"/>
  <c r="AM81" i="6" s="1"/>
  <c r="AL82" i="6" s="1"/>
  <c r="AM82" i="6" s="1"/>
  <c r="AL83" i="6" s="1"/>
  <c r="AM83" i="6" s="1"/>
  <c r="AL84" i="6" s="1"/>
  <c r="AM84" i="6" s="1"/>
  <c r="AL85" i="6" s="1"/>
  <c r="AM85" i="6" s="1"/>
  <c r="AL86" i="6" s="1"/>
  <c r="AM86" i="6" s="1"/>
  <c r="AL87" i="6" s="1"/>
  <c r="AM87" i="6" s="1"/>
  <c r="AL88" i="6" s="1"/>
  <c r="AM88" i="6" s="1"/>
  <c r="AL89" i="6" s="1"/>
  <c r="AM89" i="6" s="1"/>
  <c r="AL90" i="6" s="1"/>
  <c r="AM90" i="6" s="1"/>
  <c r="AL91" i="6" s="1"/>
  <c r="AM91" i="6" s="1"/>
  <c r="AL92" i="6" s="1"/>
  <c r="AM92" i="6" s="1"/>
  <c r="AL93" i="6" s="1"/>
  <c r="AM93" i="6" s="1"/>
  <c r="AL94" i="6" s="1"/>
  <c r="AM94" i="6" s="1"/>
  <c r="AL95" i="6" s="1"/>
  <c r="AM95" i="6" s="1"/>
  <c r="AL96" i="6" s="1"/>
  <c r="AM96" i="6" s="1"/>
  <c r="AL97" i="6" s="1"/>
  <c r="AM97" i="6" s="1"/>
  <c r="AL98" i="6" s="1"/>
  <c r="AM98" i="6" s="1"/>
  <c r="AL99" i="6" s="1"/>
  <c r="AM99" i="6" s="1"/>
  <c r="AL100" i="6" s="1"/>
  <c r="AM100" i="6" s="1"/>
  <c r="AL101" i="6" s="1"/>
  <c r="AM101" i="6" s="1"/>
  <c r="AL102" i="6" s="1"/>
  <c r="AM102" i="6" s="1"/>
  <c r="AL103" i="6" s="1"/>
  <c r="AM103" i="6" s="1"/>
  <c r="BH4" i="6"/>
  <c r="BG5" i="6" s="1"/>
  <c r="BH5" i="6" s="1"/>
  <c r="BG6" i="6" s="1"/>
  <c r="BH6" i="6" s="1"/>
  <c r="BG7" i="6" s="1"/>
  <c r="BH7" i="6" s="1"/>
  <c r="BG8" i="6" s="1"/>
  <c r="BH8" i="6" s="1"/>
  <c r="BG9" i="6" s="1"/>
  <c r="BH9" i="6" s="1"/>
  <c r="BG10" i="6" s="1"/>
  <c r="BH10" i="6" s="1"/>
  <c r="BG11" i="6" s="1"/>
  <c r="BH11" i="6" s="1"/>
  <c r="BG12" i="6" s="1"/>
  <c r="BH12" i="6" s="1"/>
  <c r="BG13" i="6" s="1"/>
  <c r="BH13" i="6" s="1"/>
  <c r="BG14" i="6" s="1"/>
  <c r="BH14" i="6" s="1"/>
  <c r="BG15" i="6" s="1"/>
  <c r="BH15" i="6" s="1"/>
  <c r="BG16" i="6" s="1"/>
  <c r="BH16" i="6" s="1"/>
  <c r="BG17" i="6" s="1"/>
  <c r="BH17" i="6" s="1"/>
  <c r="BG18" i="6" s="1"/>
  <c r="BH18" i="6" s="1"/>
  <c r="BG19" i="6" s="1"/>
  <c r="BH19" i="6" s="1"/>
  <c r="BG20" i="6" s="1"/>
  <c r="BH20" i="6" s="1"/>
  <c r="BG21" i="6" s="1"/>
  <c r="BH21" i="6" s="1"/>
  <c r="BG22" i="6" s="1"/>
  <c r="BH22" i="6" s="1"/>
  <c r="BG23" i="6" s="1"/>
  <c r="BH23" i="6" s="1"/>
  <c r="BG24" i="6" s="1"/>
  <c r="BH24" i="6" s="1"/>
  <c r="BG25" i="6" s="1"/>
  <c r="BH25" i="6" s="1"/>
  <c r="BG26" i="6" s="1"/>
  <c r="BH26" i="6" s="1"/>
  <c r="BG27" i="6" s="1"/>
  <c r="BH27" i="6" s="1"/>
  <c r="BG28" i="6" s="1"/>
  <c r="BH28" i="6" s="1"/>
  <c r="BG29" i="6" s="1"/>
  <c r="BH29" i="6" s="1"/>
  <c r="BG30" i="6" s="1"/>
  <c r="BH30" i="6" s="1"/>
  <c r="BG31" i="6" s="1"/>
  <c r="BH31" i="6" s="1"/>
  <c r="BG32" i="6" s="1"/>
  <c r="BH32" i="6" s="1"/>
  <c r="BG33" i="6" s="1"/>
  <c r="BH33" i="6" s="1"/>
  <c r="BG34" i="6" s="1"/>
  <c r="BH34" i="6" s="1"/>
  <c r="BG35" i="6" s="1"/>
  <c r="BH35" i="6" s="1"/>
  <c r="BG36" i="6" s="1"/>
  <c r="BH36" i="6" s="1"/>
  <c r="BG37" i="6" s="1"/>
  <c r="BH37" i="6" s="1"/>
  <c r="BG38" i="6" s="1"/>
  <c r="BH38" i="6" s="1"/>
  <c r="BG39" i="6" s="1"/>
  <c r="BH39" i="6" s="1"/>
  <c r="BG40" i="6" s="1"/>
  <c r="BH40" i="6" s="1"/>
  <c r="BG41" i="6" s="1"/>
  <c r="BH41" i="6" s="1"/>
  <c r="BG42" i="6" s="1"/>
  <c r="BH42" i="6" s="1"/>
  <c r="BG43" i="6" s="1"/>
  <c r="BH43" i="6" s="1"/>
  <c r="BG44" i="6" s="1"/>
  <c r="BH44" i="6" s="1"/>
  <c r="BG45" i="6" s="1"/>
  <c r="BH45" i="6" s="1"/>
  <c r="BG46" i="6" s="1"/>
  <c r="BH46" i="6" s="1"/>
  <c r="BG47" i="6" s="1"/>
  <c r="BH47" i="6" s="1"/>
  <c r="BG48" i="6" s="1"/>
  <c r="BH48" i="6" s="1"/>
  <c r="BG49" i="6" s="1"/>
  <c r="BH49" i="6" s="1"/>
  <c r="BG50" i="6" s="1"/>
  <c r="BH50" i="6" s="1"/>
  <c r="BG51" i="6" s="1"/>
  <c r="BH51" i="6" s="1"/>
  <c r="BG52" i="6" s="1"/>
  <c r="BH52" i="6" s="1"/>
  <c r="BG53" i="6" s="1"/>
  <c r="BH53" i="6" s="1"/>
  <c r="BG54" i="6" s="1"/>
  <c r="BH54" i="6" s="1"/>
  <c r="BG55" i="6" s="1"/>
  <c r="BH55" i="6" s="1"/>
  <c r="BG56" i="6" s="1"/>
  <c r="BH56" i="6" s="1"/>
  <c r="BG57" i="6" s="1"/>
  <c r="BH57" i="6" s="1"/>
  <c r="BG58" i="6" s="1"/>
  <c r="BH58" i="6" s="1"/>
  <c r="BG59" i="6" s="1"/>
  <c r="BH59" i="6" s="1"/>
  <c r="BG60" i="6" s="1"/>
  <c r="BH60" i="6" s="1"/>
  <c r="BG61" i="6" s="1"/>
  <c r="BH61" i="6" s="1"/>
  <c r="BG62" i="6" s="1"/>
  <c r="BH62" i="6" s="1"/>
  <c r="BG63" i="6" s="1"/>
  <c r="BH63" i="6" s="1"/>
  <c r="BG64" i="6" s="1"/>
  <c r="BH64" i="6" s="1"/>
  <c r="BG65" i="6" s="1"/>
  <c r="BH65" i="6" s="1"/>
  <c r="BG66" i="6" s="1"/>
  <c r="BH66" i="6" s="1"/>
  <c r="BG67" i="6" s="1"/>
  <c r="BH67" i="6" s="1"/>
  <c r="BG68" i="6" s="1"/>
  <c r="BH68" i="6" s="1"/>
  <c r="BG69" i="6" s="1"/>
  <c r="BH69" i="6" s="1"/>
  <c r="BG70" i="6" s="1"/>
  <c r="BH70" i="6" s="1"/>
  <c r="BG71" i="6" s="1"/>
  <c r="BH71" i="6" s="1"/>
  <c r="BG72" i="6" s="1"/>
  <c r="BH72" i="6" s="1"/>
  <c r="BG73" i="6" s="1"/>
  <c r="BH73" i="6" s="1"/>
  <c r="BG74" i="6" s="1"/>
  <c r="BH74" i="6" s="1"/>
  <c r="BG75" i="6" s="1"/>
  <c r="BH75" i="6" s="1"/>
  <c r="BG76" i="6" s="1"/>
  <c r="BH76" i="6" s="1"/>
  <c r="BG77" i="6" s="1"/>
  <c r="BH77" i="6" s="1"/>
  <c r="BG78" i="6" s="1"/>
  <c r="BH78" i="6" s="1"/>
  <c r="BG79" i="6" s="1"/>
  <c r="BH79" i="6" s="1"/>
  <c r="BG80" i="6" s="1"/>
  <c r="BH80" i="6" s="1"/>
  <c r="BG81" i="6" s="1"/>
  <c r="BH81" i="6" s="1"/>
  <c r="BG82" i="6" s="1"/>
  <c r="BH82" i="6" s="1"/>
  <c r="BG83" i="6" s="1"/>
  <c r="BH83" i="6" s="1"/>
  <c r="BG84" i="6" s="1"/>
  <c r="BH84" i="6" s="1"/>
  <c r="BG85" i="6" s="1"/>
  <c r="BH85" i="6" s="1"/>
  <c r="BG86" i="6" s="1"/>
  <c r="BH86" i="6" s="1"/>
  <c r="BG87" i="6" s="1"/>
  <c r="BH87" i="6" s="1"/>
  <c r="BG88" i="6" s="1"/>
  <c r="BH88" i="6" s="1"/>
  <c r="BG89" i="6" s="1"/>
  <c r="BH89" i="6" s="1"/>
  <c r="BG90" i="6" s="1"/>
  <c r="BH90" i="6" s="1"/>
  <c r="BG91" i="6" s="1"/>
  <c r="BH91" i="6" s="1"/>
  <c r="BG92" i="6" s="1"/>
  <c r="BH92" i="6" s="1"/>
  <c r="BG93" i="6" s="1"/>
  <c r="BH93" i="6" s="1"/>
  <c r="BG94" i="6" s="1"/>
  <c r="BH94" i="6" s="1"/>
  <c r="BG95" i="6" s="1"/>
  <c r="BH95" i="6" s="1"/>
  <c r="BG96" i="6" s="1"/>
  <c r="BH96" i="6" s="1"/>
  <c r="BG97" i="6" s="1"/>
  <c r="BH97" i="6" s="1"/>
  <c r="BG98" i="6" s="1"/>
  <c r="BH98" i="6" s="1"/>
  <c r="BG99" i="6" s="1"/>
  <c r="BH99" i="6" s="1"/>
  <c r="BG100" i="6" s="1"/>
  <c r="BH100" i="6" s="1"/>
  <c r="BG101" i="6" s="1"/>
  <c r="BH101" i="6" s="1"/>
  <c r="BG102" i="6" s="1"/>
  <c r="BH102" i="6" s="1"/>
  <c r="BG103" i="6" s="1"/>
  <c r="BH103" i="6" s="1"/>
  <c r="BW4" i="6"/>
  <c r="BV5" i="6" s="1"/>
  <c r="BW5" i="6" s="1"/>
  <c r="BV6" i="6" s="1"/>
  <c r="BW6" i="6" s="1"/>
  <c r="BV7" i="6" s="1"/>
  <c r="BW7" i="6" s="1"/>
  <c r="BV8" i="6" s="1"/>
  <c r="BW8" i="6" s="1"/>
  <c r="BV9" i="6" s="1"/>
  <c r="BW9" i="6" s="1"/>
  <c r="BV10" i="6" s="1"/>
  <c r="BW10" i="6" s="1"/>
  <c r="BV11" i="6" s="1"/>
  <c r="BW11" i="6" s="1"/>
  <c r="BV12" i="6" s="1"/>
  <c r="BW12" i="6" s="1"/>
  <c r="BV13" i="6" s="1"/>
  <c r="BW13" i="6" s="1"/>
  <c r="BV14" i="6" s="1"/>
  <c r="BW14" i="6" s="1"/>
  <c r="BV15" i="6" s="1"/>
  <c r="BW15" i="6" s="1"/>
  <c r="BV16" i="6" s="1"/>
  <c r="BW16" i="6" s="1"/>
  <c r="BV17" i="6" s="1"/>
  <c r="BW17" i="6" s="1"/>
  <c r="BV18" i="6" s="1"/>
  <c r="BW18" i="6" s="1"/>
  <c r="BV19" i="6" s="1"/>
  <c r="BW19" i="6" s="1"/>
  <c r="BV20" i="6" s="1"/>
  <c r="BW20" i="6" s="1"/>
  <c r="BV21" i="6" s="1"/>
  <c r="BW21" i="6" s="1"/>
  <c r="BV22" i="6" s="1"/>
  <c r="BW22" i="6" s="1"/>
  <c r="BV23" i="6" s="1"/>
  <c r="BW23" i="6" s="1"/>
  <c r="BV24" i="6" s="1"/>
  <c r="BW24" i="6" s="1"/>
  <c r="BV25" i="6" s="1"/>
  <c r="BW25" i="6" s="1"/>
  <c r="BV26" i="6" s="1"/>
  <c r="BW26" i="6" s="1"/>
  <c r="BV27" i="6" s="1"/>
  <c r="BW27" i="6" s="1"/>
  <c r="BV28" i="6" s="1"/>
  <c r="BW28" i="6" s="1"/>
  <c r="BV29" i="6" s="1"/>
  <c r="BW29" i="6" s="1"/>
  <c r="BV30" i="6" s="1"/>
  <c r="BW30" i="6" s="1"/>
  <c r="BV31" i="6" s="1"/>
  <c r="BW31" i="6" s="1"/>
  <c r="BV32" i="6" s="1"/>
  <c r="BW32" i="6" s="1"/>
  <c r="BV33" i="6" s="1"/>
  <c r="BW33" i="6" s="1"/>
  <c r="BV34" i="6" s="1"/>
  <c r="BW34" i="6" s="1"/>
  <c r="BV35" i="6" s="1"/>
  <c r="BW35" i="6" s="1"/>
  <c r="BV36" i="6" s="1"/>
  <c r="BW36" i="6" s="1"/>
  <c r="BV37" i="6" s="1"/>
  <c r="BW37" i="6" s="1"/>
  <c r="BV38" i="6" s="1"/>
  <c r="BW38" i="6" s="1"/>
  <c r="BV39" i="6" s="1"/>
  <c r="BW39" i="6" s="1"/>
  <c r="BV40" i="6" s="1"/>
  <c r="BW40" i="6" s="1"/>
  <c r="BV41" i="6" s="1"/>
  <c r="BW41" i="6" s="1"/>
  <c r="BV42" i="6" s="1"/>
  <c r="BW42" i="6" s="1"/>
  <c r="BV43" i="6" s="1"/>
  <c r="BW43" i="6" s="1"/>
  <c r="BV44" i="6" s="1"/>
  <c r="BW44" i="6" s="1"/>
  <c r="BV45" i="6" s="1"/>
  <c r="BW45" i="6" s="1"/>
  <c r="BV46" i="6" s="1"/>
  <c r="BW46" i="6" s="1"/>
  <c r="BV47" i="6" s="1"/>
  <c r="BW47" i="6" s="1"/>
  <c r="BV48" i="6" s="1"/>
  <c r="BW48" i="6" s="1"/>
  <c r="BV49" i="6" s="1"/>
  <c r="BW49" i="6" s="1"/>
  <c r="BV50" i="6" s="1"/>
  <c r="BW50" i="6" s="1"/>
  <c r="BV51" i="6" s="1"/>
  <c r="BW51" i="6" s="1"/>
  <c r="BV52" i="6" s="1"/>
  <c r="BW52" i="6" s="1"/>
  <c r="BV53" i="6" s="1"/>
  <c r="BW53" i="6" s="1"/>
  <c r="BV54" i="6" s="1"/>
  <c r="BW54" i="6" s="1"/>
  <c r="BV55" i="6" s="1"/>
  <c r="BW55" i="6" s="1"/>
  <c r="BV56" i="6" s="1"/>
  <c r="BW56" i="6" s="1"/>
  <c r="BV57" i="6" s="1"/>
  <c r="BW57" i="6" s="1"/>
  <c r="BV58" i="6" s="1"/>
  <c r="BW58" i="6" s="1"/>
  <c r="BV59" i="6" s="1"/>
  <c r="BW59" i="6" s="1"/>
  <c r="BV60" i="6" s="1"/>
  <c r="BW60" i="6" s="1"/>
  <c r="BV61" i="6" s="1"/>
  <c r="BW61" i="6" s="1"/>
  <c r="BV62" i="6" s="1"/>
  <c r="BW62" i="6" s="1"/>
  <c r="BV63" i="6" s="1"/>
  <c r="BW63" i="6" s="1"/>
  <c r="BV64" i="6" s="1"/>
  <c r="BW64" i="6" s="1"/>
  <c r="BV65" i="6" s="1"/>
  <c r="BW65" i="6" s="1"/>
  <c r="BV66" i="6" s="1"/>
  <c r="BW66" i="6" s="1"/>
  <c r="BV67" i="6" s="1"/>
  <c r="BW67" i="6" s="1"/>
  <c r="BV68" i="6" s="1"/>
  <c r="BW68" i="6" s="1"/>
  <c r="BV69" i="6" s="1"/>
  <c r="BW69" i="6" s="1"/>
  <c r="BV70" i="6" s="1"/>
  <c r="BW70" i="6" s="1"/>
  <c r="BV71" i="6" s="1"/>
  <c r="BW71" i="6" s="1"/>
  <c r="BV72" i="6" s="1"/>
  <c r="BW72" i="6" s="1"/>
  <c r="BV73" i="6" s="1"/>
  <c r="BW73" i="6" s="1"/>
  <c r="BV74" i="6" s="1"/>
  <c r="BW74" i="6" s="1"/>
  <c r="BV75" i="6" s="1"/>
  <c r="BW75" i="6" s="1"/>
  <c r="BV76" i="6" s="1"/>
  <c r="BW76" i="6" s="1"/>
  <c r="BV77" i="6" s="1"/>
  <c r="BW77" i="6" s="1"/>
  <c r="BV78" i="6" s="1"/>
  <c r="BW78" i="6" s="1"/>
  <c r="BV79" i="6" s="1"/>
  <c r="BW79" i="6" s="1"/>
  <c r="BV80" i="6" s="1"/>
  <c r="BW80" i="6" s="1"/>
  <c r="BV81" i="6" s="1"/>
  <c r="BW81" i="6" s="1"/>
  <c r="BV82" i="6" s="1"/>
  <c r="BW82" i="6" s="1"/>
  <c r="BV83" i="6" s="1"/>
  <c r="BW83" i="6" s="1"/>
  <c r="BV84" i="6" s="1"/>
  <c r="BW84" i="6" s="1"/>
  <c r="BV85" i="6" s="1"/>
  <c r="BW85" i="6" s="1"/>
  <c r="BV86" i="6" s="1"/>
  <c r="BW86" i="6" s="1"/>
  <c r="BV87" i="6" s="1"/>
  <c r="BW87" i="6" s="1"/>
  <c r="BV88" i="6" s="1"/>
  <c r="BW88" i="6" s="1"/>
  <c r="BV89" i="6" s="1"/>
  <c r="BW89" i="6" s="1"/>
  <c r="BV90" i="6" s="1"/>
  <c r="BW90" i="6" s="1"/>
  <c r="BV91" i="6" s="1"/>
  <c r="BW91" i="6" s="1"/>
  <c r="BV92" i="6" s="1"/>
  <c r="BW92" i="6" s="1"/>
  <c r="BV93" i="6" s="1"/>
  <c r="BW93" i="6" s="1"/>
  <c r="BV94" i="6" s="1"/>
  <c r="BW94" i="6" s="1"/>
  <c r="BV95" i="6" s="1"/>
  <c r="BW95" i="6" s="1"/>
  <c r="BV96" i="6" s="1"/>
  <c r="BW96" i="6" s="1"/>
  <c r="BV97" i="6" s="1"/>
  <c r="BW97" i="6" s="1"/>
  <c r="BV98" i="6" s="1"/>
  <c r="BW98" i="6" s="1"/>
  <c r="BV99" i="6" s="1"/>
  <c r="BW99" i="6" s="1"/>
  <c r="BV100" i="6" s="1"/>
  <c r="BW100" i="6" s="1"/>
  <c r="BV101" i="6" s="1"/>
  <c r="BW101" i="6" s="1"/>
  <c r="BV102" i="6" s="1"/>
  <c r="BW102" i="6" s="1"/>
  <c r="BV103" i="6" s="1"/>
  <c r="BW103" i="6" s="1"/>
  <c r="L4" i="6"/>
  <c r="K5" i="6" s="1"/>
  <c r="L5" i="6" s="1"/>
  <c r="K6" i="6" s="1"/>
  <c r="L6" i="6" s="1"/>
  <c r="K7" i="6" s="1"/>
  <c r="L7" i="6" s="1"/>
  <c r="K8" i="6" s="1"/>
  <c r="L8" i="6" s="1"/>
  <c r="K9" i="6" s="1"/>
  <c r="L9" i="6" s="1"/>
  <c r="K10" i="6" s="1"/>
  <c r="L10" i="6" s="1"/>
  <c r="K11" i="6" s="1"/>
  <c r="L11" i="6" s="1"/>
  <c r="K12" i="6" s="1"/>
  <c r="L12" i="6" s="1"/>
  <c r="K13" i="6" s="1"/>
  <c r="L13" i="6" s="1"/>
  <c r="K14" i="6" s="1"/>
  <c r="L14" i="6" s="1"/>
  <c r="K15" i="6" s="1"/>
  <c r="L15" i="6" s="1"/>
  <c r="K16" i="6" s="1"/>
  <c r="L16" i="6" s="1"/>
  <c r="K17" i="6" s="1"/>
  <c r="L17" i="6" s="1"/>
  <c r="K18" i="6" s="1"/>
  <c r="L18" i="6" s="1"/>
  <c r="K19" i="6" s="1"/>
  <c r="L19" i="6" s="1"/>
  <c r="K20" i="6" s="1"/>
  <c r="L20" i="6" s="1"/>
  <c r="K21" i="6" s="1"/>
  <c r="L21" i="6" s="1"/>
  <c r="K22" i="6" s="1"/>
  <c r="L22" i="6" s="1"/>
  <c r="K23" i="6" s="1"/>
  <c r="L23" i="6" s="1"/>
  <c r="K24" i="6" s="1"/>
  <c r="L24" i="6" s="1"/>
  <c r="K25" i="6" s="1"/>
  <c r="L25" i="6" s="1"/>
  <c r="K26" i="6" s="1"/>
  <c r="L26" i="6" s="1"/>
  <c r="K27" i="6" s="1"/>
  <c r="L27" i="6" s="1"/>
  <c r="K28" i="6" s="1"/>
  <c r="L28" i="6" s="1"/>
  <c r="K29" i="6" s="1"/>
  <c r="L29" i="6" s="1"/>
  <c r="K30" i="6" s="1"/>
  <c r="L30" i="6" s="1"/>
  <c r="K31" i="6" s="1"/>
  <c r="L31" i="6" s="1"/>
  <c r="K32" i="6" s="1"/>
  <c r="L32" i="6" s="1"/>
  <c r="K33" i="6" s="1"/>
  <c r="L33" i="6" s="1"/>
  <c r="K34" i="6" s="1"/>
  <c r="L34" i="6" s="1"/>
  <c r="K35" i="6" s="1"/>
  <c r="L35" i="6" s="1"/>
  <c r="K36" i="6" s="1"/>
  <c r="L36" i="6" s="1"/>
  <c r="K37" i="6" s="1"/>
  <c r="L37" i="6" s="1"/>
  <c r="K38" i="6" s="1"/>
  <c r="L38" i="6" s="1"/>
  <c r="K39" i="6" s="1"/>
  <c r="L39" i="6" s="1"/>
  <c r="K40" i="6" s="1"/>
  <c r="L40" i="6" s="1"/>
  <c r="K41" i="6" s="1"/>
  <c r="L41" i="6" s="1"/>
  <c r="K42" i="6" s="1"/>
  <c r="L42" i="6" s="1"/>
  <c r="K43" i="6" s="1"/>
  <c r="L43" i="6" s="1"/>
  <c r="K44" i="6" s="1"/>
  <c r="L44" i="6" s="1"/>
  <c r="K45" i="6" s="1"/>
  <c r="L45" i="6" s="1"/>
  <c r="K46" i="6" s="1"/>
  <c r="L46" i="6" s="1"/>
  <c r="K47" i="6" s="1"/>
  <c r="L47" i="6" s="1"/>
  <c r="K48" i="6" s="1"/>
  <c r="L48" i="6" s="1"/>
  <c r="K49" i="6" s="1"/>
  <c r="L49" i="6" s="1"/>
  <c r="K50" i="6" s="1"/>
  <c r="L50" i="6" s="1"/>
  <c r="K51" i="6" s="1"/>
  <c r="L51" i="6" s="1"/>
  <c r="K52" i="6" s="1"/>
  <c r="L52" i="6" s="1"/>
  <c r="K53" i="6" s="1"/>
  <c r="L53" i="6" s="1"/>
  <c r="K54" i="6" s="1"/>
  <c r="L54" i="6" s="1"/>
  <c r="K55" i="6" s="1"/>
  <c r="L55" i="6" s="1"/>
  <c r="K56" i="6" s="1"/>
  <c r="L56" i="6" s="1"/>
  <c r="K57" i="6" s="1"/>
  <c r="L57" i="6" s="1"/>
  <c r="K58" i="6" s="1"/>
  <c r="L58" i="6" s="1"/>
  <c r="K59" i="6" s="1"/>
  <c r="L59" i="6" s="1"/>
  <c r="K60" i="6" s="1"/>
  <c r="L60" i="6" s="1"/>
  <c r="K61" i="6" s="1"/>
  <c r="L61" i="6" s="1"/>
  <c r="K62" i="6" s="1"/>
  <c r="L62" i="6" s="1"/>
  <c r="K63" i="6" s="1"/>
  <c r="L63" i="6" s="1"/>
  <c r="K64" i="6" s="1"/>
  <c r="L64" i="6" s="1"/>
  <c r="K65" i="6" s="1"/>
  <c r="L65" i="6" s="1"/>
  <c r="K66" i="6" s="1"/>
  <c r="L66" i="6" s="1"/>
  <c r="K67" i="6" s="1"/>
  <c r="L67" i="6" s="1"/>
  <c r="K68" i="6" s="1"/>
  <c r="L68" i="6" s="1"/>
  <c r="K69" i="6" s="1"/>
  <c r="L69" i="6" s="1"/>
  <c r="K70" i="6" s="1"/>
  <c r="L70" i="6" s="1"/>
  <c r="K71" i="6" s="1"/>
  <c r="L71" i="6" s="1"/>
  <c r="K72" i="6" s="1"/>
  <c r="L72" i="6" s="1"/>
  <c r="K73" i="6" s="1"/>
  <c r="L73" i="6" s="1"/>
  <c r="K74" i="6" s="1"/>
  <c r="L74" i="6" s="1"/>
  <c r="K75" i="6" s="1"/>
  <c r="L75" i="6" s="1"/>
  <c r="K76" i="6" s="1"/>
  <c r="L76" i="6" s="1"/>
  <c r="K77" i="6" s="1"/>
  <c r="L77" i="6" s="1"/>
  <c r="K78" i="6" s="1"/>
  <c r="L78" i="6" s="1"/>
  <c r="K79" i="6" s="1"/>
  <c r="L79" i="6" s="1"/>
  <c r="K80" i="6" s="1"/>
  <c r="L80" i="6" s="1"/>
  <c r="K81" i="6" s="1"/>
  <c r="L81" i="6" s="1"/>
  <c r="K82" i="6" s="1"/>
  <c r="L82" i="6" s="1"/>
  <c r="K83" i="6" s="1"/>
  <c r="L83" i="6" s="1"/>
  <c r="K84" i="6" s="1"/>
  <c r="L84" i="6" s="1"/>
  <c r="K85" i="6" s="1"/>
  <c r="L85" i="6" s="1"/>
  <c r="K86" i="6" s="1"/>
  <c r="L86" i="6" s="1"/>
  <c r="K87" i="6" s="1"/>
  <c r="L87" i="6" s="1"/>
  <c r="K88" i="6" s="1"/>
  <c r="L88" i="6" s="1"/>
  <c r="K89" i="6" s="1"/>
  <c r="L89" i="6" s="1"/>
  <c r="K90" i="6" s="1"/>
  <c r="L90" i="6" s="1"/>
  <c r="K91" i="6" s="1"/>
  <c r="L91" i="6" s="1"/>
  <c r="K92" i="6" s="1"/>
  <c r="L92" i="6" s="1"/>
  <c r="K93" i="6" s="1"/>
  <c r="L93" i="6" s="1"/>
  <c r="K94" i="6" s="1"/>
  <c r="L94" i="6" s="1"/>
  <c r="K95" i="6" s="1"/>
  <c r="L95" i="6" s="1"/>
  <c r="K96" i="6" s="1"/>
  <c r="L96" i="6" s="1"/>
  <c r="K97" i="6" s="1"/>
  <c r="L97" i="6" s="1"/>
  <c r="K98" i="6" s="1"/>
  <c r="L98" i="6" s="1"/>
  <c r="K99" i="6" s="1"/>
  <c r="L99" i="6" s="1"/>
  <c r="K100" i="6" s="1"/>
  <c r="L100" i="6" s="1"/>
  <c r="K101" i="6" s="1"/>
  <c r="L101" i="6" s="1"/>
  <c r="K102" i="6" s="1"/>
  <c r="L102" i="6" s="1"/>
  <c r="K103" i="6" s="1"/>
  <c r="L103" i="6" s="1"/>
  <c r="E4" i="6"/>
  <c r="F4" i="6" s="1"/>
  <c r="BZ4" i="6"/>
  <c r="BY5" i="6" s="1"/>
  <c r="BZ5" i="6" s="1"/>
  <c r="BY6" i="6" s="1"/>
  <c r="BZ6" i="6" s="1"/>
  <c r="BY7" i="6" s="1"/>
  <c r="BZ7" i="6" s="1"/>
  <c r="BY8" i="6" s="1"/>
  <c r="BZ8" i="6" s="1"/>
  <c r="BY9" i="6" s="1"/>
  <c r="BZ9" i="6" s="1"/>
  <c r="BY10" i="6" s="1"/>
  <c r="BZ10" i="6" s="1"/>
  <c r="BY11" i="6" s="1"/>
  <c r="BZ11" i="6" s="1"/>
  <c r="BY12" i="6" s="1"/>
  <c r="BZ12" i="6" s="1"/>
  <c r="BY13" i="6" s="1"/>
  <c r="BZ13" i="6" s="1"/>
  <c r="BY14" i="6" s="1"/>
  <c r="BZ14" i="6" s="1"/>
  <c r="BY15" i="6" s="1"/>
  <c r="BZ15" i="6" s="1"/>
  <c r="BY16" i="6" s="1"/>
  <c r="BZ16" i="6" s="1"/>
  <c r="BY17" i="6" s="1"/>
  <c r="BZ17" i="6" s="1"/>
  <c r="BY18" i="6" s="1"/>
  <c r="BZ18" i="6" s="1"/>
  <c r="BY19" i="6" s="1"/>
  <c r="BZ19" i="6" s="1"/>
  <c r="BY20" i="6" s="1"/>
  <c r="BZ20" i="6" s="1"/>
  <c r="BY21" i="6" s="1"/>
  <c r="BZ21" i="6" s="1"/>
  <c r="BY22" i="6" s="1"/>
  <c r="BZ22" i="6" s="1"/>
  <c r="BY23" i="6" s="1"/>
  <c r="BZ23" i="6" s="1"/>
  <c r="BY24" i="6" s="1"/>
  <c r="BZ24" i="6" s="1"/>
  <c r="BY25" i="6" s="1"/>
  <c r="BZ25" i="6" s="1"/>
  <c r="BY26" i="6" s="1"/>
  <c r="BZ26" i="6" s="1"/>
  <c r="BY27" i="6" s="1"/>
  <c r="BZ27" i="6" s="1"/>
  <c r="BY28" i="6" s="1"/>
  <c r="BZ28" i="6" s="1"/>
  <c r="BY29" i="6" s="1"/>
  <c r="BZ29" i="6" s="1"/>
  <c r="BY30" i="6" s="1"/>
  <c r="BZ30" i="6" s="1"/>
  <c r="BY31" i="6" s="1"/>
  <c r="BZ31" i="6" s="1"/>
  <c r="BY32" i="6" s="1"/>
  <c r="BZ32" i="6" s="1"/>
  <c r="BY33" i="6" s="1"/>
  <c r="BZ33" i="6" s="1"/>
  <c r="BY34" i="6" s="1"/>
  <c r="BZ34" i="6" s="1"/>
  <c r="BY35" i="6" s="1"/>
  <c r="BZ35" i="6" s="1"/>
  <c r="BY36" i="6" s="1"/>
  <c r="BZ36" i="6" s="1"/>
  <c r="BY37" i="6" s="1"/>
  <c r="BZ37" i="6" s="1"/>
  <c r="BY38" i="6" s="1"/>
  <c r="BZ38" i="6" s="1"/>
  <c r="BY39" i="6" s="1"/>
  <c r="BZ39" i="6" s="1"/>
  <c r="BY40" i="6" s="1"/>
  <c r="BZ40" i="6" s="1"/>
  <c r="BY41" i="6" s="1"/>
  <c r="BZ41" i="6" s="1"/>
  <c r="BY42" i="6" s="1"/>
  <c r="BZ42" i="6" s="1"/>
  <c r="BY43" i="6" s="1"/>
  <c r="BZ43" i="6" s="1"/>
  <c r="BY44" i="6" s="1"/>
  <c r="BZ44" i="6" s="1"/>
  <c r="BY45" i="6" s="1"/>
  <c r="BZ45" i="6" s="1"/>
  <c r="BY46" i="6" s="1"/>
  <c r="BZ46" i="6" s="1"/>
  <c r="BY47" i="6" s="1"/>
  <c r="BZ47" i="6" s="1"/>
  <c r="BY48" i="6" s="1"/>
  <c r="BZ48" i="6" s="1"/>
  <c r="BY49" i="6" s="1"/>
  <c r="BZ49" i="6" s="1"/>
  <c r="BY50" i="6" s="1"/>
  <c r="BZ50" i="6" s="1"/>
  <c r="BY51" i="6" s="1"/>
  <c r="BZ51" i="6" s="1"/>
  <c r="BY52" i="6" s="1"/>
  <c r="BZ52" i="6" s="1"/>
  <c r="BY53" i="6" s="1"/>
  <c r="BZ53" i="6" s="1"/>
  <c r="BY54" i="6" s="1"/>
  <c r="BZ54" i="6" s="1"/>
  <c r="BY55" i="6" s="1"/>
  <c r="BZ55" i="6" s="1"/>
  <c r="BY56" i="6" s="1"/>
  <c r="BZ56" i="6" s="1"/>
  <c r="BY57" i="6" s="1"/>
  <c r="BZ57" i="6" s="1"/>
  <c r="BY58" i="6" s="1"/>
  <c r="BZ58" i="6" s="1"/>
  <c r="BY59" i="6" s="1"/>
  <c r="BZ59" i="6" s="1"/>
  <c r="BY60" i="6" s="1"/>
  <c r="BZ60" i="6" s="1"/>
  <c r="BY61" i="6" s="1"/>
  <c r="BZ61" i="6" s="1"/>
  <c r="BY62" i="6" s="1"/>
  <c r="BZ62" i="6" s="1"/>
  <c r="BY63" i="6" s="1"/>
  <c r="BZ63" i="6" s="1"/>
  <c r="BY64" i="6" s="1"/>
  <c r="BZ64" i="6" s="1"/>
  <c r="BY65" i="6" s="1"/>
  <c r="BZ65" i="6" s="1"/>
  <c r="BY66" i="6" s="1"/>
  <c r="BZ66" i="6" s="1"/>
  <c r="BY67" i="6" s="1"/>
  <c r="BZ67" i="6" s="1"/>
  <c r="BY68" i="6" s="1"/>
  <c r="BZ68" i="6" s="1"/>
  <c r="BY69" i="6" s="1"/>
  <c r="BZ69" i="6" s="1"/>
  <c r="BY70" i="6" s="1"/>
  <c r="BZ70" i="6" s="1"/>
  <c r="BY71" i="6" s="1"/>
  <c r="BZ71" i="6" s="1"/>
  <c r="BY72" i="6" s="1"/>
  <c r="BZ72" i="6" s="1"/>
  <c r="BY73" i="6" s="1"/>
  <c r="BZ73" i="6" s="1"/>
  <c r="BY74" i="6" s="1"/>
  <c r="BZ74" i="6" s="1"/>
  <c r="BY75" i="6" s="1"/>
  <c r="BZ75" i="6" s="1"/>
  <c r="BY76" i="6" s="1"/>
  <c r="BZ76" i="6" s="1"/>
  <c r="BY77" i="6" s="1"/>
  <c r="BZ77" i="6" s="1"/>
  <c r="BY78" i="6" s="1"/>
  <c r="BZ78" i="6" s="1"/>
  <c r="BY79" i="6" s="1"/>
  <c r="BZ79" i="6" s="1"/>
  <c r="BY80" i="6" s="1"/>
  <c r="BZ80" i="6" s="1"/>
  <c r="BY81" i="6" s="1"/>
  <c r="BZ81" i="6" s="1"/>
  <c r="BY82" i="6" s="1"/>
  <c r="BZ82" i="6" s="1"/>
  <c r="BY83" i="6" s="1"/>
  <c r="BZ83" i="6" s="1"/>
  <c r="BY84" i="6" s="1"/>
  <c r="BZ84" i="6" s="1"/>
  <c r="BY85" i="6" s="1"/>
  <c r="BZ85" i="6" s="1"/>
  <c r="BY86" i="6" s="1"/>
  <c r="BZ86" i="6" s="1"/>
  <c r="BY87" i="6" s="1"/>
  <c r="BZ87" i="6" s="1"/>
  <c r="BY88" i="6" s="1"/>
  <c r="BZ88" i="6" s="1"/>
  <c r="BY89" i="6" s="1"/>
  <c r="BZ89" i="6" s="1"/>
  <c r="BY90" i="6" s="1"/>
  <c r="BZ90" i="6" s="1"/>
  <c r="BY91" i="6" s="1"/>
  <c r="BZ91" i="6" s="1"/>
  <c r="BY92" i="6" s="1"/>
  <c r="BZ92" i="6" s="1"/>
  <c r="BY93" i="6" s="1"/>
  <c r="BZ93" i="6" s="1"/>
  <c r="BY94" i="6" s="1"/>
  <c r="BZ94" i="6" s="1"/>
  <c r="BY95" i="6" s="1"/>
  <c r="BZ95" i="6" s="1"/>
  <c r="BY96" i="6" s="1"/>
  <c r="BZ96" i="6" s="1"/>
  <c r="BY97" i="6" s="1"/>
  <c r="BZ97" i="6" s="1"/>
  <c r="BY98" i="6" s="1"/>
  <c r="BZ98" i="6" s="1"/>
  <c r="BY99" i="6" s="1"/>
  <c r="BZ99" i="6" s="1"/>
  <c r="BY100" i="6" s="1"/>
  <c r="BZ100" i="6" s="1"/>
  <c r="BY101" i="6" s="1"/>
  <c r="BZ101" i="6" s="1"/>
  <c r="BY102" i="6" s="1"/>
  <c r="BZ102" i="6" s="1"/>
  <c r="BY103" i="6" s="1"/>
  <c r="BZ103" i="6" s="1"/>
  <c r="BB4" i="6"/>
  <c r="BA5" i="6" s="1"/>
  <c r="BB5" i="6" s="1"/>
  <c r="BA6" i="6" s="1"/>
  <c r="BB6" i="6" s="1"/>
  <c r="BA7" i="6" s="1"/>
  <c r="BB7" i="6" s="1"/>
  <c r="BA8" i="6" s="1"/>
  <c r="BB8" i="6" s="1"/>
  <c r="BA9" i="6" s="1"/>
  <c r="BB9" i="6" s="1"/>
  <c r="BA10" i="6" s="1"/>
  <c r="BB10" i="6" s="1"/>
  <c r="BA11" i="6" s="1"/>
  <c r="BB11" i="6" s="1"/>
  <c r="BA12" i="6" s="1"/>
  <c r="BB12" i="6" s="1"/>
  <c r="BA13" i="6" s="1"/>
  <c r="BB13" i="6" s="1"/>
  <c r="BA14" i="6" s="1"/>
  <c r="BB14" i="6" s="1"/>
  <c r="BA15" i="6" s="1"/>
  <c r="BB15" i="6" s="1"/>
  <c r="BA16" i="6" s="1"/>
  <c r="BB16" i="6" s="1"/>
  <c r="BA17" i="6" s="1"/>
  <c r="BB17" i="6" s="1"/>
  <c r="BA18" i="6" s="1"/>
  <c r="BB18" i="6" s="1"/>
  <c r="BA19" i="6" s="1"/>
  <c r="BB19" i="6" s="1"/>
  <c r="BA20" i="6" s="1"/>
  <c r="BB20" i="6" s="1"/>
  <c r="BA21" i="6" s="1"/>
  <c r="BB21" i="6" s="1"/>
  <c r="BA22" i="6" s="1"/>
  <c r="BB22" i="6" s="1"/>
  <c r="BA23" i="6" s="1"/>
  <c r="BB23" i="6" s="1"/>
  <c r="BA24" i="6" s="1"/>
  <c r="BB24" i="6" s="1"/>
  <c r="BA25" i="6" s="1"/>
  <c r="BB25" i="6" s="1"/>
  <c r="BA26" i="6" s="1"/>
  <c r="BB26" i="6" s="1"/>
  <c r="BA27" i="6" s="1"/>
  <c r="BB27" i="6" s="1"/>
  <c r="BA28" i="6" s="1"/>
  <c r="BB28" i="6" s="1"/>
  <c r="BA29" i="6" s="1"/>
  <c r="BB29" i="6" s="1"/>
  <c r="BA30" i="6" s="1"/>
  <c r="BB30" i="6" s="1"/>
  <c r="BA31" i="6" s="1"/>
  <c r="BB31" i="6" s="1"/>
  <c r="BA32" i="6" s="1"/>
  <c r="BB32" i="6" s="1"/>
  <c r="BA33" i="6" s="1"/>
  <c r="BB33" i="6" s="1"/>
  <c r="BA34" i="6" s="1"/>
  <c r="BB34" i="6" s="1"/>
  <c r="BA35" i="6" s="1"/>
  <c r="BB35" i="6" s="1"/>
  <c r="BA36" i="6" s="1"/>
  <c r="BB36" i="6" s="1"/>
  <c r="BA37" i="6" s="1"/>
  <c r="BB37" i="6" s="1"/>
  <c r="BA38" i="6" s="1"/>
  <c r="BB38" i="6" s="1"/>
  <c r="BA39" i="6" s="1"/>
  <c r="BB39" i="6" s="1"/>
  <c r="BA40" i="6" s="1"/>
  <c r="BB40" i="6" s="1"/>
  <c r="BA41" i="6" s="1"/>
  <c r="BB41" i="6" s="1"/>
  <c r="BA42" i="6" s="1"/>
  <c r="BB42" i="6" s="1"/>
  <c r="BA43" i="6" s="1"/>
  <c r="BB43" i="6" s="1"/>
  <c r="BA44" i="6" s="1"/>
  <c r="BB44" i="6" s="1"/>
  <c r="BA45" i="6" s="1"/>
  <c r="BB45" i="6" s="1"/>
  <c r="BA46" i="6" s="1"/>
  <c r="BB46" i="6" s="1"/>
  <c r="BA47" i="6" s="1"/>
  <c r="BB47" i="6" s="1"/>
  <c r="BA48" i="6" s="1"/>
  <c r="BB48" i="6" s="1"/>
  <c r="BA49" i="6" s="1"/>
  <c r="BB49" i="6" s="1"/>
  <c r="BA50" i="6" s="1"/>
  <c r="BB50" i="6" s="1"/>
  <c r="BA51" i="6" s="1"/>
  <c r="BB51" i="6" s="1"/>
  <c r="BA52" i="6" s="1"/>
  <c r="BB52" i="6" s="1"/>
  <c r="BA53" i="6" s="1"/>
  <c r="BB53" i="6" s="1"/>
  <c r="BA54" i="6" s="1"/>
  <c r="BB54" i="6" s="1"/>
  <c r="BA55" i="6" s="1"/>
  <c r="BB55" i="6" s="1"/>
  <c r="BA56" i="6" s="1"/>
  <c r="BB56" i="6" s="1"/>
  <c r="BA57" i="6" s="1"/>
  <c r="BB57" i="6" s="1"/>
  <c r="BA58" i="6" s="1"/>
  <c r="BB58" i="6" s="1"/>
  <c r="BA59" i="6" s="1"/>
  <c r="BB59" i="6" s="1"/>
  <c r="BA60" i="6" s="1"/>
  <c r="BB60" i="6" s="1"/>
  <c r="BA61" i="6" s="1"/>
  <c r="BB61" i="6" s="1"/>
  <c r="BA62" i="6" s="1"/>
  <c r="BB62" i="6" s="1"/>
  <c r="BA63" i="6" s="1"/>
  <c r="BB63" i="6" s="1"/>
  <c r="BA64" i="6" s="1"/>
  <c r="BB64" i="6" s="1"/>
  <c r="BA65" i="6" s="1"/>
  <c r="BB65" i="6" s="1"/>
  <c r="BA66" i="6" s="1"/>
  <c r="BB66" i="6" s="1"/>
  <c r="BA67" i="6" s="1"/>
  <c r="BB67" i="6" s="1"/>
  <c r="BA68" i="6" s="1"/>
  <c r="BB68" i="6" s="1"/>
  <c r="BA69" i="6" s="1"/>
  <c r="BB69" i="6" s="1"/>
  <c r="BA70" i="6" s="1"/>
  <c r="BB70" i="6" s="1"/>
  <c r="BA71" i="6" s="1"/>
  <c r="BB71" i="6" s="1"/>
  <c r="BA72" i="6" s="1"/>
  <c r="BB72" i="6" s="1"/>
  <c r="BA73" i="6" s="1"/>
  <c r="BB73" i="6" s="1"/>
  <c r="BA74" i="6" s="1"/>
  <c r="BB74" i="6" s="1"/>
  <c r="BA75" i="6" s="1"/>
  <c r="BB75" i="6" s="1"/>
  <c r="BA76" i="6" s="1"/>
  <c r="BB76" i="6" s="1"/>
  <c r="BA77" i="6" s="1"/>
  <c r="BB77" i="6" s="1"/>
  <c r="BA78" i="6" s="1"/>
  <c r="BB78" i="6" s="1"/>
  <c r="BA79" i="6" s="1"/>
  <c r="BB79" i="6" s="1"/>
  <c r="BA80" i="6" s="1"/>
  <c r="BB80" i="6" s="1"/>
  <c r="BA81" i="6" s="1"/>
  <c r="BB81" i="6" s="1"/>
  <c r="BA82" i="6" s="1"/>
  <c r="BB82" i="6" s="1"/>
  <c r="BA83" i="6" s="1"/>
  <c r="BB83" i="6" s="1"/>
  <c r="BA84" i="6" s="1"/>
  <c r="BB84" i="6" s="1"/>
  <c r="BA85" i="6" s="1"/>
  <c r="BB85" i="6" s="1"/>
  <c r="BA86" i="6" s="1"/>
  <c r="BB86" i="6" s="1"/>
  <c r="BA87" i="6" s="1"/>
  <c r="BB87" i="6" s="1"/>
  <c r="BA88" i="6" s="1"/>
  <c r="BB88" i="6" s="1"/>
  <c r="BA89" i="6" s="1"/>
  <c r="BB89" i="6" s="1"/>
  <c r="BA90" i="6" s="1"/>
  <c r="BB90" i="6" s="1"/>
  <c r="BA91" i="6" s="1"/>
  <c r="BB91" i="6" s="1"/>
  <c r="BA92" i="6" s="1"/>
  <c r="BB92" i="6" s="1"/>
  <c r="BA93" i="6" s="1"/>
  <c r="BB93" i="6" s="1"/>
  <c r="BA94" i="6" s="1"/>
  <c r="BB94" i="6" s="1"/>
  <c r="BA95" i="6" s="1"/>
  <c r="BB95" i="6" s="1"/>
  <c r="BA96" i="6" s="1"/>
  <c r="BB96" i="6" s="1"/>
  <c r="BA97" i="6" s="1"/>
  <c r="BB97" i="6" s="1"/>
  <c r="BA98" i="6" s="1"/>
  <c r="BB98" i="6" s="1"/>
  <c r="BA99" i="6" s="1"/>
  <c r="BB99" i="6" s="1"/>
  <c r="BA100" i="6" s="1"/>
  <c r="BB100" i="6" s="1"/>
  <c r="BA101" i="6" s="1"/>
  <c r="BB101" i="6" s="1"/>
  <c r="BA102" i="6" s="1"/>
  <c r="BB102" i="6" s="1"/>
  <c r="BA103" i="6" s="1"/>
  <c r="BB103" i="6" s="1"/>
  <c r="B4" i="6"/>
  <c r="I29" i="10" l="1"/>
  <c r="I25" i="10"/>
  <c r="CX9" i="7"/>
  <c r="CY9" i="7" s="1"/>
  <c r="CX10" i="7" s="1"/>
  <c r="CY10" i="7" s="1"/>
  <c r="CX11" i="7" s="1"/>
  <c r="CP9" i="7"/>
  <c r="CO10" i="7" s="1"/>
  <c r="CM8" i="7"/>
  <c r="CL9" i="7" s="1"/>
  <c r="CJ7" i="7"/>
  <c r="CI8" i="7" s="1"/>
  <c r="CG9" i="7"/>
  <c r="CF10" i="7" s="1"/>
  <c r="CC10" i="7"/>
  <c r="CD10" i="7" s="1"/>
  <c r="CA8" i="7"/>
  <c r="BZ9" i="7" s="1"/>
  <c r="BX9" i="7"/>
  <c r="BW10" i="7" s="1"/>
  <c r="BT8" i="7"/>
  <c r="BU8" i="7" s="1"/>
  <c r="BR8" i="7"/>
  <c r="BQ9" i="7" s="1"/>
  <c r="BN10" i="7"/>
  <c r="BO10" i="7" s="1"/>
  <c r="BK10" i="7"/>
  <c r="BL10" i="7" s="1"/>
  <c r="BH9" i="7"/>
  <c r="BI9" i="7" s="1"/>
  <c r="BB10" i="7"/>
  <c r="BC10" i="7" s="1"/>
  <c r="AZ9" i="7"/>
  <c r="AY10" i="7" s="1"/>
  <c r="BF8" i="7"/>
  <c r="BE9" i="7" s="1"/>
  <c r="CS8" i="7"/>
  <c r="CR9" i="7" s="1"/>
  <c r="CS9" i="7" s="1"/>
  <c r="GN9" i="7"/>
  <c r="GM10" i="7" s="1"/>
  <c r="GK9" i="7"/>
  <c r="GJ10" i="7" s="1"/>
  <c r="GG9" i="7"/>
  <c r="GH9" i="7" s="1"/>
  <c r="GE10" i="7"/>
  <c r="GD11" i="7" s="1"/>
  <c r="GB10" i="7"/>
  <c r="GA11" i="7" s="1"/>
  <c r="FX10" i="7"/>
  <c r="FY10" i="7" s="1"/>
  <c r="FV11" i="7"/>
  <c r="FU12" i="7" s="1"/>
  <c r="FR10" i="7"/>
  <c r="FS10" i="7" s="1"/>
  <c r="FO9" i="7"/>
  <c r="FP9" i="7" s="1"/>
  <c r="FL9" i="7"/>
  <c r="FM9" i="7" s="1"/>
  <c r="FJ10" i="7"/>
  <c r="FI11" i="7" s="1"/>
  <c r="FF9" i="7"/>
  <c r="FG9" i="7" s="1"/>
  <c r="FD9" i="7"/>
  <c r="FC10" i="7" s="1"/>
  <c r="FA10" i="7"/>
  <c r="EZ11" i="7" s="1"/>
  <c r="EX9" i="7"/>
  <c r="EW10" i="7" s="1"/>
  <c r="EU10" i="7"/>
  <c r="ET11" i="7" s="1"/>
  <c r="ER8" i="7"/>
  <c r="EQ9" i="7" s="1"/>
  <c r="EO9" i="7"/>
  <c r="EN10" i="7" s="1"/>
  <c r="EL9" i="7"/>
  <c r="EK10" i="7" s="1"/>
  <c r="EI10" i="7"/>
  <c r="EH11" i="7" s="1"/>
  <c r="EF9" i="7"/>
  <c r="EE10" i="7" s="1"/>
  <c r="EC10" i="7"/>
  <c r="EB11" i="7" s="1"/>
  <c r="DY10" i="7"/>
  <c r="DZ10" i="7" s="1"/>
  <c r="DT10" i="7"/>
  <c r="DS11" i="7" s="1"/>
  <c r="DQ9" i="7"/>
  <c r="DP10" i="7" s="1"/>
  <c r="DN10" i="7"/>
  <c r="DM11" i="7" s="1"/>
  <c r="DH9" i="7"/>
  <c r="DG10" i="7" s="1"/>
  <c r="C8" i="7"/>
  <c r="D8" i="7" s="1"/>
  <c r="E5" i="6"/>
  <c r="F5" i="6" s="1"/>
  <c r="E6" i="6" s="1"/>
  <c r="F6" i="6" s="1"/>
  <c r="E7" i="6" s="1"/>
  <c r="F7" i="6" s="1"/>
  <c r="E8" i="6" s="1"/>
  <c r="F8" i="6" s="1"/>
  <c r="E9" i="6" s="1"/>
  <c r="F9" i="6" s="1"/>
  <c r="E10" i="6" s="1"/>
  <c r="F10" i="6" s="1"/>
  <c r="E11" i="6" s="1"/>
  <c r="F11" i="6" s="1"/>
  <c r="E12" i="6" s="1"/>
  <c r="F12" i="6" s="1"/>
  <c r="E13" i="6" s="1"/>
  <c r="F13" i="6" s="1"/>
  <c r="C4" i="6"/>
  <c r="B5" i="6" s="1"/>
  <c r="C5" i="6" s="1"/>
  <c r="B6" i="6" s="1"/>
  <c r="C6" i="6" s="1"/>
  <c r="B7" i="6" s="1"/>
  <c r="C7" i="6" s="1"/>
  <c r="B8" i="6" s="1"/>
  <c r="C8" i="6" s="1"/>
  <c r="B9" i="6" s="1"/>
  <c r="C9" i="6" s="1"/>
  <c r="B10" i="6" s="1"/>
  <c r="C10" i="6" s="1"/>
  <c r="B11" i="6" s="1"/>
  <c r="C11" i="6" s="1"/>
  <c r="B12" i="6" s="1"/>
  <c r="C12" i="6" s="1"/>
  <c r="B13" i="6" s="1"/>
  <c r="C13" i="6" s="1"/>
  <c r="B14" i="6" s="1"/>
  <c r="C14" i="6" s="1"/>
  <c r="B15" i="6" s="1"/>
  <c r="C15" i="6" s="1"/>
  <c r="B16" i="6" s="1"/>
  <c r="C16" i="6" s="1"/>
  <c r="B17" i="6" s="1"/>
  <c r="C17" i="6" s="1"/>
  <c r="B18" i="6" s="1"/>
  <c r="C18" i="6" s="1"/>
  <c r="O13" i="7"/>
  <c r="P13" i="7" s="1"/>
  <c r="CI4" i="6"/>
  <c r="CH5" i="6" s="1"/>
  <c r="CI5" i="6" s="1"/>
  <c r="CH6" i="6" s="1"/>
  <c r="CI6" i="6" s="1"/>
  <c r="CH7" i="6" s="1"/>
  <c r="CI7" i="6" s="1"/>
  <c r="CH8" i="6" s="1"/>
  <c r="CI8" i="6" s="1"/>
  <c r="CH9" i="6" s="1"/>
  <c r="CI9" i="6" s="1"/>
  <c r="CH10" i="6" s="1"/>
  <c r="CI10" i="6" s="1"/>
  <c r="CH11" i="6" s="1"/>
  <c r="CI11" i="6" s="1"/>
  <c r="CH12" i="6" s="1"/>
  <c r="CI12" i="6" s="1"/>
  <c r="CH13" i="6" s="1"/>
  <c r="CI13" i="6" s="1"/>
  <c r="CH14" i="6" s="1"/>
  <c r="CI14" i="6" s="1"/>
  <c r="CH15" i="6" s="1"/>
  <c r="CI15" i="6" s="1"/>
  <c r="CH16" i="6" s="1"/>
  <c r="CI16" i="6" s="1"/>
  <c r="CH17" i="6" s="1"/>
  <c r="CI17" i="6" s="1"/>
  <c r="CH18" i="6" s="1"/>
  <c r="CI18" i="6" s="1"/>
  <c r="CH19" i="6" s="1"/>
  <c r="CI19" i="6" s="1"/>
  <c r="CH20" i="6" s="1"/>
  <c r="CI20" i="6" s="1"/>
  <c r="CH21" i="6" s="1"/>
  <c r="CI21" i="6" s="1"/>
  <c r="CH22" i="6" s="1"/>
  <c r="CI22" i="6" s="1"/>
  <c r="CH23" i="6" s="1"/>
  <c r="CI23" i="6" s="1"/>
  <c r="CH24" i="6" s="1"/>
  <c r="CI24" i="6" s="1"/>
  <c r="CH25" i="6" s="1"/>
  <c r="CI25" i="6" s="1"/>
  <c r="CH26" i="6" s="1"/>
  <c r="CI26" i="6" s="1"/>
  <c r="CH27" i="6" s="1"/>
  <c r="CI27" i="6" s="1"/>
  <c r="CH28" i="6" s="1"/>
  <c r="CI28" i="6" s="1"/>
  <c r="CH29" i="6" s="1"/>
  <c r="CI29" i="6" s="1"/>
  <c r="CH30" i="6" s="1"/>
  <c r="CI30" i="6" s="1"/>
  <c r="CH31" i="6" s="1"/>
  <c r="CI31" i="6" s="1"/>
  <c r="CH32" i="6" s="1"/>
  <c r="CI32" i="6" s="1"/>
  <c r="CH33" i="6" s="1"/>
  <c r="CI33" i="6" s="1"/>
  <c r="CH34" i="6" s="1"/>
  <c r="CI34" i="6" s="1"/>
  <c r="CH35" i="6" s="1"/>
  <c r="CI35" i="6" s="1"/>
  <c r="CH36" i="6" s="1"/>
  <c r="CI36" i="6" s="1"/>
  <c r="CH37" i="6" s="1"/>
  <c r="CI37" i="6" s="1"/>
  <c r="CH38" i="6" s="1"/>
  <c r="CI38" i="6" s="1"/>
  <c r="CH39" i="6" s="1"/>
  <c r="CI39" i="6" s="1"/>
  <c r="CH40" i="6" s="1"/>
  <c r="CI40" i="6" s="1"/>
  <c r="CH41" i="6" s="1"/>
  <c r="CI41" i="6" s="1"/>
  <c r="CH42" i="6" s="1"/>
  <c r="CI42" i="6" s="1"/>
  <c r="CH43" i="6" s="1"/>
  <c r="CI43" i="6" s="1"/>
  <c r="CH44" i="6" s="1"/>
  <c r="CI44" i="6" s="1"/>
  <c r="CH45" i="6" s="1"/>
  <c r="CI45" i="6" s="1"/>
  <c r="CH46" i="6" s="1"/>
  <c r="CI46" i="6" s="1"/>
  <c r="CH47" i="6" s="1"/>
  <c r="CI47" i="6" s="1"/>
  <c r="CH48" i="6" s="1"/>
  <c r="CI48" i="6" s="1"/>
  <c r="CH49" i="6" s="1"/>
  <c r="CI49" i="6" s="1"/>
  <c r="CH50" i="6" s="1"/>
  <c r="CI50" i="6" s="1"/>
  <c r="CH51" i="6" s="1"/>
  <c r="CI51" i="6" s="1"/>
  <c r="CH52" i="6" s="1"/>
  <c r="CI52" i="6" s="1"/>
  <c r="CH53" i="6" s="1"/>
  <c r="CI53" i="6" s="1"/>
  <c r="CH54" i="6" s="1"/>
  <c r="CI54" i="6" s="1"/>
  <c r="CH55" i="6" s="1"/>
  <c r="CI55" i="6" s="1"/>
  <c r="CH56" i="6" s="1"/>
  <c r="CI56" i="6" s="1"/>
  <c r="CH57" i="6" s="1"/>
  <c r="CI57" i="6" s="1"/>
  <c r="CH58" i="6" s="1"/>
  <c r="CI58" i="6" s="1"/>
  <c r="CH59" i="6" s="1"/>
  <c r="CI59" i="6" s="1"/>
  <c r="CH60" i="6" s="1"/>
  <c r="CI60" i="6" s="1"/>
  <c r="CH61" i="6" s="1"/>
  <c r="CI61" i="6" s="1"/>
  <c r="CH62" i="6" s="1"/>
  <c r="CI62" i="6" s="1"/>
  <c r="CH63" i="6" s="1"/>
  <c r="CI63" i="6" s="1"/>
  <c r="CH64" i="6" s="1"/>
  <c r="CI64" i="6" s="1"/>
  <c r="CH65" i="6" s="1"/>
  <c r="CI65" i="6" s="1"/>
  <c r="CH66" i="6" s="1"/>
  <c r="CI66" i="6" s="1"/>
  <c r="CH67" i="6" s="1"/>
  <c r="CI67" i="6" s="1"/>
  <c r="CH68" i="6" s="1"/>
  <c r="CI68" i="6" s="1"/>
  <c r="CH69" i="6" s="1"/>
  <c r="CI69" i="6" s="1"/>
  <c r="CH70" i="6" s="1"/>
  <c r="CI70" i="6" s="1"/>
  <c r="CH71" i="6" s="1"/>
  <c r="CI71" i="6" s="1"/>
  <c r="CH72" i="6" s="1"/>
  <c r="CI72" i="6" s="1"/>
  <c r="CH73" i="6" s="1"/>
  <c r="CI73" i="6" s="1"/>
  <c r="CH74" i="6" s="1"/>
  <c r="CI74" i="6" s="1"/>
  <c r="CH75" i="6" s="1"/>
  <c r="CI75" i="6" s="1"/>
  <c r="CH76" i="6" s="1"/>
  <c r="CI76" i="6" s="1"/>
  <c r="CH77" i="6" s="1"/>
  <c r="CI77" i="6" s="1"/>
  <c r="CH78" i="6" s="1"/>
  <c r="CI78" i="6" s="1"/>
  <c r="CH79" i="6" s="1"/>
  <c r="CI79" i="6" s="1"/>
  <c r="CH80" i="6" s="1"/>
  <c r="CI80" i="6" s="1"/>
  <c r="CH81" i="6" s="1"/>
  <c r="CI81" i="6" s="1"/>
  <c r="CH82" i="6" s="1"/>
  <c r="CI82" i="6" s="1"/>
  <c r="CH83" i="6" s="1"/>
  <c r="CI83" i="6" s="1"/>
  <c r="CH84" i="6" s="1"/>
  <c r="CI84" i="6" s="1"/>
  <c r="CH85" i="6" s="1"/>
  <c r="CI85" i="6" s="1"/>
  <c r="CH86" i="6" s="1"/>
  <c r="CI86" i="6" s="1"/>
  <c r="CH87" i="6" s="1"/>
  <c r="CI87" i="6" s="1"/>
  <c r="CH88" i="6" s="1"/>
  <c r="CI88" i="6" s="1"/>
  <c r="CH89" i="6" s="1"/>
  <c r="CI89" i="6" s="1"/>
  <c r="CH90" i="6" s="1"/>
  <c r="CI90" i="6" s="1"/>
  <c r="CH91" i="6" s="1"/>
  <c r="CI91" i="6" s="1"/>
  <c r="CH92" i="6" s="1"/>
  <c r="CI92" i="6" s="1"/>
  <c r="CH93" i="6" s="1"/>
  <c r="CI93" i="6" s="1"/>
  <c r="CH94" i="6" s="1"/>
  <c r="CI94" i="6" s="1"/>
  <c r="CH95" i="6" s="1"/>
  <c r="CI95" i="6" s="1"/>
  <c r="CH96" i="6" s="1"/>
  <c r="CI96" i="6" s="1"/>
  <c r="CH97" i="6" s="1"/>
  <c r="CI97" i="6" s="1"/>
  <c r="CH98" i="6" s="1"/>
  <c r="CI98" i="6" s="1"/>
  <c r="CH99" i="6" s="1"/>
  <c r="CI99" i="6" s="1"/>
  <c r="CH100" i="6" s="1"/>
  <c r="CI100" i="6" s="1"/>
  <c r="CH101" i="6" s="1"/>
  <c r="CI101" i="6" s="1"/>
  <c r="CH102" i="6" s="1"/>
  <c r="CI102" i="6" s="1"/>
  <c r="CH103" i="6" s="1"/>
  <c r="CI103" i="6" s="1"/>
  <c r="CF4" i="6"/>
  <c r="CE5" i="6" s="1"/>
  <c r="CF5" i="6" s="1"/>
  <c r="CE6" i="6" s="1"/>
  <c r="CF6" i="6" s="1"/>
  <c r="CE7" i="6" s="1"/>
  <c r="CF7" i="6" s="1"/>
  <c r="CE8" i="6" s="1"/>
  <c r="CF8" i="6" s="1"/>
  <c r="CE9" i="6" s="1"/>
  <c r="CF9" i="6" s="1"/>
  <c r="CE10" i="6" s="1"/>
  <c r="CF10" i="6" s="1"/>
  <c r="CE11" i="6" s="1"/>
  <c r="CF11" i="6" s="1"/>
  <c r="CE12" i="6" s="1"/>
  <c r="CF12" i="6" s="1"/>
  <c r="CE13" i="6" s="1"/>
  <c r="CF13" i="6" s="1"/>
  <c r="CE14" i="6" s="1"/>
  <c r="CF14" i="6" s="1"/>
  <c r="CE15" i="6" s="1"/>
  <c r="CF15" i="6" s="1"/>
  <c r="CE16" i="6" s="1"/>
  <c r="CF16" i="6" s="1"/>
  <c r="CE17" i="6" s="1"/>
  <c r="CF17" i="6" s="1"/>
  <c r="CE18" i="6" s="1"/>
  <c r="CF18" i="6" s="1"/>
  <c r="CE19" i="6" s="1"/>
  <c r="CF19" i="6" s="1"/>
  <c r="CE20" i="6" s="1"/>
  <c r="CF20" i="6" s="1"/>
  <c r="CE21" i="6" s="1"/>
  <c r="CF21" i="6" s="1"/>
  <c r="CE22" i="6" s="1"/>
  <c r="CF22" i="6" s="1"/>
  <c r="CE23" i="6" s="1"/>
  <c r="CF23" i="6" s="1"/>
  <c r="CE24" i="6" s="1"/>
  <c r="CF24" i="6" s="1"/>
  <c r="CE25" i="6" s="1"/>
  <c r="CF25" i="6" s="1"/>
  <c r="CE26" i="6" s="1"/>
  <c r="CF26" i="6" s="1"/>
  <c r="CE27" i="6" s="1"/>
  <c r="CF27" i="6" s="1"/>
  <c r="CE28" i="6" s="1"/>
  <c r="CF28" i="6" s="1"/>
  <c r="CE29" i="6" s="1"/>
  <c r="CF29" i="6" s="1"/>
  <c r="CE30" i="6" s="1"/>
  <c r="CF30" i="6" s="1"/>
  <c r="CE31" i="6" s="1"/>
  <c r="CF31" i="6" s="1"/>
  <c r="CE32" i="6" s="1"/>
  <c r="CF32" i="6" s="1"/>
  <c r="CE33" i="6" s="1"/>
  <c r="CF33" i="6" s="1"/>
  <c r="CE34" i="6" s="1"/>
  <c r="CF34" i="6" s="1"/>
  <c r="CE35" i="6" s="1"/>
  <c r="CF35" i="6" s="1"/>
  <c r="CE36" i="6" s="1"/>
  <c r="CF36" i="6" s="1"/>
  <c r="CE37" i="6" s="1"/>
  <c r="CF37" i="6" s="1"/>
  <c r="CE38" i="6" s="1"/>
  <c r="CF38" i="6" s="1"/>
  <c r="CE39" i="6" s="1"/>
  <c r="CF39" i="6" s="1"/>
  <c r="CE40" i="6" s="1"/>
  <c r="CF40" i="6" s="1"/>
  <c r="CE41" i="6" s="1"/>
  <c r="CF41" i="6" s="1"/>
  <c r="CE42" i="6" s="1"/>
  <c r="CF42" i="6" s="1"/>
  <c r="CE43" i="6" s="1"/>
  <c r="CF43" i="6" s="1"/>
  <c r="CE44" i="6" s="1"/>
  <c r="CF44" i="6" s="1"/>
  <c r="CE45" i="6" s="1"/>
  <c r="CF45" i="6" s="1"/>
  <c r="CE46" i="6" s="1"/>
  <c r="CF46" i="6" s="1"/>
  <c r="CE47" i="6" s="1"/>
  <c r="CF47" i="6" s="1"/>
  <c r="CE48" i="6" s="1"/>
  <c r="CF48" i="6" s="1"/>
  <c r="CE49" i="6" s="1"/>
  <c r="CF49" i="6" s="1"/>
  <c r="CE50" i="6" s="1"/>
  <c r="CF50" i="6" s="1"/>
  <c r="CE51" i="6" s="1"/>
  <c r="CF51" i="6" s="1"/>
  <c r="CE52" i="6" s="1"/>
  <c r="CF52" i="6" s="1"/>
  <c r="CE53" i="6" s="1"/>
  <c r="CF53" i="6" s="1"/>
  <c r="CE54" i="6" s="1"/>
  <c r="CF54" i="6" s="1"/>
  <c r="CE55" i="6" s="1"/>
  <c r="CF55" i="6" s="1"/>
  <c r="CE56" i="6" s="1"/>
  <c r="CF56" i="6" s="1"/>
  <c r="CE57" i="6" s="1"/>
  <c r="CF57" i="6" s="1"/>
  <c r="CE58" i="6" s="1"/>
  <c r="CF58" i="6" s="1"/>
  <c r="CE59" i="6" s="1"/>
  <c r="CF59" i="6" s="1"/>
  <c r="CE60" i="6" s="1"/>
  <c r="CF60" i="6" s="1"/>
  <c r="CE61" i="6" s="1"/>
  <c r="CF61" i="6" s="1"/>
  <c r="CE62" i="6" s="1"/>
  <c r="CF62" i="6" s="1"/>
  <c r="CE63" i="6" s="1"/>
  <c r="CF63" i="6" s="1"/>
  <c r="CE64" i="6" s="1"/>
  <c r="CF64" i="6" s="1"/>
  <c r="CE65" i="6" s="1"/>
  <c r="CF65" i="6" s="1"/>
  <c r="CE66" i="6" s="1"/>
  <c r="CF66" i="6" s="1"/>
  <c r="CE67" i="6" s="1"/>
  <c r="CF67" i="6" s="1"/>
  <c r="CE68" i="6" s="1"/>
  <c r="CF68" i="6" s="1"/>
  <c r="CE69" i="6" s="1"/>
  <c r="CF69" i="6" s="1"/>
  <c r="CE70" i="6" s="1"/>
  <c r="CF70" i="6" s="1"/>
  <c r="CE71" i="6" s="1"/>
  <c r="CF71" i="6" s="1"/>
  <c r="CE72" i="6" s="1"/>
  <c r="CF72" i="6" s="1"/>
  <c r="CE73" i="6" s="1"/>
  <c r="CF73" i="6" s="1"/>
  <c r="CE74" i="6" s="1"/>
  <c r="CF74" i="6" s="1"/>
  <c r="CE75" i="6" s="1"/>
  <c r="CF75" i="6" s="1"/>
  <c r="CE76" i="6" s="1"/>
  <c r="CF76" i="6" s="1"/>
  <c r="CE77" i="6" s="1"/>
  <c r="CF77" i="6" s="1"/>
  <c r="CE78" i="6" s="1"/>
  <c r="CF78" i="6" s="1"/>
  <c r="CE79" i="6" s="1"/>
  <c r="CF79" i="6" s="1"/>
  <c r="CE80" i="6" s="1"/>
  <c r="CF80" i="6" s="1"/>
  <c r="CE81" i="6" s="1"/>
  <c r="CF81" i="6" s="1"/>
  <c r="CE82" i="6" s="1"/>
  <c r="CF82" i="6" s="1"/>
  <c r="CE83" i="6" s="1"/>
  <c r="CF83" i="6" s="1"/>
  <c r="CE84" i="6" s="1"/>
  <c r="CF84" i="6" s="1"/>
  <c r="CE85" i="6" s="1"/>
  <c r="CF85" i="6" s="1"/>
  <c r="CE86" i="6" s="1"/>
  <c r="CF86" i="6" s="1"/>
  <c r="CE87" i="6" s="1"/>
  <c r="CF87" i="6" s="1"/>
  <c r="CE88" i="6" s="1"/>
  <c r="CF88" i="6" s="1"/>
  <c r="CE89" i="6" s="1"/>
  <c r="CF89" i="6" s="1"/>
  <c r="CE90" i="6" s="1"/>
  <c r="CF90" i="6" s="1"/>
  <c r="CE91" i="6" s="1"/>
  <c r="CF91" i="6" s="1"/>
  <c r="CE92" i="6" s="1"/>
  <c r="CF92" i="6" s="1"/>
  <c r="CE93" i="6" s="1"/>
  <c r="CF93" i="6" s="1"/>
  <c r="CE94" i="6" s="1"/>
  <c r="CF94" i="6" s="1"/>
  <c r="CE95" i="6" s="1"/>
  <c r="CF95" i="6" s="1"/>
  <c r="CE96" i="6" s="1"/>
  <c r="CF96" i="6" s="1"/>
  <c r="CE97" i="6" s="1"/>
  <c r="CF97" i="6" s="1"/>
  <c r="CE98" i="6" s="1"/>
  <c r="CF98" i="6" s="1"/>
  <c r="CE99" i="6" s="1"/>
  <c r="CF99" i="6" s="1"/>
  <c r="CE100" i="6" s="1"/>
  <c r="CF100" i="6" s="1"/>
  <c r="CE101" i="6" s="1"/>
  <c r="CF101" i="6" s="1"/>
  <c r="CE102" i="6" s="1"/>
  <c r="CF102" i="6" s="1"/>
  <c r="CE103" i="6" s="1"/>
  <c r="CF103" i="6" s="1"/>
  <c r="X4" i="6"/>
  <c r="W5" i="6" s="1"/>
  <c r="X5" i="6" s="1"/>
  <c r="W6" i="6" s="1"/>
  <c r="X6" i="6" s="1"/>
  <c r="W7" i="6" s="1"/>
  <c r="X7" i="6" s="1"/>
  <c r="W8" i="6" s="1"/>
  <c r="X8" i="6" s="1"/>
  <c r="W9" i="6" s="1"/>
  <c r="X9" i="6" s="1"/>
  <c r="W10" i="6" s="1"/>
  <c r="X10" i="6" s="1"/>
  <c r="W11" i="6" s="1"/>
  <c r="X11" i="6" s="1"/>
  <c r="W12" i="6" s="1"/>
  <c r="X12" i="6" s="1"/>
  <c r="W13" i="6" s="1"/>
  <c r="X13" i="6" s="1"/>
  <c r="W14" i="6" s="1"/>
  <c r="X14" i="6" s="1"/>
  <c r="W15" i="6" s="1"/>
  <c r="X15" i="6" s="1"/>
  <c r="W16" i="6" s="1"/>
  <c r="X16" i="6" s="1"/>
  <c r="W17" i="6" s="1"/>
  <c r="X17" i="6" s="1"/>
  <c r="W18" i="6" s="1"/>
  <c r="X18" i="6" s="1"/>
  <c r="W19" i="6" s="1"/>
  <c r="X19" i="6" s="1"/>
  <c r="W20" i="6" s="1"/>
  <c r="X20" i="6" s="1"/>
  <c r="W21" i="6" s="1"/>
  <c r="X21" i="6" s="1"/>
  <c r="W22" i="6" s="1"/>
  <c r="X22" i="6" s="1"/>
  <c r="W23" i="6" s="1"/>
  <c r="X23" i="6" s="1"/>
  <c r="W24" i="6" s="1"/>
  <c r="X24" i="6" s="1"/>
  <c r="W25" i="6" s="1"/>
  <c r="X25" i="6" s="1"/>
  <c r="W26" i="6" s="1"/>
  <c r="X26" i="6" s="1"/>
  <c r="W27" i="6" s="1"/>
  <c r="X27" i="6" s="1"/>
  <c r="W28" i="6" s="1"/>
  <c r="X28" i="6" s="1"/>
  <c r="W29" i="6" s="1"/>
  <c r="X29" i="6" s="1"/>
  <c r="W30" i="6" s="1"/>
  <c r="X30" i="6" s="1"/>
  <c r="W31" i="6" s="1"/>
  <c r="X31" i="6" s="1"/>
  <c r="W32" i="6" s="1"/>
  <c r="X32" i="6" s="1"/>
  <c r="W33" i="6" s="1"/>
  <c r="X33" i="6" s="1"/>
  <c r="W34" i="6" s="1"/>
  <c r="X34" i="6" s="1"/>
  <c r="W35" i="6" s="1"/>
  <c r="X35" i="6" s="1"/>
  <c r="W36" i="6" s="1"/>
  <c r="X36" i="6" s="1"/>
  <c r="W37" i="6" s="1"/>
  <c r="X37" i="6" s="1"/>
  <c r="W38" i="6" s="1"/>
  <c r="X38" i="6" s="1"/>
  <c r="W39" i="6" s="1"/>
  <c r="X39" i="6" s="1"/>
  <c r="W40" i="6" s="1"/>
  <c r="X40" i="6" s="1"/>
  <c r="W41" i="6" s="1"/>
  <c r="X41" i="6" s="1"/>
  <c r="W42" i="6" s="1"/>
  <c r="X42" i="6" s="1"/>
  <c r="W43" i="6" s="1"/>
  <c r="X43" i="6" s="1"/>
  <c r="W44" i="6" s="1"/>
  <c r="X44" i="6" s="1"/>
  <c r="W45" i="6" s="1"/>
  <c r="X45" i="6" s="1"/>
  <c r="W46" i="6" s="1"/>
  <c r="X46" i="6" s="1"/>
  <c r="W47" i="6" s="1"/>
  <c r="X47" i="6" s="1"/>
  <c r="W48" i="6" s="1"/>
  <c r="X48" i="6" s="1"/>
  <c r="W49" i="6" s="1"/>
  <c r="X49" i="6" s="1"/>
  <c r="W50" i="6" s="1"/>
  <c r="X50" i="6" s="1"/>
  <c r="W51" i="6" s="1"/>
  <c r="X51" i="6" s="1"/>
  <c r="W52" i="6" s="1"/>
  <c r="X52" i="6" s="1"/>
  <c r="W53" i="6" s="1"/>
  <c r="X53" i="6" s="1"/>
  <c r="W54" i="6" s="1"/>
  <c r="X54" i="6" s="1"/>
  <c r="W55" i="6" s="1"/>
  <c r="X55" i="6" s="1"/>
  <c r="W56" i="6" s="1"/>
  <c r="X56" i="6" s="1"/>
  <c r="W57" i="6" s="1"/>
  <c r="X57" i="6" s="1"/>
  <c r="W58" i="6" s="1"/>
  <c r="X58" i="6" s="1"/>
  <c r="W59" i="6" s="1"/>
  <c r="X59" i="6" s="1"/>
  <c r="W60" i="6" s="1"/>
  <c r="X60" i="6" s="1"/>
  <c r="W61" i="6" s="1"/>
  <c r="X61" i="6" s="1"/>
  <c r="W62" i="6" s="1"/>
  <c r="X62" i="6" s="1"/>
  <c r="W63" i="6" s="1"/>
  <c r="X63" i="6" s="1"/>
  <c r="W64" i="6" s="1"/>
  <c r="X64" i="6" s="1"/>
  <c r="W65" i="6" s="1"/>
  <c r="X65" i="6" s="1"/>
  <c r="W66" i="6" s="1"/>
  <c r="X66" i="6" s="1"/>
  <c r="W67" i="6" s="1"/>
  <c r="X67" i="6" s="1"/>
  <c r="W68" i="6" s="1"/>
  <c r="X68" i="6" s="1"/>
  <c r="W69" i="6" s="1"/>
  <c r="X69" i="6" s="1"/>
  <c r="W70" i="6" s="1"/>
  <c r="X70" i="6" s="1"/>
  <c r="W71" i="6" s="1"/>
  <c r="X71" i="6" s="1"/>
  <c r="W72" i="6" s="1"/>
  <c r="X72" i="6" s="1"/>
  <c r="W73" i="6" s="1"/>
  <c r="X73" i="6" s="1"/>
  <c r="W74" i="6" s="1"/>
  <c r="X74" i="6" s="1"/>
  <c r="W75" i="6" s="1"/>
  <c r="X75" i="6" s="1"/>
  <c r="W76" i="6" s="1"/>
  <c r="X76" i="6" s="1"/>
  <c r="W77" i="6" s="1"/>
  <c r="X77" i="6" s="1"/>
  <c r="W78" i="6" s="1"/>
  <c r="X78" i="6" s="1"/>
  <c r="W79" i="6" s="1"/>
  <c r="X79" i="6" s="1"/>
  <c r="W80" i="6" s="1"/>
  <c r="X80" i="6" s="1"/>
  <c r="W81" i="6" s="1"/>
  <c r="X81" i="6" s="1"/>
  <c r="W82" i="6" s="1"/>
  <c r="X82" i="6" s="1"/>
  <c r="W83" i="6" s="1"/>
  <c r="X83" i="6" s="1"/>
  <c r="W84" i="6" s="1"/>
  <c r="X84" i="6" s="1"/>
  <c r="W85" i="6" s="1"/>
  <c r="X85" i="6" s="1"/>
  <c r="W86" i="6" s="1"/>
  <c r="X86" i="6" s="1"/>
  <c r="W87" i="6" s="1"/>
  <c r="X87" i="6" s="1"/>
  <c r="W88" i="6" s="1"/>
  <c r="X88" i="6" s="1"/>
  <c r="W89" i="6" s="1"/>
  <c r="X89" i="6" s="1"/>
  <c r="W90" i="6" s="1"/>
  <c r="X90" i="6" s="1"/>
  <c r="W91" i="6" s="1"/>
  <c r="X91" i="6" s="1"/>
  <c r="W92" i="6" s="1"/>
  <c r="X92" i="6" s="1"/>
  <c r="W93" i="6" s="1"/>
  <c r="X93" i="6" s="1"/>
  <c r="W94" i="6" s="1"/>
  <c r="X94" i="6" s="1"/>
  <c r="W95" i="6" s="1"/>
  <c r="X95" i="6" s="1"/>
  <c r="W96" i="6" s="1"/>
  <c r="X96" i="6" s="1"/>
  <c r="W97" i="6" s="1"/>
  <c r="X97" i="6" s="1"/>
  <c r="W98" i="6" s="1"/>
  <c r="X98" i="6" s="1"/>
  <c r="W99" i="6" s="1"/>
  <c r="X99" i="6" s="1"/>
  <c r="W100" i="6" s="1"/>
  <c r="X100" i="6" s="1"/>
  <c r="W101" i="6" s="1"/>
  <c r="X101" i="6" s="1"/>
  <c r="W102" i="6" s="1"/>
  <c r="X102" i="6" s="1"/>
  <c r="W103" i="6" s="1"/>
  <c r="X103" i="6" s="1"/>
  <c r="BE4" i="6"/>
  <c r="BD5" i="6" s="1"/>
  <c r="BE5" i="6" s="1"/>
  <c r="BD6" i="6" s="1"/>
  <c r="BE6" i="6" s="1"/>
  <c r="BD7" i="6" s="1"/>
  <c r="BE7" i="6" s="1"/>
  <c r="BD8" i="6" s="1"/>
  <c r="BE8" i="6" s="1"/>
  <c r="BD9" i="6" s="1"/>
  <c r="BE9" i="6" s="1"/>
  <c r="BD10" i="6" s="1"/>
  <c r="BE10" i="6" s="1"/>
  <c r="BD11" i="6" s="1"/>
  <c r="BE11" i="6" s="1"/>
  <c r="BD12" i="6" s="1"/>
  <c r="BE12" i="6" s="1"/>
  <c r="BD13" i="6" s="1"/>
  <c r="BE13" i="6" s="1"/>
  <c r="BD14" i="6" s="1"/>
  <c r="BE14" i="6" s="1"/>
  <c r="BD15" i="6" s="1"/>
  <c r="BE15" i="6" s="1"/>
  <c r="BD16" i="6" s="1"/>
  <c r="BE16" i="6" s="1"/>
  <c r="BD17" i="6" s="1"/>
  <c r="BE17" i="6" s="1"/>
  <c r="BD18" i="6" s="1"/>
  <c r="BE18" i="6" s="1"/>
  <c r="BD19" i="6" s="1"/>
  <c r="BE19" i="6" s="1"/>
  <c r="BD20" i="6" s="1"/>
  <c r="BE20" i="6" s="1"/>
  <c r="BD21" i="6" s="1"/>
  <c r="BE21" i="6" s="1"/>
  <c r="BD22" i="6" s="1"/>
  <c r="BE22" i="6" s="1"/>
  <c r="BD23" i="6" s="1"/>
  <c r="BE23" i="6" s="1"/>
  <c r="BD24" i="6" s="1"/>
  <c r="BE24" i="6" s="1"/>
  <c r="BD25" i="6" s="1"/>
  <c r="BE25" i="6" s="1"/>
  <c r="BD26" i="6" s="1"/>
  <c r="BE26" i="6" s="1"/>
  <c r="BD27" i="6" s="1"/>
  <c r="BE27" i="6" s="1"/>
  <c r="BD28" i="6" s="1"/>
  <c r="BE28" i="6" s="1"/>
  <c r="BD29" i="6" s="1"/>
  <c r="BE29" i="6" s="1"/>
  <c r="BD30" i="6" s="1"/>
  <c r="BE30" i="6" s="1"/>
  <c r="BD31" i="6" s="1"/>
  <c r="BE31" i="6" s="1"/>
  <c r="BD32" i="6" s="1"/>
  <c r="BE32" i="6" s="1"/>
  <c r="BD33" i="6" s="1"/>
  <c r="BE33" i="6" s="1"/>
  <c r="BD34" i="6" s="1"/>
  <c r="BE34" i="6" s="1"/>
  <c r="BD35" i="6" s="1"/>
  <c r="BE35" i="6" s="1"/>
  <c r="BD36" i="6" s="1"/>
  <c r="BE36" i="6" s="1"/>
  <c r="BD37" i="6" s="1"/>
  <c r="BE37" i="6" s="1"/>
  <c r="BD38" i="6" s="1"/>
  <c r="BE38" i="6" s="1"/>
  <c r="BD39" i="6" s="1"/>
  <c r="BE39" i="6" s="1"/>
  <c r="BD40" i="6" s="1"/>
  <c r="BE40" i="6" s="1"/>
  <c r="BD41" i="6" s="1"/>
  <c r="BE41" i="6" s="1"/>
  <c r="BD42" i="6" s="1"/>
  <c r="BE42" i="6" s="1"/>
  <c r="BD43" i="6" s="1"/>
  <c r="BE43" i="6" s="1"/>
  <c r="BD44" i="6" s="1"/>
  <c r="BE44" i="6" s="1"/>
  <c r="BD45" i="6" s="1"/>
  <c r="BE45" i="6" s="1"/>
  <c r="BD46" i="6" s="1"/>
  <c r="BE46" i="6" s="1"/>
  <c r="BD47" i="6" s="1"/>
  <c r="BE47" i="6" s="1"/>
  <c r="BD48" i="6" s="1"/>
  <c r="BE48" i="6" s="1"/>
  <c r="BD49" i="6" s="1"/>
  <c r="BE49" i="6" s="1"/>
  <c r="BD50" i="6" s="1"/>
  <c r="BE50" i="6" s="1"/>
  <c r="BD51" i="6" s="1"/>
  <c r="BE51" i="6" s="1"/>
  <c r="BD52" i="6" s="1"/>
  <c r="BE52" i="6" s="1"/>
  <c r="BD53" i="6" s="1"/>
  <c r="BE53" i="6" s="1"/>
  <c r="BD54" i="6" s="1"/>
  <c r="BE54" i="6" s="1"/>
  <c r="BD55" i="6" s="1"/>
  <c r="BE55" i="6" s="1"/>
  <c r="BD56" i="6" s="1"/>
  <c r="BE56" i="6" s="1"/>
  <c r="BD57" i="6" s="1"/>
  <c r="BE57" i="6" s="1"/>
  <c r="BD58" i="6" s="1"/>
  <c r="BE58" i="6" s="1"/>
  <c r="BD59" i="6" s="1"/>
  <c r="BE59" i="6" s="1"/>
  <c r="BD60" i="6" s="1"/>
  <c r="BE60" i="6" s="1"/>
  <c r="BD61" i="6" s="1"/>
  <c r="BE61" i="6" s="1"/>
  <c r="BD62" i="6" s="1"/>
  <c r="BE62" i="6" s="1"/>
  <c r="BD63" i="6" s="1"/>
  <c r="BE63" i="6" s="1"/>
  <c r="BD64" i="6" s="1"/>
  <c r="BE64" i="6" s="1"/>
  <c r="BD65" i="6" s="1"/>
  <c r="BE65" i="6" s="1"/>
  <c r="BD66" i="6" s="1"/>
  <c r="BE66" i="6" s="1"/>
  <c r="BD67" i="6" s="1"/>
  <c r="BE67" i="6" s="1"/>
  <c r="BD68" i="6" s="1"/>
  <c r="BE68" i="6" s="1"/>
  <c r="BD69" i="6" s="1"/>
  <c r="BE69" i="6" s="1"/>
  <c r="BD70" i="6" s="1"/>
  <c r="BE70" i="6" s="1"/>
  <c r="BD71" i="6" s="1"/>
  <c r="BE71" i="6" s="1"/>
  <c r="BD72" i="6" s="1"/>
  <c r="BE72" i="6" s="1"/>
  <c r="BD73" i="6" s="1"/>
  <c r="BE73" i="6" s="1"/>
  <c r="BD74" i="6" s="1"/>
  <c r="BE74" i="6" s="1"/>
  <c r="BD75" i="6" s="1"/>
  <c r="BE75" i="6" s="1"/>
  <c r="BD76" i="6" s="1"/>
  <c r="BE76" i="6" s="1"/>
  <c r="BD77" i="6" s="1"/>
  <c r="BE77" i="6" s="1"/>
  <c r="BD78" i="6" s="1"/>
  <c r="BE78" i="6" s="1"/>
  <c r="BD79" i="6" s="1"/>
  <c r="BE79" i="6" s="1"/>
  <c r="BD80" i="6" s="1"/>
  <c r="BE80" i="6" s="1"/>
  <c r="BD81" i="6" s="1"/>
  <c r="BE81" i="6" s="1"/>
  <c r="BD82" i="6" s="1"/>
  <c r="BE82" i="6" s="1"/>
  <c r="BD83" i="6" s="1"/>
  <c r="BE83" i="6" s="1"/>
  <c r="BD84" i="6" s="1"/>
  <c r="BE84" i="6" s="1"/>
  <c r="BD85" i="6" s="1"/>
  <c r="BE85" i="6" s="1"/>
  <c r="BD86" i="6" s="1"/>
  <c r="BE86" i="6" s="1"/>
  <c r="BD87" i="6" s="1"/>
  <c r="BE87" i="6" s="1"/>
  <c r="BD88" i="6" s="1"/>
  <c r="BE88" i="6" s="1"/>
  <c r="BD89" i="6" s="1"/>
  <c r="BE89" i="6" s="1"/>
  <c r="BD90" i="6" s="1"/>
  <c r="BE90" i="6" s="1"/>
  <c r="BD91" i="6" s="1"/>
  <c r="BE91" i="6" s="1"/>
  <c r="BD92" i="6" s="1"/>
  <c r="BE92" i="6" s="1"/>
  <c r="BD93" i="6" s="1"/>
  <c r="BE93" i="6" s="1"/>
  <c r="BD94" i="6" s="1"/>
  <c r="BE94" i="6" s="1"/>
  <c r="BD95" i="6" s="1"/>
  <c r="BE95" i="6" s="1"/>
  <c r="BD96" i="6" s="1"/>
  <c r="BE96" i="6" s="1"/>
  <c r="BD97" i="6" s="1"/>
  <c r="BE97" i="6" s="1"/>
  <c r="BD98" i="6" s="1"/>
  <c r="BE98" i="6" s="1"/>
  <c r="BD99" i="6" s="1"/>
  <c r="BE99" i="6" s="1"/>
  <c r="BD100" i="6" s="1"/>
  <c r="BE100" i="6" s="1"/>
  <c r="BD101" i="6" s="1"/>
  <c r="BE101" i="6" s="1"/>
  <c r="BD102" i="6" s="1"/>
  <c r="BE102" i="6" s="1"/>
  <c r="BD103" i="6" s="1"/>
  <c r="BE103" i="6" s="1"/>
  <c r="U4" i="6"/>
  <c r="T5" i="6" s="1"/>
  <c r="U5" i="6" s="1"/>
  <c r="T6" i="6" s="1"/>
  <c r="U6" i="6" s="1"/>
  <c r="T7" i="6" s="1"/>
  <c r="U7" i="6" s="1"/>
  <c r="T8" i="6" s="1"/>
  <c r="U8" i="6" s="1"/>
  <c r="T9" i="6" s="1"/>
  <c r="U9" i="6" s="1"/>
  <c r="T10" i="6" s="1"/>
  <c r="U10" i="6" s="1"/>
  <c r="T11" i="6" s="1"/>
  <c r="U11" i="6" s="1"/>
  <c r="T12" i="6" s="1"/>
  <c r="U12" i="6" s="1"/>
  <c r="T13" i="6" s="1"/>
  <c r="U13" i="6" s="1"/>
  <c r="T14" i="6" s="1"/>
  <c r="U14" i="6" s="1"/>
  <c r="T15" i="6" s="1"/>
  <c r="U15" i="6" s="1"/>
  <c r="T16" i="6" s="1"/>
  <c r="U16" i="6" s="1"/>
  <c r="T17" i="6" s="1"/>
  <c r="U17" i="6" s="1"/>
  <c r="T18" i="6" s="1"/>
  <c r="U18" i="6" s="1"/>
  <c r="T19" i="6" s="1"/>
  <c r="U19" i="6" s="1"/>
  <c r="T20" i="6" s="1"/>
  <c r="U20" i="6" s="1"/>
  <c r="T21" i="6" s="1"/>
  <c r="U21" i="6" s="1"/>
  <c r="T22" i="6" s="1"/>
  <c r="U22" i="6" s="1"/>
  <c r="T23" i="6" s="1"/>
  <c r="U23" i="6" s="1"/>
  <c r="T24" i="6" s="1"/>
  <c r="U24" i="6" s="1"/>
  <c r="T25" i="6" s="1"/>
  <c r="U25" i="6" s="1"/>
  <c r="T26" i="6" s="1"/>
  <c r="U26" i="6" s="1"/>
  <c r="T27" i="6" s="1"/>
  <c r="U27" i="6" s="1"/>
  <c r="T28" i="6" s="1"/>
  <c r="U28" i="6" s="1"/>
  <c r="T29" i="6" s="1"/>
  <c r="U29" i="6" s="1"/>
  <c r="T30" i="6" s="1"/>
  <c r="U30" i="6" s="1"/>
  <c r="T31" i="6" s="1"/>
  <c r="U31" i="6" s="1"/>
  <c r="T32" i="6" s="1"/>
  <c r="U32" i="6" s="1"/>
  <c r="T33" i="6" s="1"/>
  <c r="U33" i="6" s="1"/>
  <c r="T34" i="6" s="1"/>
  <c r="U34" i="6" s="1"/>
  <c r="T35" i="6" s="1"/>
  <c r="U35" i="6" s="1"/>
  <c r="T36" i="6" s="1"/>
  <c r="U36" i="6" s="1"/>
  <c r="T37" i="6" s="1"/>
  <c r="U37" i="6" s="1"/>
  <c r="T38" i="6" s="1"/>
  <c r="U38" i="6" s="1"/>
  <c r="T39" i="6" s="1"/>
  <c r="U39" i="6" s="1"/>
  <c r="T40" i="6" s="1"/>
  <c r="U40" i="6" s="1"/>
  <c r="T41" i="6" s="1"/>
  <c r="U41" i="6" s="1"/>
  <c r="T42" i="6" s="1"/>
  <c r="U42" i="6" s="1"/>
  <c r="T43" i="6" s="1"/>
  <c r="U43" i="6" s="1"/>
  <c r="T44" i="6" s="1"/>
  <c r="U44" i="6" s="1"/>
  <c r="T45" i="6" s="1"/>
  <c r="U45" i="6" s="1"/>
  <c r="T46" i="6" s="1"/>
  <c r="U46" i="6" s="1"/>
  <c r="T47" i="6" s="1"/>
  <c r="U47" i="6" s="1"/>
  <c r="T48" i="6" s="1"/>
  <c r="U48" i="6" s="1"/>
  <c r="T49" i="6" s="1"/>
  <c r="U49" i="6" s="1"/>
  <c r="T50" i="6" s="1"/>
  <c r="U50" i="6" s="1"/>
  <c r="T51" i="6" s="1"/>
  <c r="U51" i="6" s="1"/>
  <c r="T52" i="6" s="1"/>
  <c r="U52" i="6" s="1"/>
  <c r="T53" i="6" s="1"/>
  <c r="U53" i="6" s="1"/>
  <c r="T54" i="6" s="1"/>
  <c r="U54" i="6" s="1"/>
  <c r="T55" i="6" s="1"/>
  <c r="U55" i="6" s="1"/>
  <c r="T56" i="6" s="1"/>
  <c r="U56" i="6" s="1"/>
  <c r="T57" i="6" s="1"/>
  <c r="U57" i="6" s="1"/>
  <c r="T58" i="6" s="1"/>
  <c r="U58" i="6" s="1"/>
  <c r="T59" i="6" s="1"/>
  <c r="U59" i="6" s="1"/>
  <c r="T60" i="6" s="1"/>
  <c r="U60" i="6" s="1"/>
  <c r="T61" i="6" s="1"/>
  <c r="U61" i="6" s="1"/>
  <c r="T62" i="6" s="1"/>
  <c r="U62" i="6" s="1"/>
  <c r="T63" i="6" s="1"/>
  <c r="U63" i="6" s="1"/>
  <c r="T64" i="6" s="1"/>
  <c r="U64" i="6" s="1"/>
  <c r="T65" i="6" s="1"/>
  <c r="U65" i="6" s="1"/>
  <c r="T66" i="6" s="1"/>
  <c r="U66" i="6" s="1"/>
  <c r="T67" i="6" s="1"/>
  <c r="U67" i="6" s="1"/>
  <c r="T68" i="6" s="1"/>
  <c r="U68" i="6" s="1"/>
  <c r="T69" i="6" s="1"/>
  <c r="U69" i="6" s="1"/>
  <c r="T70" i="6" s="1"/>
  <c r="U70" i="6" s="1"/>
  <c r="T71" i="6" s="1"/>
  <c r="U71" i="6" s="1"/>
  <c r="T72" i="6" s="1"/>
  <c r="U72" i="6" s="1"/>
  <c r="T73" i="6" s="1"/>
  <c r="U73" i="6" s="1"/>
  <c r="T74" i="6" s="1"/>
  <c r="U74" i="6" s="1"/>
  <c r="T75" i="6" s="1"/>
  <c r="U75" i="6" s="1"/>
  <c r="T76" i="6" s="1"/>
  <c r="U76" i="6" s="1"/>
  <c r="T77" i="6" s="1"/>
  <c r="U77" i="6" s="1"/>
  <c r="T78" i="6" s="1"/>
  <c r="U78" i="6" s="1"/>
  <c r="T79" i="6" s="1"/>
  <c r="U79" i="6" s="1"/>
  <c r="T80" i="6" s="1"/>
  <c r="U80" i="6" s="1"/>
  <c r="T81" i="6" s="1"/>
  <c r="U81" i="6" s="1"/>
  <c r="T82" i="6" s="1"/>
  <c r="U82" i="6" s="1"/>
  <c r="T83" i="6" s="1"/>
  <c r="U83" i="6" s="1"/>
  <c r="T84" i="6" s="1"/>
  <c r="U84" i="6" s="1"/>
  <c r="T85" i="6" s="1"/>
  <c r="U85" i="6" s="1"/>
  <c r="T86" i="6" s="1"/>
  <c r="U86" i="6" s="1"/>
  <c r="T87" i="6" s="1"/>
  <c r="U87" i="6" s="1"/>
  <c r="T88" i="6" s="1"/>
  <c r="U88" i="6" s="1"/>
  <c r="T89" i="6" s="1"/>
  <c r="U89" i="6" s="1"/>
  <c r="T90" i="6" s="1"/>
  <c r="U90" i="6" s="1"/>
  <c r="T91" i="6" s="1"/>
  <c r="U91" i="6" s="1"/>
  <c r="T92" i="6" s="1"/>
  <c r="U92" i="6" s="1"/>
  <c r="T93" i="6" s="1"/>
  <c r="U93" i="6" s="1"/>
  <c r="T94" i="6" s="1"/>
  <c r="U94" i="6" s="1"/>
  <c r="T95" i="6" s="1"/>
  <c r="U95" i="6" s="1"/>
  <c r="T96" i="6" s="1"/>
  <c r="U96" i="6" s="1"/>
  <c r="T97" i="6" s="1"/>
  <c r="U97" i="6" s="1"/>
  <c r="T98" i="6" s="1"/>
  <c r="U98" i="6" s="1"/>
  <c r="T99" i="6" s="1"/>
  <c r="U99" i="6" s="1"/>
  <c r="T100" i="6" s="1"/>
  <c r="U100" i="6" s="1"/>
  <c r="T101" i="6" s="1"/>
  <c r="U101" i="6" s="1"/>
  <c r="T102" i="6" s="1"/>
  <c r="U102" i="6" s="1"/>
  <c r="T103" i="6" s="1"/>
  <c r="U103" i="6" s="1"/>
  <c r="AO100" i="6"/>
  <c r="AP100" i="6" s="1"/>
  <c r="AO101" i="6" s="1"/>
  <c r="AP101" i="6" s="1"/>
  <c r="AO102" i="6" s="1"/>
  <c r="AP102" i="6" s="1"/>
  <c r="AO103" i="6" s="1"/>
  <c r="AP103" i="6" s="1"/>
  <c r="M60" i="10" l="1"/>
  <c r="N60" i="10" s="1"/>
  <c r="CP10" i="7"/>
  <c r="CO11" i="7" s="1"/>
  <c r="CM9" i="7"/>
  <c r="CL10" i="7" s="1"/>
  <c r="CJ8" i="7"/>
  <c r="CI9" i="7" s="1"/>
  <c r="CG10" i="7"/>
  <c r="CF11" i="7" s="1"/>
  <c r="CC11" i="7"/>
  <c r="CD11" i="7" s="1"/>
  <c r="CA9" i="7"/>
  <c r="BX10" i="7"/>
  <c r="BW11" i="7" s="1"/>
  <c r="BT9" i="7"/>
  <c r="BU9" i="7" s="1"/>
  <c r="BR9" i="7"/>
  <c r="BQ10" i="7" s="1"/>
  <c r="BN11" i="7"/>
  <c r="BO11" i="7" s="1"/>
  <c r="BK11" i="7"/>
  <c r="BL11" i="7" s="1"/>
  <c r="BH10" i="7"/>
  <c r="BI10" i="7" s="1"/>
  <c r="BB11" i="7"/>
  <c r="BC11" i="7" s="1"/>
  <c r="AZ10" i="7"/>
  <c r="AY11" i="7" s="1"/>
  <c r="BF9" i="7"/>
  <c r="BE10" i="7" s="1"/>
  <c r="CR10" i="7"/>
  <c r="CS10" i="7" s="1"/>
  <c r="CR11" i="7" s="1"/>
  <c r="CS11" i="7" s="1"/>
  <c r="CR12" i="7" s="1"/>
  <c r="CS12" i="7" s="1"/>
  <c r="GN10" i="7"/>
  <c r="GM11" i="7" s="1"/>
  <c r="GK10" i="7"/>
  <c r="GJ11" i="7" s="1"/>
  <c r="GG10" i="7"/>
  <c r="GH10" i="7" s="1"/>
  <c r="GE11" i="7"/>
  <c r="GD12" i="7" s="1"/>
  <c r="GB11" i="7"/>
  <c r="GA12" i="7" s="1"/>
  <c r="FX11" i="7"/>
  <c r="FY11" i="7" s="1"/>
  <c r="FV12" i="7"/>
  <c r="FU13" i="7" s="1"/>
  <c r="FR11" i="7"/>
  <c r="FS11" i="7" s="1"/>
  <c r="FO10" i="7"/>
  <c r="FP10" i="7" s="1"/>
  <c r="FL10" i="7"/>
  <c r="FM10" i="7" s="1"/>
  <c r="FJ11" i="7"/>
  <c r="FI12" i="7" s="1"/>
  <c r="FF10" i="7"/>
  <c r="FG10" i="7" s="1"/>
  <c r="FD10" i="7"/>
  <c r="FC11" i="7" s="1"/>
  <c r="FA11" i="7"/>
  <c r="EZ12" i="7" s="1"/>
  <c r="EX10" i="7"/>
  <c r="EW11" i="7" s="1"/>
  <c r="EU11" i="7"/>
  <c r="ET12" i="7" s="1"/>
  <c r="ER9" i="7"/>
  <c r="EQ10" i="7" s="1"/>
  <c r="EO10" i="7"/>
  <c r="EN11" i="7" s="1"/>
  <c r="EL10" i="7"/>
  <c r="EK11" i="7" s="1"/>
  <c r="EI11" i="7"/>
  <c r="EH12" i="7" s="1"/>
  <c r="EF10" i="7"/>
  <c r="EE11" i="7" s="1"/>
  <c r="EC11" i="7"/>
  <c r="EB12" i="7" s="1"/>
  <c r="DY11" i="7"/>
  <c r="DZ11" i="7" s="1"/>
  <c r="DT11" i="7"/>
  <c r="DS12" i="7" s="1"/>
  <c r="DQ10" i="7"/>
  <c r="DP11" i="7" s="1"/>
  <c r="DN11" i="7"/>
  <c r="DM12" i="7" s="1"/>
  <c r="DH10" i="7"/>
  <c r="DG11" i="7" s="1"/>
  <c r="CY11" i="7"/>
  <c r="C9" i="7"/>
  <c r="O14" i="7"/>
  <c r="P14" i="7" s="1"/>
  <c r="E14" i="6"/>
  <c r="F14" i="6" s="1"/>
  <c r="B19" i="6"/>
  <c r="C19" i="6" s="1"/>
  <c r="B20" i="6" s="1"/>
  <c r="C20" i="6" s="1"/>
  <c r="M26" i="10" l="1"/>
  <c r="CP11" i="7"/>
  <c r="CO12" i="7" s="1"/>
  <c r="CM10" i="7"/>
  <c r="CL11" i="7" s="1"/>
  <c r="CJ9" i="7"/>
  <c r="CI10" i="7" s="1"/>
  <c r="CG11" i="7"/>
  <c r="CF12" i="7" s="1"/>
  <c r="CC12" i="7"/>
  <c r="CD12" i="7" s="1"/>
  <c r="BZ10" i="7"/>
  <c r="CA10" i="7" s="1"/>
  <c r="BX11" i="7"/>
  <c r="BW12" i="7" s="1"/>
  <c r="BT10" i="7"/>
  <c r="BU10" i="7" s="1"/>
  <c r="BR10" i="7"/>
  <c r="BQ11" i="7" s="1"/>
  <c r="BN12" i="7"/>
  <c r="BO12" i="7" s="1"/>
  <c r="BK12" i="7"/>
  <c r="BL12" i="7" s="1"/>
  <c r="BH11" i="7"/>
  <c r="BI11" i="7" s="1"/>
  <c r="BB12" i="7"/>
  <c r="BC12" i="7" s="1"/>
  <c r="AZ11" i="7"/>
  <c r="AY12" i="7" s="1"/>
  <c r="BF10" i="7"/>
  <c r="BE11" i="7" s="1"/>
  <c r="CR13" i="7"/>
  <c r="CS13" i="7" s="1"/>
  <c r="GN11" i="7"/>
  <c r="GM12" i="7" s="1"/>
  <c r="GK11" i="7"/>
  <c r="GJ12" i="7" s="1"/>
  <c r="GG11" i="7"/>
  <c r="GH11" i="7" s="1"/>
  <c r="GE12" i="7"/>
  <c r="GD13" i="7" s="1"/>
  <c r="GB12" i="7"/>
  <c r="GA13" i="7" s="1"/>
  <c r="FX12" i="7"/>
  <c r="FY12" i="7" s="1"/>
  <c r="FV13" i="7"/>
  <c r="FU14" i="7" s="1"/>
  <c r="FR12" i="7"/>
  <c r="FS12" i="7" s="1"/>
  <c r="FO11" i="7"/>
  <c r="FP11" i="7" s="1"/>
  <c r="FL11" i="7"/>
  <c r="FM11" i="7" s="1"/>
  <c r="FJ12" i="7"/>
  <c r="FI13" i="7" s="1"/>
  <c r="FF11" i="7"/>
  <c r="FG11" i="7" s="1"/>
  <c r="FD11" i="7"/>
  <c r="FC12" i="7" s="1"/>
  <c r="FA12" i="7"/>
  <c r="EZ13" i="7" s="1"/>
  <c r="EX11" i="7"/>
  <c r="EW12" i="7" s="1"/>
  <c r="EU12" i="7"/>
  <c r="ET13" i="7" s="1"/>
  <c r="ER10" i="7"/>
  <c r="EQ11" i="7" s="1"/>
  <c r="EO11" i="7"/>
  <c r="EN12" i="7" s="1"/>
  <c r="EL11" i="7"/>
  <c r="EK12" i="7" s="1"/>
  <c r="EI12" i="7"/>
  <c r="EH13" i="7" s="1"/>
  <c r="EF11" i="7"/>
  <c r="EE12" i="7" s="1"/>
  <c r="EC12" i="7"/>
  <c r="EB13" i="7" s="1"/>
  <c r="DY12" i="7"/>
  <c r="DZ12" i="7" s="1"/>
  <c r="DT12" i="7"/>
  <c r="DS13" i="7" s="1"/>
  <c r="DQ11" i="7"/>
  <c r="DP12" i="7" s="1"/>
  <c r="DN12" i="7"/>
  <c r="DM13" i="7" s="1"/>
  <c r="DH11" i="7"/>
  <c r="DG12" i="7" s="1"/>
  <c r="CX12" i="7"/>
  <c r="CY12" i="7" s="1"/>
  <c r="D9" i="7"/>
  <c r="C10" i="7" s="1"/>
  <c r="D10" i="7" s="1"/>
  <c r="C11" i="7" s="1"/>
  <c r="O15" i="7"/>
  <c r="P15" i="7" s="1"/>
  <c r="E15" i="6"/>
  <c r="F15" i="6" s="1"/>
  <c r="B21" i="6"/>
  <c r="C21" i="6" s="1"/>
  <c r="B22" i="6" s="1"/>
  <c r="C22" i="6" s="1"/>
  <c r="M27" i="10" l="1"/>
  <c r="M24" i="10"/>
  <c r="CP12" i="7"/>
  <c r="CO13" i="7" s="1"/>
  <c r="CM11" i="7"/>
  <c r="CL12" i="7" s="1"/>
  <c r="CJ10" i="7"/>
  <c r="CI11" i="7" s="1"/>
  <c r="CG12" i="7"/>
  <c r="CF13" i="7" s="1"/>
  <c r="CC13" i="7"/>
  <c r="CD13" i="7" s="1"/>
  <c r="BZ11" i="7"/>
  <c r="CA11" i="7" s="1"/>
  <c r="BX12" i="7"/>
  <c r="BW13" i="7" s="1"/>
  <c r="BT11" i="7"/>
  <c r="BU11" i="7" s="1"/>
  <c r="BR11" i="7"/>
  <c r="BQ12" i="7" s="1"/>
  <c r="BN13" i="7"/>
  <c r="BO13" i="7" s="1"/>
  <c r="BK13" i="7"/>
  <c r="BL13" i="7" s="1"/>
  <c r="BH12" i="7"/>
  <c r="BI12" i="7" s="1"/>
  <c r="BB13" i="7"/>
  <c r="BC13" i="7" s="1"/>
  <c r="AZ12" i="7"/>
  <c r="AY13" i="7" s="1"/>
  <c r="BF11" i="7"/>
  <c r="BE12" i="7" s="1"/>
  <c r="CR14" i="7"/>
  <c r="CS14" i="7" s="1"/>
  <c r="GN12" i="7"/>
  <c r="GM13" i="7" s="1"/>
  <c r="GK12" i="7"/>
  <c r="GJ13" i="7" s="1"/>
  <c r="GG12" i="7"/>
  <c r="GH12" i="7" s="1"/>
  <c r="GE13" i="7"/>
  <c r="GD14" i="7" s="1"/>
  <c r="GB13" i="7"/>
  <c r="GA14" i="7" s="1"/>
  <c r="FX13" i="7"/>
  <c r="FY13" i="7" s="1"/>
  <c r="FV14" i="7"/>
  <c r="FU15" i="7" s="1"/>
  <c r="FR13" i="7"/>
  <c r="FS13" i="7" s="1"/>
  <c r="FO12" i="7"/>
  <c r="FP12" i="7" s="1"/>
  <c r="FL12" i="7"/>
  <c r="FM12" i="7" s="1"/>
  <c r="FJ13" i="7"/>
  <c r="FI14" i="7" s="1"/>
  <c r="FF12" i="7"/>
  <c r="FG12" i="7" s="1"/>
  <c r="FD12" i="7"/>
  <c r="FC13" i="7" s="1"/>
  <c r="FA13" i="7"/>
  <c r="EZ14" i="7" s="1"/>
  <c r="EX12" i="7"/>
  <c r="EW13" i="7" s="1"/>
  <c r="EU13" i="7"/>
  <c r="ET14" i="7" s="1"/>
  <c r="ER11" i="7"/>
  <c r="EQ12" i="7" s="1"/>
  <c r="EO12" i="7"/>
  <c r="EN13" i="7" s="1"/>
  <c r="EL12" i="7"/>
  <c r="EK13" i="7" s="1"/>
  <c r="EI13" i="7"/>
  <c r="EH14" i="7" s="1"/>
  <c r="EF12" i="7"/>
  <c r="EE13" i="7" s="1"/>
  <c r="EC13" i="7"/>
  <c r="EB14" i="7" s="1"/>
  <c r="DY13" i="7"/>
  <c r="DZ13" i="7" s="1"/>
  <c r="DT13" i="7"/>
  <c r="DS14" i="7" s="1"/>
  <c r="DQ12" i="7"/>
  <c r="DP13" i="7" s="1"/>
  <c r="DN13" i="7"/>
  <c r="DM14" i="7" s="1"/>
  <c r="DH12" i="7"/>
  <c r="DG13" i="7" s="1"/>
  <c r="CX13" i="7"/>
  <c r="CY13" i="7" s="1"/>
  <c r="D11" i="7"/>
  <c r="C12" i="7" s="1"/>
  <c r="D12" i="7" s="1"/>
  <c r="C13" i="7" s="1"/>
  <c r="O16" i="7"/>
  <c r="P16" i="7" s="1"/>
  <c r="E16" i="6"/>
  <c r="F16" i="6" s="1"/>
  <c r="B23" i="6"/>
  <c r="C23" i="6" s="1"/>
  <c r="B24" i="6" s="1"/>
  <c r="C24" i="6" s="1"/>
  <c r="CP13" i="7" l="1"/>
  <c r="CO14" i="7" s="1"/>
  <c r="CM12" i="7"/>
  <c r="CL13" i="7" s="1"/>
  <c r="CJ11" i="7"/>
  <c r="CI12" i="7" s="1"/>
  <c r="CG13" i="7"/>
  <c r="CF14" i="7" s="1"/>
  <c r="CC14" i="7"/>
  <c r="CD14" i="7" s="1"/>
  <c r="BZ12" i="7"/>
  <c r="CA12" i="7" s="1"/>
  <c r="BX13" i="7"/>
  <c r="BW14" i="7" s="1"/>
  <c r="BT12" i="7"/>
  <c r="BU12" i="7" s="1"/>
  <c r="BR12" i="7"/>
  <c r="BQ13" i="7" s="1"/>
  <c r="BN14" i="7"/>
  <c r="BO14" i="7" s="1"/>
  <c r="BK14" i="7"/>
  <c r="BL14" i="7" s="1"/>
  <c r="BH13" i="7"/>
  <c r="BI13" i="7" s="1"/>
  <c r="BB14" i="7"/>
  <c r="BC14" i="7" s="1"/>
  <c r="AZ13" i="7"/>
  <c r="AY14" i="7" s="1"/>
  <c r="BF12" i="7"/>
  <c r="BE13" i="7" s="1"/>
  <c r="CR15" i="7"/>
  <c r="CS15" i="7" s="1"/>
  <c r="GN13" i="7"/>
  <c r="GM14" i="7" s="1"/>
  <c r="GK13" i="7"/>
  <c r="GJ14" i="7" s="1"/>
  <c r="GG13" i="7"/>
  <c r="GH13" i="7" s="1"/>
  <c r="GE14" i="7"/>
  <c r="GD15" i="7" s="1"/>
  <c r="GB14" i="7"/>
  <c r="GA15" i="7" s="1"/>
  <c r="FX14" i="7"/>
  <c r="FY14" i="7" s="1"/>
  <c r="FV15" i="7"/>
  <c r="FU16" i="7" s="1"/>
  <c r="FR14" i="7"/>
  <c r="FS14" i="7" s="1"/>
  <c r="FO13" i="7"/>
  <c r="FP13" i="7" s="1"/>
  <c r="FL13" i="7"/>
  <c r="FM13" i="7" s="1"/>
  <c r="FJ14" i="7"/>
  <c r="FI15" i="7" s="1"/>
  <c r="FF13" i="7"/>
  <c r="FG13" i="7" s="1"/>
  <c r="FD13" i="7"/>
  <c r="FC14" i="7" s="1"/>
  <c r="FA14" i="7"/>
  <c r="EZ15" i="7" s="1"/>
  <c r="EX13" i="7"/>
  <c r="EW14" i="7" s="1"/>
  <c r="EU14" i="7"/>
  <c r="ET15" i="7" s="1"/>
  <c r="ER12" i="7"/>
  <c r="EQ13" i="7" s="1"/>
  <c r="EO13" i="7"/>
  <c r="EN14" i="7" s="1"/>
  <c r="EL13" i="7"/>
  <c r="EK14" i="7" s="1"/>
  <c r="EI14" i="7"/>
  <c r="EH15" i="7" s="1"/>
  <c r="EF13" i="7"/>
  <c r="EE14" i="7" s="1"/>
  <c r="EC14" i="7"/>
  <c r="EB15" i="7" s="1"/>
  <c r="DY14" i="7"/>
  <c r="DZ14" i="7" s="1"/>
  <c r="DT14" i="7"/>
  <c r="DS15" i="7" s="1"/>
  <c r="DQ13" i="7"/>
  <c r="DP14" i="7" s="1"/>
  <c r="DN14" i="7"/>
  <c r="DM15" i="7" s="1"/>
  <c r="DH13" i="7"/>
  <c r="DG14" i="7" s="1"/>
  <c r="CX14" i="7"/>
  <c r="CY14" i="7" s="1"/>
  <c r="D13" i="7"/>
  <c r="C14" i="7" s="1"/>
  <c r="D14" i="7" s="1"/>
  <c r="C15" i="7" s="1"/>
  <c r="D15" i="7" s="1"/>
  <c r="O17" i="7"/>
  <c r="P17" i="7" s="1"/>
  <c r="E17" i="6"/>
  <c r="F17" i="6" s="1"/>
  <c r="B25" i="6"/>
  <c r="C25" i="6" s="1"/>
  <c r="B26" i="6" s="1"/>
  <c r="C26" i="6" s="1"/>
  <c r="CP14" i="7" l="1"/>
  <c r="CO15" i="7" s="1"/>
  <c r="CM13" i="7"/>
  <c r="CL14" i="7" s="1"/>
  <c r="CJ12" i="7"/>
  <c r="CI13" i="7" s="1"/>
  <c r="CG14" i="7"/>
  <c r="CF15" i="7" s="1"/>
  <c r="CC15" i="7"/>
  <c r="CD15" i="7" s="1"/>
  <c r="BZ13" i="7"/>
  <c r="CA13" i="7" s="1"/>
  <c r="BX14" i="7"/>
  <c r="BW15" i="7" s="1"/>
  <c r="BT13" i="7"/>
  <c r="BU13" i="7" s="1"/>
  <c r="BR13" i="7"/>
  <c r="BQ14" i="7" s="1"/>
  <c r="BN15" i="7"/>
  <c r="BO15" i="7" s="1"/>
  <c r="BK15" i="7"/>
  <c r="BL15" i="7" s="1"/>
  <c r="BH14" i="7"/>
  <c r="BI14" i="7" s="1"/>
  <c r="BB15" i="7"/>
  <c r="BC15" i="7" s="1"/>
  <c r="AZ14" i="7"/>
  <c r="AY15" i="7" s="1"/>
  <c r="BF13" i="7"/>
  <c r="BE14" i="7" s="1"/>
  <c r="CR16" i="7"/>
  <c r="CS16" i="7" s="1"/>
  <c r="GN14" i="7"/>
  <c r="GM15" i="7" s="1"/>
  <c r="GK14" i="7"/>
  <c r="GJ15" i="7" s="1"/>
  <c r="GG14" i="7"/>
  <c r="GH14" i="7" s="1"/>
  <c r="GE15" i="7"/>
  <c r="GD16" i="7" s="1"/>
  <c r="GB15" i="7"/>
  <c r="GA16" i="7" s="1"/>
  <c r="FX15" i="7"/>
  <c r="FY15" i="7" s="1"/>
  <c r="FV16" i="7"/>
  <c r="FU17" i="7" s="1"/>
  <c r="FR15" i="7"/>
  <c r="FS15" i="7" s="1"/>
  <c r="FO14" i="7"/>
  <c r="FP14" i="7" s="1"/>
  <c r="FL14" i="7"/>
  <c r="FM14" i="7" s="1"/>
  <c r="FJ15" i="7"/>
  <c r="FI16" i="7" s="1"/>
  <c r="FF14" i="7"/>
  <c r="FG14" i="7" s="1"/>
  <c r="FD14" i="7"/>
  <c r="FC15" i="7" s="1"/>
  <c r="FA15" i="7"/>
  <c r="EZ16" i="7" s="1"/>
  <c r="EX14" i="7"/>
  <c r="EW15" i="7" s="1"/>
  <c r="EU15" i="7"/>
  <c r="ET16" i="7" s="1"/>
  <c r="ER13" i="7"/>
  <c r="EQ14" i="7" s="1"/>
  <c r="EO14" i="7"/>
  <c r="EN15" i="7" s="1"/>
  <c r="EL14" i="7"/>
  <c r="EK15" i="7" s="1"/>
  <c r="EI15" i="7"/>
  <c r="EH16" i="7" s="1"/>
  <c r="EF14" i="7"/>
  <c r="EE15" i="7" s="1"/>
  <c r="EC15" i="7"/>
  <c r="EB16" i="7" s="1"/>
  <c r="DY15" i="7"/>
  <c r="DZ15" i="7" s="1"/>
  <c r="DT15" i="7"/>
  <c r="DS16" i="7" s="1"/>
  <c r="DQ14" i="7"/>
  <c r="DP15" i="7" s="1"/>
  <c r="DN15" i="7"/>
  <c r="DM16" i="7" s="1"/>
  <c r="DH14" i="7"/>
  <c r="DG15" i="7" s="1"/>
  <c r="CX15" i="7"/>
  <c r="CY15" i="7" s="1"/>
  <c r="C16" i="7"/>
  <c r="D16" i="7" s="1"/>
  <c r="O18" i="7"/>
  <c r="P18" i="7" s="1"/>
  <c r="E18" i="6"/>
  <c r="F18" i="6" s="1"/>
  <c r="B27" i="6"/>
  <c r="C27" i="6" s="1"/>
  <c r="B28" i="6" s="1"/>
  <c r="C28" i="6" s="1"/>
  <c r="CP15" i="7" l="1"/>
  <c r="CO16" i="7" s="1"/>
  <c r="CM14" i="7"/>
  <c r="CL15" i="7" s="1"/>
  <c r="CJ13" i="7"/>
  <c r="CI14" i="7" s="1"/>
  <c r="CG15" i="7"/>
  <c r="CF16" i="7" s="1"/>
  <c r="CC16" i="7"/>
  <c r="CD16" i="7" s="1"/>
  <c r="BZ14" i="7"/>
  <c r="CA14" i="7" s="1"/>
  <c r="BZ15" i="7" s="1"/>
  <c r="CA15" i="7" s="1"/>
  <c r="BZ16" i="7" s="1"/>
  <c r="CA16" i="7" s="1"/>
  <c r="BZ17" i="7" s="1"/>
  <c r="CA17" i="7" s="1"/>
  <c r="BZ18" i="7" s="1"/>
  <c r="CA18" i="7" s="1"/>
  <c r="BZ19" i="7" s="1"/>
  <c r="CA19" i="7" s="1"/>
  <c r="BZ20" i="7" s="1"/>
  <c r="BX15" i="7"/>
  <c r="BW16" i="7" s="1"/>
  <c r="BT14" i="7"/>
  <c r="BU14" i="7" s="1"/>
  <c r="BR14" i="7"/>
  <c r="BQ15" i="7" s="1"/>
  <c r="BN16" i="7"/>
  <c r="BO16" i="7" s="1"/>
  <c r="BK16" i="7"/>
  <c r="BL16" i="7" s="1"/>
  <c r="BH15" i="7"/>
  <c r="BI15" i="7" s="1"/>
  <c r="BB16" i="7"/>
  <c r="BC16" i="7" s="1"/>
  <c r="AZ15" i="7"/>
  <c r="AY16" i="7" s="1"/>
  <c r="BF14" i="7"/>
  <c r="BE15" i="7" s="1"/>
  <c r="CR17" i="7"/>
  <c r="CS17" i="7" s="1"/>
  <c r="GN15" i="7"/>
  <c r="GM16" i="7" s="1"/>
  <c r="GK15" i="7"/>
  <c r="GJ16" i="7" s="1"/>
  <c r="GG15" i="7"/>
  <c r="GH15" i="7" s="1"/>
  <c r="GE16" i="7"/>
  <c r="GD17" i="7" s="1"/>
  <c r="GB16" i="7"/>
  <c r="GA17" i="7" s="1"/>
  <c r="FX16" i="7"/>
  <c r="FY16" i="7" s="1"/>
  <c r="FV17" i="7"/>
  <c r="FU18" i="7" s="1"/>
  <c r="FR16" i="7"/>
  <c r="FS16" i="7" s="1"/>
  <c r="FO15" i="7"/>
  <c r="FP15" i="7" s="1"/>
  <c r="FL15" i="7"/>
  <c r="FM15" i="7" s="1"/>
  <c r="FJ16" i="7"/>
  <c r="FI17" i="7" s="1"/>
  <c r="FF15" i="7"/>
  <c r="FG15" i="7" s="1"/>
  <c r="FD15" i="7"/>
  <c r="FC16" i="7" s="1"/>
  <c r="FA16" i="7"/>
  <c r="EZ17" i="7" s="1"/>
  <c r="EX15" i="7"/>
  <c r="EW16" i="7" s="1"/>
  <c r="EU16" i="7"/>
  <c r="ET17" i="7" s="1"/>
  <c r="ER14" i="7"/>
  <c r="EQ15" i="7" s="1"/>
  <c r="EO15" i="7"/>
  <c r="EN16" i="7" s="1"/>
  <c r="EL15" i="7"/>
  <c r="EK16" i="7" s="1"/>
  <c r="EI16" i="7"/>
  <c r="EH17" i="7" s="1"/>
  <c r="EF15" i="7"/>
  <c r="EE16" i="7" s="1"/>
  <c r="EC16" i="7"/>
  <c r="EB17" i="7" s="1"/>
  <c r="DY16" i="7"/>
  <c r="DZ16" i="7" s="1"/>
  <c r="DT16" i="7"/>
  <c r="DS17" i="7" s="1"/>
  <c r="DQ15" i="7"/>
  <c r="DP16" i="7" s="1"/>
  <c r="DN16" i="7"/>
  <c r="DM17" i="7" s="1"/>
  <c r="DH15" i="7"/>
  <c r="DG16" i="7" s="1"/>
  <c r="CX16" i="7"/>
  <c r="CY16" i="7" s="1"/>
  <c r="C17" i="7"/>
  <c r="D17" i="7" s="1"/>
  <c r="O19" i="7"/>
  <c r="P19" i="7" s="1"/>
  <c r="E19" i="6"/>
  <c r="F19" i="6" s="1"/>
  <c r="B29" i="6"/>
  <c r="C29" i="6" s="1"/>
  <c r="B30" i="6" s="1"/>
  <c r="C30" i="6" s="1"/>
  <c r="CP16" i="7" l="1"/>
  <c r="CO17" i="7" s="1"/>
  <c r="CM15" i="7"/>
  <c r="CL16" i="7" s="1"/>
  <c r="CJ14" i="7"/>
  <c r="CI15" i="7" s="1"/>
  <c r="CG16" i="7"/>
  <c r="CF17" i="7" s="1"/>
  <c r="CC17" i="7"/>
  <c r="CD17" i="7" s="1"/>
  <c r="BX16" i="7"/>
  <c r="BW17" i="7" s="1"/>
  <c r="BT15" i="7"/>
  <c r="BU15" i="7" s="1"/>
  <c r="BR15" i="7"/>
  <c r="BQ16" i="7" s="1"/>
  <c r="BN17" i="7"/>
  <c r="BO17" i="7" s="1"/>
  <c r="BK17" i="7"/>
  <c r="BL17" i="7" s="1"/>
  <c r="BH16" i="7"/>
  <c r="BI16" i="7" s="1"/>
  <c r="BB17" i="7"/>
  <c r="BC17" i="7" s="1"/>
  <c r="AZ16" i="7"/>
  <c r="AY17" i="7" s="1"/>
  <c r="BF15" i="7"/>
  <c r="BE16" i="7" s="1"/>
  <c r="CR18" i="7"/>
  <c r="CS18" i="7" s="1"/>
  <c r="GN16" i="7"/>
  <c r="GM17" i="7" s="1"/>
  <c r="GK16" i="7"/>
  <c r="GJ17" i="7" s="1"/>
  <c r="GG16" i="7"/>
  <c r="GH16" i="7" s="1"/>
  <c r="GE17" i="7"/>
  <c r="GD18" i="7" s="1"/>
  <c r="GB17" i="7"/>
  <c r="GA18" i="7" s="1"/>
  <c r="FX17" i="7"/>
  <c r="FY17" i="7" s="1"/>
  <c r="FV18" i="7"/>
  <c r="FU19" i="7" s="1"/>
  <c r="FR17" i="7"/>
  <c r="FS17" i="7" s="1"/>
  <c r="FO16" i="7"/>
  <c r="FP16" i="7" s="1"/>
  <c r="FL16" i="7"/>
  <c r="FM16" i="7" s="1"/>
  <c r="FJ17" i="7"/>
  <c r="FI18" i="7" s="1"/>
  <c r="FF16" i="7"/>
  <c r="FG16" i="7" s="1"/>
  <c r="FD16" i="7"/>
  <c r="FC17" i="7" s="1"/>
  <c r="FA17" i="7"/>
  <c r="EZ18" i="7" s="1"/>
  <c r="EX16" i="7"/>
  <c r="EW17" i="7" s="1"/>
  <c r="EU17" i="7"/>
  <c r="ET18" i="7" s="1"/>
  <c r="ER15" i="7"/>
  <c r="EQ16" i="7" s="1"/>
  <c r="EO16" i="7"/>
  <c r="EN17" i="7" s="1"/>
  <c r="EL16" i="7"/>
  <c r="EK17" i="7" s="1"/>
  <c r="EI17" i="7"/>
  <c r="EH18" i="7" s="1"/>
  <c r="EF16" i="7"/>
  <c r="EE17" i="7" s="1"/>
  <c r="EC17" i="7"/>
  <c r="EB18" i="7" s="1"/>
  <c r="DY17" i="7"/>
  <c r="DZ17" i="7" s="1"/>
  <c r="DT17" i="7"/>
  <c r="DS18" i="7" s="1"/>
  <c r="DQ16" i="7"/>
  <c r="DP17" i="7" s="1"/>
  <c r="DN17" i="7"/>
  <c r="DM18" i="7" s="1"/>
  <c r="DH16" i="7"/>
  <c r="DG17" i="7" s="1"/>
  <c r="CX17" i="7"/>
  <c r="CY17" i="7" s="1"/>
  <c r="C18" i="7"/>
  <c r="D18" i="7" s="1"/>
  <c r="CA20" i="7"/>
  <c r="BZ21" i="7" s="1"/>
  <c r="O20" i="7"/>
  <c r="P20" i="7" s="1"/>
  <c r="E20" i="6"/>
  <c r="F20" i="6" s="1"/>
  <c r="B31" i="6"/>
  <c r="C31" i="6" s="1"/>
  <c r="B32" i="6" s="1"/>
  <c r="C32" i="6" s="1"/>
  <c r="D36" i="4"/>
  <c r="D37" i="4"/>
  <c r="D38" i="4"/>
  <c r="CP17" i="7" l="1"/>
  <c r="CO18" i="7" s="1"/>
  <c r="CM16" i="7"/>
  <c r="CL17" i="7" s="1"/>
  <c r="CJ15" i="7"/>
  <c r="CI16" i="7" s="1"/>
  <c r="CG17" i="7"/>
  <c r="CF18" i="7" s="1"/>
  <c r="CC18" i="7"/>
  <c r="CD18" i="7" s="1"/>
  <c r="BX17" i="7"/>
  <c r="BW18" i="7" s="1"/>
  <c r="BT16" i="7"/>
  <c r="BU16" i="7" s="1"/>
  <c r="BR16" i="7"/>
  <c r="BQ17" i="7" s="1"/>
  <c r="BN18" i="7"/>
  <c r="BO18" i="7" s="1"/>
  <c r="BK18" i="7"/>
  <c r="BL18" i="7" s="1"/>
  <c r="BH17" i="7"/>
  <c r="BI17" i="7" s="1"/>
  <c r="BB18" i="7"/>
  <c r="BC18" i="7" s="1"/>
  <c r="AZ17" i="7"/>
  <c r="AY18" i="7" s="1"/>
  <c r="BF16" i="7"/>
  <c r="BE17" i="7" s="1"/>
  <c r="CR19" i="7"/>
  <c r="CS19" i="7" s="1"/>
  <c r="GN17" i="7"/>
  <c r="GM18" i="7" s="1"/>
  <c r="GK17" i="7"/>
  <c r="GJ18" i="7" s="1"/>
  <c r="GG17" i="7"/>
  <c r="GH17" i="7" s="1"/>
  <c r="GE18" i="7"/>
  <c r="GD19" i="7" s="1"/>
  <c r="GB18" i="7"/>
  <c r="GA19" i="7" s="1"/>
  <c r="FX18" i="7"/>
  <c r="FY18" i="7" s="1"/>
  <c r="FV19" i="7"/>
  <c r="FU20" i="7" s="1"/>
  <c r="FR18" i="7"/>
  <c r="FS18" i="7" s="1"/>
  <c r="FO17" i="7"/>
  <c r="FP17" i="7" s="1"/>
  <c r="FL17" i="7"/>
  <c r="FM17" i="7" s="1"/>
  <c r="FJ18" i="7"/>
  <c r="FI19" i="7" s="1"/>
  <c r="FF17" i="7"/>
  <c r="FG17" i="7" s="1"/>
  <c r="FD17" i="7"/>
  <c r="FC18" i="7" s="1"/>
  <c r="FA18" i="7"/>
  <c r="EZ19" i="7" s="1"/>
  <c r="EX17" i="7"/>
  <c r="EW18" i="7" s="1"/>
  <c r="EU18" i="7"/>
  <c r="ET19" i="7" s="1"/>
  <c r="ER16" i="7"/>
  <c r="EQ17" i="7" s="1"/>
  <c r="EO17" i="7"/>
  <c r="EN18" i="7" s="1"/>
  <c r="EL17" i="7"/>
  <c r="EK18" i="7" s="1"/>
  <c r="EI18" i="7"/>
  <c r="EH19" i="7" s="1"/>
  <c r="EF17" i="7"/>
  <c r="EE18" i="7" s="1"/>
  <c r="EC18" i="7"/>
  <c r="EB19" i="7" s="1"/>
  <c r="DY18" i="7"/>
  <c r="DZ18" i="7" s="1"/>
  <c r="DT18" i="7"/>
  <c r="DS19" i="7" s="1"/>
  <c r="DQ17" i="7"/>
  <c r="DP18" i="7" s="1"/>
  <c r="DN18" i="7"/>
  <c r="DM19" i="7" s="1"/>
  <c r="DH17" i="7"/>
  <c r="DG18" i="7" s="1"/>
  <c r="CX18" i="7"/>
  <c r="CY18" i="7" s="1"/>
  <c r="C19" i="7"/>
  <c r="D19" i="7" s="1"/>
  <c r="D83" i="4"/>
  <c r="J35" i="10" s="1"/>
  <c r="D30" i="4"/>
  <c r="J9" i="10" s="1"/>
  <c r="J14" i="10" s="1"/>
  <c r="CA21" i="7"/>
  <c r="BZ22" i="7" s="1"/>
  <c r="O21" i="7"/>
  <c r="P21" i="7" s="1"/>
  <c r="E21" i="6"/>
  <c r="F21" i="6" s="1"/>
  <c r="B33" i="6"/>
  <c r="C33" i="6" s="1"/>
  <c r="B34" i="6" s="1"/>
  <c r="C34" i="6" s="1"/>
  <c r="D162" i="4"/>
  <c r="D156" i="4"/>
  <c r="D144" i="4"/>
  <c r="D150" i="4"/>
  <c r="D138" i="4"/>
  <c r="D132" i="4"/>
  <c r="D126" i="4"/>
  <c r="D113" i="4"/>
  <c r="J44" i="10" s="1"/>
  <c r="K44" i="10" s="1"/>
  <c r="D120" i="4"/>
  <c r="J41" i="10"/>
  <c r="K41" i="10" s="1"/>
  <c r="J47" i="10"/>
  <c r="K47" i="10" s="1"/>
  <c r="D90" i="4"/>
  <c r="J38" i="10" s="1"/>
  <c r="D29" i="4"/>
  <c r="M13" i="10" l="1"/>
  <c r="K14" i="10"/>
  <c r="K38" i="10"/>
  <c r="N38" i="10"/>
  <c r="K35" i="10"/>
  <c r="N35" i="10"/>
  <c r="K9" i="10"/>
  <c r="N9" i="10"/>
  <c r="CP18" i="7"/>
  <c r="CO19" i="7" s="1"/>
  <c r="CM17" i="7"/>
  <c r="CL18" i="7" s="1"/>
  <c r="CJ16" i="7"/>
  <c r="CI17" i="7" s="1"/>
  <c r="CG18" i="7"/>
  <c r="CF19" i="7" s="1"/>
  <c r="CC19" i="7"/>
  <c r="CD19" i="7" s="1"/>
  <c r="BX18" i="7"/>
  <c r="BW19" i="7" s="1"/>
  <c r="BT17" i="7"/>
  <c r="BU17" i="7" s="1"/>
  <c r="BR17" i="7"/>
  <c r="BQ18" i="7" s="1"/>
  <c r="BN19" i="7"/>
  <c r="BO19" i="7" s="1"/>
  <c r="BK19" i="7"/>
  <c r="BL19" i="7" s="1"/>
  <c r="BH18" i="7"/>
  <c r="BI18" i="7" s="1"/>
  <c r="BB19" i="7"/>
  <c r="BC19" i="7" s="1"/>
  <c r="AZ18" i="7"/>
  <c r="AY19" i="7" s="1"/>
  <c r="BF17" i="7"/>
  <c r="BE18" i="7" s="1"/>
  <c r="CR20" i="7"/>
  <c r="CS20" i="7" s="1"/>
  <c r="GN18" i="7"/>
  <c r="GM19" i="7" s="1"/>
  <c r="GK18" i="7"/>
  <c r="GJ19" i="7" s="1"/>
  <c r="GG18" i="7"/>
  <c r="GH18" i="7" s="1"/>
  <c r="GE19" i="7"/>
  <c r="GD20" i="7" s="1"/>
  <c r="GB19" i="7"/>
  <c r="GA20" i="7" s="1"/>
  <c r="FX19" i="7"/>
  <c r="FY19" i="7" s="1"/>
  <c r="FV20" i="7"/>
  <c r="FU21" i="7" s="1"/>
  <c r="FR19" i="7"/>
  <c r="FS19" i="7" s="1"/>
  <c r="FO18" i="7"/>
  <c r="FP18" i="7" s="1"/>
  <c r="FL18" i="7"/>
  <c r="FM18" i="7" s="1"/>
  <c r="FJ19" i="7"/>
  <c r="FI20" i="7" s="1"/>
  <c r="FF18" i="7"/>
  <c r="FG18" i="7" s="1"/>
  <c r="FD18" i="7"/>
  <c r="FC19" i="7" s="1"/>
  <c r="FA19" i="7"/>
  <c r="EZ20" i="7" s="1"/>
  <c r="EX18" i="7"/>
  <c r="EW19" i="7" s="1"/>
  <c r="EU19" i="7"/>
  <c r="ET20" i="7" s="1"/>
  <c r="ER17" i="7"/>
  <c r="EQ18" i="7" s="1"/>
  <c r="EO18" i="7"/>
  <c r="EN19" i="7" s="1"/>
  <c r="EL18" i="7"/>
  <c r="EK19" i="7" s="1"/>
  <c r="EI19" i="7"/>
  <c r="EH20" i="7" s="1"/>
  <c r="EF18" i="7"/>
  <c r="EE19" i="7" s="1"/>
  <c r="EC19" i="7"/>
  <c r="EB20" i="7" s="1"/>
  <c r="DY19" i="7"/>
  <c r="DZ19" i="7" s="1"/>
  <c r="DT19" i="7"/>
  <c r="DS20" i="7" s="1"/>
  <c r="DQ18" i="7"/>
  <c r="DP19" i="7" s="1"/>
  <c r="DN19" i="7"/>
  <c r="DM20" i="7" s="1"/>
  <c r="DH18" i="7"/>
  <c r="DG19" i="7" s="1"/>
  <c r="CX19" i="7"/>
  <c r="CY19" i="7" s="1"/>
  <c r="C20" i="7"/>
  <c r="D20" i="7" s="1"/>
  <c r="D80" i="4"/>
  <c r="CA22" i="7"/>
  <c r="BZ23" i="7" s="1"/>
  <c r="O22" i="7"/>
  <c r="P22" i="7" s="1"/>
  <c r="E22" i="6"/>
  <c r="F22" i="6" s="1"/>
  <c r="B35" i="6"/>
  <c r="C35" i="6" s="1"/>
  <c r="B36" i="6" s="1"/>
  <c r="C36" i="6" s="1"/>
  <c r="D32" i="4"/>
  <c r="D28" i="4"/>
  <c r="D39" i="4" s="1"/>
  <c r="Q37" i="4" s="1"/>
  <c r="J15" i="10"/>
  <c r="Q24" i="4"/>
  <c r="D33" i="4"/>
  <c r="D40" i="4"/>
  <c r="Q38" i="4" s="1"/>
  <c r="J31" i="10" l="1"/>
  <c r="N31" i="10" s="1"/>
  <c r="D42" i="4"/>
  <c r="Q39" i="4" s="1"/>
  <c r="M14" i="10"/>
  <c r="N14" i="10" s="1"/>
  <c r="M12" i="10"/>
  <c r="M57" i="10" s="1"/>
  <c r="M21" i="10" s="1"/>
  <c r="N13" i="10"/>
  <c r="D34" i="4"/>
  <c r="D121" i="4" s="1"/>
  <c r="K15" i="10"/>
  <c r="N15" i="10"/>
  <c r="CP19" i="7"/>
  <c r="CO20" i="7" s="1"/>
  <c r="CM18" i="7"/>
  <c r="CL19" i="7" s="1"/>
  <c r="CJ17" i="7"/>
  <c r="CI18" i="7" s="1"/>
  <c r="CG19" i="7"/>
  <c r="CF20" i="7" s="1"/>
  <c r="CC20" i="7"/>
  <c r="CD20" i="7" s="1"/>
  <c r="BX19" i="7"/>
  <c r="BW20" i="7" s="1"/>
  <c r="BT18" i="7"/>
  <c r="BU18" i="7" s="1"/>
  <c r="BR18" i="7"/>
  <c r="BQ19" i="7" s="1"/>
  <c r="BN20" i="7"/>
  <c r="BO20" i="7" s="1"/>
  <c r="BK20" i="7"/>
  <c r="BL20" i="7" s="1"/>
  <c r="BH19" i="7"/>
  <c r="BI19" i="7" s="1"/>
  <c r="BB20" i="7"/>
  <c r="BC20" i="7" s="1"/>
  <c r="AZ19" i="7"/>
  <c r="AY20" i="7" s="1"/>
  <c r="BF18" i="7"/>
  <c r="BE19" i="7" s="1"/>
  <c r="CR21" i="7"/>
  <c r="CS21" i="7" s="1"/>
  <c r="GN19" i="7"/>
  <c r="GM20" i="7" s="1"/>
  <c r="GK19" i="7"/>
  <c r="GJ20" i="7" s="1"/>
  <c r="GG19" i="7"/>
  <c r="GH19" i="7" s="1"/>
  <c r="GE20" i="7"/>
  <c r="GD21" i="7" s="1"/>
  <c r="GB20" i="7"/>
  <c r="GA21" i="7" s="1"/>
  <c r="FX20" i="7"/>
  <c r="FY20" i="7" s="1"/>
  <c r="FV21" i="7"/>
  <c r="FU22" i="7" s="1"/>
  <c r="FR20" i="7"/>
  <c r="FS20" i="7" s="1"/>
  <c r="FO19" i="7"/>
  <c r="FP19" i="7" s="1"/>
  <c r="FL19" i="7"/>
  <c r="FM19" i="7" s="1"/>
  <c r="FJ20" i="7"/>
  <c r="FI21" i="7" s="1"/>
  <c r="FF19" i="7"/>
  <c r="FG19" i="7" s="1"/>
  <c r="FD19" i="7"/>
  <c r="FC20" i="7" s="1"/>
  <c r="FA20" i="7"/>
  <c r="EZ21" i="7" s="1"/>
  <c r="EX19" i="7"/>
  <c r="EW20" i="7" s="1"/>
  <c r="EU20" i="7"/>
  <c r="ET21" i="7" s="1"/>
  <c r="ER18" i="7"/>
  <c r="EQ19" i="7" s="1"/>
  <c r="EO19" i="7"/>
  <c r="EN20" i="7" s="1"/>
  <c r="EL19" i="7"/>
  <c r="EK20" i="7" s="1"/>
  <c r="EI20" i="7"/>
  <c r="EH21" i="7" s="1"/>
  <c r="EF19" i="7"/>
  <c r="EE20" i="7" s="1"/>
  <c r="EC20" i="7"/>
  <c r="EB21" i="7" s="1"/>
  <c r="DY20" i="7"/>
  <c r="DZ20" i="7" s="1"/>
  <c r="DT20" i="7"/>
  <c r="DS21" i="7" s="1"/>
  <c r="DQ19" i="7"/>
  <c r="DP20" i="7" s="1"/>
  <c r="DN20" i="7"/>
  <c r="DM21" i="7" s="1"/>
  <c r="DH19" i="7"/>
  <c r="DG20" i="7" s="1"/>
  <c r="CX20" i="7"/>
  <c r="CY20" i="7" s="1"/>
  <c r="C21" i="7"/>
  <c r="D21" i="7" s="1"/>
  <c r="CA23" i="7"/>
  <c r="BZ24" i="7" s="1"/>
  <c r="O23" i="7"/>
  <c r="P23" i="7" s="1"/>
  <c r="E23" i="6"/>
  <c r="F23" i="6" s="1"/>
  <c r="B37" i="6"/>
  <c r="C37" i="6" s="1"/>
  <c r="B38" i="6" s="1"/>
  <c r="C38" i="6" s="1"/>
  <c r="K31" i="10" l="1"/>
  <c r="J10" i="10"/>
  <c r="N10" i="10" s="1"/>
  <c r="D107" i="4"/>
  <c r="D108" i="4"/>
  <c r="D101" i="4"/>
  <c r="M19" i="10"/>
  <c r="M11" i="10"/>
  <c r="D92" i="4"/>
  <c r="J39" i="10" s="1"/>
  <c r="K39" i="10" s="1"/>
  <c r="D84" i="4"/>
  <c r="D85" i="4"/>
  <c r="D86" i="4" s="1"/>
  <c r="D91" i="4"/>
  <c r="CP20" i="7"/>
  <c r="CO21" i="7" s="1"/>
  <c r="CM19" i="7"/>
  <c r="CL20" i="7" s="1"/>
  <c r="CJ18" i="7"/>
  <c r="CI19" i="7" s="1"/>
  <c r="CG20" i="7"/>
  <c r="CF21" i="7" s="1"/>
  <c r="CC21" i="7"/>
  <c r="CD21" i="7" s="1"/>
  <c r="BX20" i="7"/>
  <c r="BW21" i="7" s="1"/>
  <c r="BT19" i="7"/>
  <c r="BU19" i="7" s="1"/>
  <c r="BR19" i="7"/>
  <c r="BQ20" i="7" s="1"/>
  <c r="BN21" i="7"/>
  <c r="BO21" i="7" s="1"/>
  <c r="BK21" i="7"/>
  <c r="BL21" i="7" s="1"/>
  <c r="BH20" i="7"/>
  <c r="BI20" i="7" s="1"/>
  <c r="BB21" i="7"/>
  <c r="BC21" i="7" s="1"/>
  <c r="AZ20" i="7"/>
  <c r="AY21" i="7" s="1"/>
  <c r="BF19" i="7"/>
  <c r="BE20" i="7" s="1"/>
  <c r="CR22" i="7"/>
  <c r="CS22" i="7" s="1"/>
  <c r="D178" i="4"/>
  <c r="GN20" i="7"/>
  <c r="GM21" i="7" s="1"/>
  <c r="GK20" i="7"/>
  <c r="GJ21" i="7" s="1"/>
  <c r="GG20" i="7"/>
  <c r="GH20" i="7" s="1"/>
  <c r="GE21" i="7"/>
  <c r="GD22" i="7" s="1"/>
  <c r="GB21" i="7"/>
  <c r="GA22" i="7" s="1"/>
  <c r="FX21" i="7"/>
  <c r="FY21" i="7" s="1"/>
  <c r="FV22" i="7"/>
  <c r="FU23" i="7" s="1"/>
  <c r="FR21" i="7"/>
  <c r="FS21" i="7" s="1"/>
  <c r="FO20" i="7"/>
  <c r="FP20" i="7" s="1"/>
  <c r="FL20" i="7"/>
  <c r="FM20" i="7" s="1"/>
  <c r="FJ21" i="7"/>
  <c r="FI22" i="7" s="1"/>
  <c r="FF20" i="7"/>
  <c r="FG20" i="7" s="1"/>
  <c r="FD20" i="7"/>
  <c r="FC21" i="7" s="1"/>
  <c r="FA21" i="7"/>
  <c r="EZ22" i="7" s="1"/>
  <c r="EX20" i="7"/>
  <c r="EW21" i="7" s="1"/>
  <c r="EU21" i="7"/>
  <c r="ET22" i="7" s="1"/>
  <c r="ER19" i="7"/>
  <c r="EQ20" i="7" s="1"/>
  <c r="EO20" i="7"/>
  <c r="EN21" i="7" s="1"/>
  <c r="EL20" i="7"/>
  <c r="EK21" i="7" s="1"/>
  <c r="EI21" i="7"/>
  <c r="EH22" i="7" s="1"/>
  <c r="EF20" i="7"/>
  <c r="EE21" i="7" s="1"/>
  <c r="EC21" i="7"/>
  <c r="EB22" i="7" s="1"/>
  <c r="DY21" i="7"/>
  <c r="DZ21" i="7" s="1"/>
  <c r="DT21" i="7"/>
  <c r="DS22" i="7" s="1"/>
  <c r="DQ20" i="7"/>
  <c r="DP21" i="7" s="1"/>
  <c r="DN21" i="7"/>
  <c r="DM22" i="7" s="1"/>
  <c r="DH20" i="7"/>
  <c r="DG21" i="7" s="1"/>
  <c r="CX21" i="7"/>
  <c r="CY21" i="7" s="1"/>
  <c r="C22" i="7"/>
  <c r="D22" i="7" s="1"/>
  <c r="D45" i="4"/>
  <c r="D115" i="4"/>
  <c r="J45" i="10" s="1"/>
  <c r="K45" i="10" s="1"/>
  <c r="D157" i="4"/>
  <c r="D158" i="4" s="1"/>
  <c r="D160" i="4" s="1"/>
  <c r="W34" i="4" s="1"/>
  <c r="D190" i="4"/>
  <c r="D191" i="4" s="1"/>
  <c r="D193" i="4" s="1"/>
  <c r="AC14" i="4" s="1"/>
  <c r="D46" i="4"/>
  <c r="D163" i="4"/>
  <c r="D164" i="4" s="1"/>
  <c r="D166" i="4" s="1"/>
  <c r="D145" i="4"/>
  <c r="D146" i="4" s="1"/>
  <c r="D148" i="4" s="1"/>
  <c r="D122" i="4"/>
  <c r="D124" i="4" s="1"/>
  <c r="D205" i="4"/>
  <c r="D206" i="4" s="1"/>
  <c r="D208" i="4" s="1"/>
  <c r="AC20" i="4" s="1"/>
  <c r="D100" i="4"/>
  <c r="D133" i="4"/>
  <c r="D134" i="4" s="1"/>
  <c r="D136" i="4" s="1"/>
  <c r="D215" i="4"/>
  <c r="D216" i="4" s="1"/>
  <c r="D218" i="4" s="1"/>
  <c r="AC24" i="4" s="1"/>
  <c r="D127" i="4"/>
  <c r="D128" i="4" s="1"/>
  <c r="D130" i="4" s="1"/>
  <c r="D200" i="4"/>
  <c r="D201" i="4" s="1"/>
  <c r="D203" i="4" s="1"/>
  <c r="D114" i="4"/>
  <c r="D210" i="4"/>
  <c r="D211" i="4" s="1"/>
  <c r="D213" i="4" s="1"/>
  <c r="AC22" i="4" s="1"/>
  <c r="D195" i="4"/>
  <c r="D196" i="4" s="1"/>
  <c r="D198" i="4" s="1"/>
  <c r="AC16" i="4" s="1"/>
  <c r="D225" i="4"/>
  <c r="D226" i="4" s="1"/>
  <c r="D228" i="4" s="1"/>
  <c r="AC28" i="4" s="1"/>
  <c r="D235" i="4"/>
  <c r="D236" i="4" s="1"/>
  <c r="D238" i="4" s="1"/>
  <c r="AC33" i="4" s="1"/>
  <c r="D220" i="4"/>
  <c r="D221" i="4" s="1"/>
  <c r="D223" i="4" s="1"/>
  <c r="AC26" i="4" s="1"/>
  <c r="D230" i="4"/>
  <c r="D231" i="4" s="1"/>
  <c r="D233" i="4" s="1"/>
  <c r="AC31" i="4" s="1"/>
  <c r="D139" i="4"/>
  <c r="D140" i="4" s="1"/>
  <c r="D142" i="4" s="1"/>
  <c r="W28" i="4" s="1"/>
  <c r="D151" i="4"/>
  <c r="D152" i="4" s="1"/>
  <c r="D154" i="4" s="1"/>
  <c r="D255" i="4"/>
  <c r="D256" i="4" s="1"/>
  <c r="D258" i="4" s="1"/>
  <c r="AC41" i="4" s="1"/>
  <c r="D250" i="4"/>
  <c r="D251" i="4" s="1"/>
  <c r="D253" i="4" s="1"/>
  <c r="AC39" i="4" s="1"/>
  <c r="D180" i="4"/>
  <c r="D181" i="4" s="1"/>
  <c r="D183" i="4" s="1"/>
  <c r="AC10" i="4" s="1"/>
  <c r="D169" i="4"/>
  <c r="D170" i="4" s="1"/>
  <c r="D172" i="4" s="1"/>
  <c r="D240" i="4"/>
  <c r="D241" i="4" s="1"/>
  <c r="D243" i="4" s="1"/>
  <c r="D265" i="4"/>
  <c r="D266" i="4" s="1"/>
  <c r="D268" i="4" s="1"/>
  <c r="AC45" i="4" s="1"/>
  <c r="Q14" i="4"/>
  <c r="D245" i="4"/>
  <c r="D246" i="4" s="1"/>
  <c r="D248" i="4" s="1"/>
  <c r="AC37" i="4" s="1"/>
  <c r="D44" i="4"/>
  <c r="D185" i="4"/>
  <c r="D186" i="4" s="1"/>
  <c r="D188" i="4" s="1"/>
  <c r="AC12" i="4" s="1"/>
  <c r="D260" i="4"/>
  <c r="D261" i="4" s="1"/>
  <c r="D263" i="4" s="1"/>
  <c r="AC43" i="4" s="1"/>
  <c r="CA24" i="7"/>
  <c r="BZ25" i="7" s="1"/>
  <c r="O24" i="7"/>
  <c r="P24" i="7" s="1"/>
  <c r="E24" i="6"/>
  <c r="F24" i="6" s="1"/>
  <c r="B39" i="6"/>
  <c r="C39" i="6" s="1"/>
  <c r="B40" i="6" s="1"/>
  <c r="C40" i="6" s="1"/>
  <c r="D102" i="4" l="1"/>
  <c r="D104" i="4" s="1"/>
  <c r="D109" i="4"/>
  <c r="D111" i="4" s="1"/>
  <c r="J20" i="10"/>
  <c r="K20" i="10" s="1"/>
  <c r="J48" i="10"/>
  <c r="K48" i="10" s="1"/>
  <c r="K10" i="10"/>
  <c r="J36" i="10"/>
  <c r="K36" i="10" s="1"/>
  <c r="M33" i="10"/>
  <c r="N11" i="10"/>
  <c r="W30" i="4"/>
  <c r="J53" i="10"/>
  <c r="W36" i="4"/>
  <c r="J55" i="10"/>
  <c r="W26" i="4"/>
  <c r="J50" i="10"/>
  <c r="W24" i="4"/>
  <c r="J51" i="10"/>
  <c r="W21" i="4"/>
  <c r="J49" i="10"/>
  <c r="W32" i="4"/>
  <c r="J54" i="10"/>
  <c r="CP21" i="7"/>
  <c r="CO22" i="7" s="1"/>
  <c r="CM20" i="7"/>
  <c r="CL21" i="7" s="1"/>
  <c r="CJ19" i="7"/>
  <c r="CI20" i="7" s="1"/>
  <c r="CG21" i="7"/>
  <c r="CF22" i="7" s="1"/>
  <c r="CC22" i="7"/>
  <c r="CD22" i="7" s="1"/>
  <c r="BX21" i="7"/>
  <c r="BW22" i="7" s="1"/>
  <c r="BT20" i="7"/>
  <c r="BU20" i="7" s="1"/>
  <c r="BR20" i="7"/>
  <c r="BQ21" i="7" s="1"/>
  <c r="BN22" i="7"/>
  <c r="BO22" i="7" s="1"/>
  <c r="BK22" i="7"/>
  <c r="BL22" i="7" s="1"/>
  <c r="BH21" i="7"/>
  <c r="BI21" i="7" s="1"/>
  <c r="BB22" i="7"/>
  <c r="BC22" i="7" s="1"/>
  <c r="AZ21" i="7"/>
  <c r="AY22" i="7" s="1"/>
  <c r="BF20" i="7"/>
  <c r="BE21" i="7" s="1"/>
  <c r="CR23" i="7"/>
  <c r="CS23" i="7" s="1"/>
  <c r="GN21" i="7"/>
  <c r="GM22" i="7" s="1"/>
  <c r="GK21" i="7"/>
  <c r="GJ22" i="7" s="1"/>
  <c r="GG21" i="7"/>
  <c r="GH21" i="7" s="1"/>
  <c r="GE22" i="7"/>
  <c r="GD23" i="7" s="1"/>
  <c r="GB22" i="7"/>
  <c r="GA23" i="7" s="1"/>
  <c r="FX22" i="7"/>
  <c r="FY22" i="7" s="1"/>
  <c r="FV23" i="7"/>
  <c r="FU24" i="7" s="1"/>
  <c r="FR22" i="7"/>
  <c r="FS22" i="7" s="1"/>
  <c r="FO21" i="7"/>
  <c r="FP21" i="7" s="1"/>
  <c r="FL21" i="7"/>
  <c r="FM21" i="7" s="1"/>
  <c r="FJ22" i="7"/>
  <c r="FI23" i="7" s="1"/>
  <c r="FF21" i="7"/>
  <c r="FG21" i="7" s="1"/>
  <c r="FD21" i="7"/>
  <c r="FC22" i="7" s="1"/>
  <c r="FA22" i="7"/>
  <c r="EZ23" i="7" s="1"/>
  <c r="EX21" i="7"/>
  <c r="EW22" i="7" s="1"/>
  <c r="EU22" i="7"/>
  <c r="ET23" i="7" s="1"/>
  <c r="ER20" i="7"/>
  <c r="EQ21" i="7" s="1"/>
  <c r="EO21" i="7"/>
  <c r="EN22" i="7" s="1"/>
  <c r="EL21" i="7"/>
  <c r="EK22" i="7" s="1"/>
  <c r="EI22" i="7"/>
  <c r="EH23" i="7" s="1"/>
  <c r="EF21" i="7"/>
  <c r="EE22" i="7" s="1"/>
  <c r="EC22" i="7"/>
  <c r="EB23" i="7" s="1"/>
  <c r="DY22" i="7"/>
  <c r="DZ22" i="7" s="1"/>
  <c r="DT22" i="7"/>
  <c r="DS23" i="7" s="1"/>
  <c r="DQ21" i="7"/>
  <c r="DP22" i="7" s="1"/>
  <c r="DN22" i="7"/>
  <c r="DM23" i="7" s="1"/>
  <c r="DH21" i="7"/>
  <c r="DG22" i="7" s="1"/>
  <c r="CX22" i="7"/>
  <c r="CY22" i="7" s="1"/>
  <c r="C23" i="7"/>
  <c r="D23" i="7" s="1"/>
  <c r="D47" i="4"/>
  <c r="AC35" i="4"/>
  <c r="D116" i="4"/>
  <c r="D118" i="4" s="1"/>
  <c r="D88" i="4"/>
  <c r="AC18" i="4"/>
  <c r="D93" i="4"/>
  <c r="D95" i="4" s="1"/>
  <c r="CA25" i="7"/>
  <c r="BZ26" i="7" s="1"/>
  <c r="O25" i="7"/>
  <c r="P25" i="7" s="1"/>
  <c r="E25" i="6"/>
  <c r="F25" i="6" s="1"/>
  <c r="B41" i="6"/>
  <c r="C41" i="6" s="1"/>
  <c r="B42" i="6" s="1"/>
  <c r="C42" i="6" s="1"/>
  <c r="W38" i="4"/>
  <c r="N20" i="10" l="1"/>
  <c r="M39" i="10"/>
  <c r="M32" i="10"/>
  <c r="M30" i="10" s="1"/>
  <c r="M28" i="10" s="1"/>
  <c r="M22" i="10" s="1"/>
  <c r="M36" i="10"/>
  <c r="W19" i="4"/>
  <c r="J43" i="10"/>
  <c r="K49" i="10"/>
  <c r="N49" i="10"/>
  <c r="N50" i="10"/>
  <c r="K50" i="10"/>
  <c r="W12" i="4"/>
  <c r="J37" i="10"/>
  <c r="K54" i="10"/>
  <c r="N54" i="10"/>
  <c r="K51" i="10"/>
  <c r="N51" i="10"/>
  <c r="N55" i="10"/>
  <c r="K55" i="10"/>
  <c r="K53" i="10"/>
  <c r="N53" i="10"/>
  <c r="W17" i="4"/>
  <c r="J46" i="10"/>
  <c r="J42" i="10"/>
  <c r="K42" i="10" s="1"/>
  <c r="D51" i="4"/>
  <c r="J12" i="10"/>
  <c r="W10" i="4"/>
  <c r="J34" i="10"/>
  <c r="CP22" i="7"/>
  <c r="CO23" i="7" s="1"/>
  <c r="CM21" i="7"/>
  <c r="CL22" i="7" s="1"/>
  <c r="CJ20" i="7"/>
  <c r="CI21" i="7" s="1"/>
  <c r="CG22" i="7"/>
  <c r="CF23" i="7" s="1"/>
  <c r="CC23" i="7"/>
  <c r="CD23" i="7" s="1"/>
  <c r="BX22" i="7"/>
  <c r="BW23" i="7" s="1"/>
  <c r="BT21" i="7"/>
  <c r="BU21" i="7" s="1"/>
  <c r="BR21" i="7"/>
  <c r="BQ22" i="7" s="1"/>
  <c r="BN23" i="7"/>
  <c r="BO23" i="7" s="1"/>
  <c r="BK23" i="7"/>
  <c r="BL23" i="7" s="1"/>
  <c r="BH22" i="7"/>
  <c r="BI22" i="7" s="1"/>
  <c r="BB23" i="7"/>
  <c r="BC23" i="7" s="1"/>
  <c r="AZ22" i="7"/>
  <c r="AY23" i="7" s="1"/>
  <c r="BF21" i="7"/>
  <c r="BE22" i="7" s="1"/>
  <c r="CR24" i="7"/>
  <c r="CS24" i="7" s="1"/>
  <c r="GN22" i="7"/>
  <c r="GM23" i="7" s="1"/>
  <c r="GK22" i="7"/>
  <c r="GJ23" i="7" s="1"/>
  <c r="GG22" i="7"/>
  <c r="GH22" i="7" s="1"/>
  <c r="GE23" i="7"/>
  <c r="GD24" i="7" s="1"/>
  <c r="GB23" i="7"/>
  <c r="GA24" i="7" s="1"/>
  <c r="FX23" i="7"/>
  <c r="FY23" i="7" s="1"/>
  <c r="FV24" i="7"/>
  <c r="FU25" i="7" s="1"/>
  <c r="FR23" i="7"/>
  <c r="FS23" i="7" s="1"/>
  <c r="FO22" i="7"/>
  <c r="FP22" i="7" s="1"/>
  <c r="FL22" i="7"/>
  <c r="FM22" i="7" s="1"/>
  <c r="FJ23" i="7"/>
  <c r="FI24" i="7" s="1"/>
  <c r="FF22" i="7"/>
  <c r="FG22" i="7" s="1"/>
  <c r="FD22" i="7"/>
  <c r="FC23" i="7" s="1"/>
  <c r="FA23" i="7"/>
  <c r="EZ24" i="7" s="1"/>
  <c r="EX22" i="7"/>
  <c r="EW23" i="7" s="1"/>
  <c r="EU23" i="7"/>
  <c r="ET24" i="7" s="1"/>
  <c r="ER21" i="7"/>
  <c r="EQ22" i="7" s="1"/>
  <c r="EO22" i="7"/>
  <c r="EN23" i="7" s="1"/>
  <c r="EL22" i="7"/>
  <c r="EK23" i="7" s="1"/>
  <c r="EI23" i="7"/>
  <c r="EH24" i="7" s="1"/>
  <c r="EF22" i="7"/>
  <c r="EE23" i="7" s="1"/>
  <c r="EC23" i="7"/>
  <c r="EB24" i="7" s="1"/>
  <c r="DY23" i="7"/>
  <c r="DZ23" i="7" s="1"/>
  <c r="DT23" i="7"/>
  <c r="DS24" i="7" s="1"/>
  <c r="DQ22" i="7"/>
  <c r="DP23" i="7" s="1"/>
  <c r="DN23" i="7"/>
  <c r="DM24" i="7" s="1"/>
  <c r="DH22" i="7"/>
  <c r="DG23" i="7" s="1"/>
  <c r="CX23" i="7"/>
  <c r="CY23" i="7" s="1"/>
  <c r="C24" i="7"/>
  <c r="D24" i="7" s="1"/>
  <c r="D50" i="4"/>
  <c r="Q15" i="4" s="1"/>
  <c r="Q25" i="4"/>
  <c r="D97" i="4"/>
  <c r="V14" i="4" s="1"/>
  <c r="CA26" i="7"/>
  <c r="BZ27" i="7" s="1"/>
  <c r="O26" i="7"/>
  <c r="P26" i="7" s="1"/>
  <c r="E26" i="6"/>
  <c r="F26" i="6" s="1"/>
  <c r="B43" i="6"/>
  <c r="C43" i="6" s="1"/>
  <c r="B44" i="6" s="1"/>
  <c r="C44" i="6" s="1"/>
  <c r="D54" i="4" l="1"/>
  <c r="M34" i="10"/>
  <c r="N34" i="10" s="1"/>
  <c r="N36" i="10"/>
  <c r="M29" i="10"/>
  <c r="M23" i="10"/>
  <c r="M25" i="10"/>
  <c r="M37" i="10"/>
  <c r="N37" i="10" s="1"/>
  <c r="N39" i="10"/>
  <c r="K37" i="10"/>
  <c r="N12" i="10"/>
  <c r="K12" i="10"/>
  <c r="K34" i="10"/>
  <c r="N46" i="10"/>
  <c r="K46" i="10"/>
  <c r="N43" i="10"/>
  <c r="K43" i="10"/>
  <c r="W15" i="4"/>
  <c r="J40" i="10"/>
  <c r="Q26" i="4"/>
  <c r="J33" i="10"/>
  <c r="D55" i="4"/>
  <c r="D57" i="4" s="1"/>
  <c r="J21" i="10"/>
  <c r="CP23" i="7"/>
  <c r="CO24" i="7" s="1"/>
  <c r="CM22" i="7"/>
  <c r="CL23" i="7" s="1"/>
  <c r="CJ21" i="7"/>
  <c r="CI22" i="7" s="1"/>
  <c r="CG23" i="7"/>
  <c r="CF24" i="7" s="1"/>
  <c r="CC24" i="7"/>
  <c r="CD24" i="7" s="1"/>
  <c r="BX23" i="7"/>
  <c r="BW24" i="7" s="1"/>
  <c r="BT22" i="7"/>
  <c r="BU22" i="7" s="1"/>
  <c r="BR22" i="7"/>
  <c r="BQ23" i="7" s="1"/>
  <c r="BN24" i="7"/>
  <c r="BO24" i="7" s="1"/>
  <c r="BK24" i="7"/>
  <c r="BL24" i="7" s="1"/>
  <c r="BH23" i="7"/>
  <c r="BI23" i="7" s="1"/>
  <c r="BB24" i="7"/>
  <c r="BC24" i="7" s="1"/>
  <c r="AZ23" i="7"/>
  <c r="AY24" i="7" s="1"/>
  <c r="BF22" i="7"/>
  <c r="BE23" i="7" s="1"/>
  <c r="CR25" i="7"/>
  <c r="CS25" i="7" s="1"/>
  <c r="GN23" i="7"/>
  <c r="GM24" i="7" s="1"/>
  <c r="GK23" i="7"/>
  <c r="GJ24" i="7" s="1"/>
  <c r="GG23" i="7"/>
  <c r="GH23" i="7" s="1"/>
  <c r="GE24" i="7"/>
  <c r="GD25" i="7" s="1"/>
  <c r="GB24" i="7"/>
  <c r="GA25" i="7" s="1"/>
  <c r="FX24" i="7"/>
  <c r="FY24" i="7" s="1"/>
  <c r="FV25" i="7"/>
  <c r="FU26" i="7" s="1"/>
  <c r="FR24" i="7"/>
  <c r="FS24" i="7" s="1"/>
  <c r="FO23" i="7"/>
  <c r="FP23" i="7" s="1"/>
  <c r="FL23" i="7"/>
  <c r="FM23" i="7" s="1"/>
  <c r="FJ24" i="7"/>
  <c r="FI25" i="7" s="1"/>
  <c r="FF23" i="7"/>
  <c r="FG23" i="7" s="1"/>
  <c r="FD23" i="7"/>
  <c r="FC24" i="7" s="1"/>
  <c r="FA24" i="7"/>
  <c r="EZ25" i="7" s="1"/>
  <c r="EX23" i="7"/>
  <c r="EW24" i="7" s="1"/>
  <c r="EU24" i="7"/>
  <c r="ET25" i="7" s="1"/>
  <c r="ER22" i="7"/>
  <c r="EQ23" i="7" s="1"/>
  <c r="EO23" i="7"/>
  <c r="EN24" i="7" s="1"/>
  <c r="EL23" i="7"/>
  <c r="EK24" i="7" s="1"/>
  <c r="EI24" i="7"/>
  <c r="EH25" i="7" s="1"/>
  <c r="EF23" i="7"/>
  <c r="EE24" i="7" s="1"/>
  <c r="EC24" i="7"/>
  <c r="EB25" i="7" s="1"/>
  <c r="DY24" i="7"/>
  <c r="DZ24" i="7" s="1"/>
  <c r="DT24" i="7"/>
  <c r="DS25" i="7" s="1"/>
  <c r="DQ23" i="7"/>
  <c r="DP24" i="7" s="1"/>
  <c r="DN24" i="7"/>
  <c r="DM25" i="7" s="1"/>
  <c r="DH23" i="7"/>
  <c r="DG24" i="7" s="1"/>
  <c r="CX24" i="7"/>
  <c r="CY24" i="7" s="1"/>
  <c r="C25" i="7"/>
  <c r="D25" i="7" s="1"/>
  <c r="Q16" i="4"/>
  <c r="CA27" i="7"/>
  <c r="BZ28" i="7" s="1"/>
  <c r="O27" i="7"/>
  <c r="P27" i="7" s="1"/>
  <c r="E27" i="6"/>
  <c r="F27" i="6" s="1"/>
  <c r="B45" i="6"/>
  <c r="C45" i="6" s="1"/>
  <c r="B46" i="6" s="1"/>
  <c r="C46" i="6" s="1"/>
  <c r="BJ3" i="5"/>
  <c r="BK3" i="5" s="1"/>
  <c r="BJ4" i="5" s="1"/>
  <c r="BK4" i="5" s="1"/>
  <c r="BJ5" i="5" s="1"/>
  <c r="BK5" i="5" s="1"/>
  <c r="BJ6" i="5" s="1"/>
  <c r="BK6" i="5" s="1"/>
  <c r="BJ7" i="5" s="1"/>
  <c r="BK7" i="5" s="1"/>
  <c r="BJ8" i="5" s="1"/>
  <c r="BK8" i="5" s="1"/>
  <c r="BJ9" i="5" s="1"/>
  <c r="BK9" i="5" s="1"/>
  <c r="BJ10" i="5" s="1"/>
  <c r="BK10" i="5" s="1"/>
  <c r="BJ11" i="5" s="1"/>
  <c r="BK11" i="5" s="1"/>
  <c r="BJ12" i="5" s="1"/>
  <c r="BK12" i="5" s="1"/>
  <c r="BJ13" i="5" s="1"/>
  <c r="BK13" i="5" s="1"/>
  <c r="BJ14" i="5" s="1"/>
  <c r="BK14" i="5" s="1"/>
  <c r="BJ15" i="5" s="1"/>
  <c r="BK15" i="5" s="1"/>
  <c r="BJ16" i="5" s="1"/>
  <c r="BK16" i="5" s="1"/>
  <c r="BJ17" i="5" s="1"/>
  <c r="BK17" i="5" s="1"/>
  <c r="BJ18" i="5" s="1"/>
  <c r="BK18" i="5" s="1"/>
  <c r="BJ19" i="5" s="1"/>
  <c r="BK19" i="5" s="1"/>
  <c r="BJ20" i="5" s="1"/>
  <c r="BK20" i="5" s="1"/>
  <c r="BJ21" i="5" s="1"/>
  <c r="BK21" i="5" s="1"/>
  <c r="BJ22" i="5" s="1"/>
  <c r="BK22" i="5" s="1"/>
  <c r="BJ23" i="5" s="1"/>
  <c r="BK23" i="5" s="1"/>
  <c r="BJ24" i="5" s="1"/>
  <c r="BK24" i="5" s="1"/>
  <c r="BJ25" i="5" s="1"/>
  <c r="BK25" i="5" s="1"/>
  <c r="BJ26" i="5" s="1"/>
  <c r="BK26" i="5" s="1"/>
  <c r="BJ27" i="5" s="1"/>
  <c r="BK27" i="5" s="1"/>
  <c r="BJ28" i="5" s="1"/>
  <c r="BK28" i="5" s="1"/>
  <c r="BJ29" i="5" s="1"/>
  <c r="BK29" i="5" s="1"/>
  <c r="BJ30" i="5" s="1"/>
  <c r="BK30" i="5" s="1"/>
  <c r="BJ31" i="5" s="1"/>
  <c r="BK31" i="5" s="1"/>
  <c r="BJ32" i="5" s="1"/>
  <c r="BK32" i="5" s="1"/>
  <c r="BJ33" i="5" s="1"/>
  <c r="BK33" i="5" s="1"/>
  <c r="BJ34" i="5" s="1"/>
  <c r="BK34" i="5" s="1"/>
  <c r="BJ35" i="5" s="1"/>
  <c r="BK35" i="5" s="1"/>
  <c r="BJ36" i="5" s="1"/>
  <c r="BK36" i="5" s="1"/>
  <c r="BJ37" i="5" s="1"/>
  <c r="BK37" i="5" s="1"/>
  <c r="BJ38" i="5" s="1"/>
  <c r="BK38" i="5" s="1"/>
  <c r="BJ39" i="5" s="1"/>
  <c r="BK39" i="5" s="1"/>
  <c r="BJ40" i="5" s="1"/>
  <c r="BK40" i="5" s="1"/>
  <c r="BJ41" i="5" s="1"/>
  <c r="BK41" i="5" s="1"/>
  <c r="BJ42" i="5" s="1"/>
  <c r="BK42" i="5" s="1"/>
  <c r="BJ43" i="5" s="1"/>
  <c r="BK43" i="5" s="1"/>
  <c r="BJ44" i="5" s="1"/>
  <c r="BK44" i="5" s="1"/>
  <c r="BJ45" i="5" s="1"/>
  <c r="BK45" i="5" s="1"/>
  <c r="BJ46" i="5" s="1"/>
  <c r="BK46" i="5" s="1"/>
  <c r="BJ47" i="5" s="1"/>
  <c r="BK47" i="5" s="1"/>
  <c r="BJ48" i="5" s="1"/>
  <c r="BK48" i="5" s="1"/>
  <c r="BJ49" i="5" s="1"/>
  <c r="BK49" i="5" s="1"/>
  <c r="BJ50" i="5" s="1"/>
  <c r="BK50" i="5" s="1"/>
  <c r="BJ51" i="5" s="1"/>
  <c r="BK51" i="5" s="1"/>
  <c r="BJ52" i="5" s="1"/>
  <c r="BK52" i="5" s="1"/>
  <c r="BJ53" i="5" s="1"/>
  <c r="BK53" i="5" s="1"/>
  <c r="BJ54" i="5" s="1"/>
  <c r="BK54" i="5" s="1"/>
  <c r="BJ55" i="5" s="1"/>
  <c r="BK55" i="5" s="1"/>
  <c r="BJ56" i="5" s="1"/>
  <c r="BK56" i="5" s="1"/>
  <c r="BJ57" i="5" s="1"/>
  <c r="BK57" i="5" s="1"/>
  <c r="BJ58" i="5" s="1"/>
  <c r="BK58" i="5" s="1"/>
  <c r="BJ59" i="5" s="1"/>
  <c r="BK59" i="5" s="1"/>
  <c r="BJ60" i="5" s="1"/>
  <c r="BK60" i="5" s="1"/>
  <c r="BJ61" i="5" s="1"/>
  <c r="BK61" i="5" s="1"/>
  <c r="BJ62" i="5" s="1"/>
  <c r="BK62" i="5" s="1"/>
  <c r="BJ63" i="5" s="1"/>
  <c r="BK63" i="5" s="1"/>
  <c r="BJ64" i="5" s="1"/>
  <c r="BK64" i="5" s="1"/>
  <c r="BJ65" i="5" s="1"/>
  <c r="BK65" i="5" s="1"/>
  <c r="BJ66" i="5" s="1"/>
  <c r="BK66" i="5" s="1"/>
  <c r="BJ67" i="5" s="1"/>
  <c r="BK67" i="5" s="1"/>
  <c r="BJ68" i="5" s="1"/>
  <c r="BK68" i="5" s="1"/>
  <c r="BJ69" i="5" s="1"/>
  <c r="BK69" i="5" s="1"/>
  <c r="BJ70" i="5" s="1"/>
  <c r="BK70" i="5" s="1"/>
  <c r="BJ71" i="5" s="1"/>
  <c r="BK71" i="5" s="1"/>
  <c r="BJ72" i="5" s="1"/>
  <c r="BK72" i="5" s="1"/>
  <c r="BJ73" i="5" s="1"/>
  <c r="BK73" i="5" s="1"/>
  <c r="BJ74" i="5" s="1"/>
  <c r="BK74" i="5" s="1"/>
  <c r="BJ75" i="5" s="1"/>
  <c r="BK75" i="5" s="1"/>
  <c r="BJ76" i="5" s="1"/>
  <c r="BK76" i="5" s="1"/>
  <c r="BJ77" i="5" s="1"/>
  <c r="BK77" i="5" s="1"/>
  <c r="BJ78" i="5" s="1"/>
  <c r="BK78" i="5" s="1"/>
  <c r="BJ79" i="5" s="1"/>
  <c r="BK79" i="5" s="1"/>
  <c r="BJ80" i="5" s="1"/>
  <c r="BK80" i="5" s="1"/>
  <c r="BJ81" i="5" s="1"/>
  <c r="BK81" i="5" s="1"/>
  <c r="BJ82" i="5" s="1"/>
  <c r="BK82" i="5" s="1"/>
  <c r="BJ83" i="5" s="1"/>
  <c r="BK83" i="5" s="1"/>
  <c r="BJ84" i="5" s="1"/>
  <c r="BK84" i="5" s="1"/>
  <c r="BJ85" i="5" s="1"/>
  <c r="BK85" i="5" s="1"/>
  <c r="BJ86" i="5" s="1"/>
  <c r="BK86" i="5" s="1"/>
  <c r="BJ87" i="5" s="1"/>
  <c r="BK87" i="5" s="1"/>
  <c r="BJ88" i="5" s="1"/>
  <c r="BK88" i="5" s="1"/>
  <c r="BJ89" i="5" s="1"/>
  <c r="BK89" i="5" s="1"/>
  <c r="BJ90" i="5" s="1"/>
  <c r="BK90" i="5" s="1"/>
  <c r="BJ91" i="5" s="1"/>
  <c r="BK91" i="5" s="1"/>
  <c r="BJ92" i="5" s="1"/>
  <c r="BK92" i="5" s="1"/>
  <c r="BJ93" i="5" s="1"/>
  <c r="BK93" i="5" s="1"/>
  <c r="BJ94" i="5" s="1"/>
  <c r="BK94" i="5" s="1"/>
  <c r="BJ95" i="5" s="1"/>
  <c r="BK95" i="5" s="1"/>
  <c r="BJ96" i="5" s="1"/>
  <c r="BK96" i="5" s="1"/>
  <c r="BJ97" i="5" s="1"/>
  <c r="BK97" i="5" s="1"/>
  <c r="BJ98" i="5" s="1"/>
  <c r="BK98" i="5" s="1"/>
  <c r="BJ99" i="5" s="1"/>
  <c r="BK99" i="5" s="1"/>
  <c r="BJ100" i="5" s="1"/>
  <c r="BK100" i="5" s="1"/>
  <c r="BJ101" i="5" s="1"/>
  <c r="BK101" i="5" s="1"/>
  <c r="BJ102" i="5" s="1"/>
  <c r="BK102" i="5" s="1"/>
  <c r="J19" i="10" l="1"/>
  <c r="K19" i="10" s="1"/>
  <c r="K33" i="10"/>
  <c r="N33" i="10"/>
  <c r="D56" i="4"/>
  <c r="D58" i="4" s="1"/>
  <c r="Q17" i="4" s="1"/>
  <c r="N40" i="10"/>
  <c r="K40" i="10"/>
  <c r="Q18" i="4"/>
  <c r="K21" i="10"/>
  <c r="N21" i="10"/>
  <c r="Q27" i="4"/>
  <c r="J32" i="10"/>
  <c r="CP24" i="7"/>
  <c r="CO25" i="7" s="1"/>
  <c r="CM23" i="7"/>
  <c r="CL24" i="7" s="1"/>
  <c r="CJ22" i="7"/>
  <c r="CI23" i="7" s="1"/>
  <c r="CG24" i="7"/>
  <c r="CF25" i="7" s="1"/>
  <c r="CC25" i="7"/>
  <c r="CD25" i="7" s="1"/>
  <c r="BX24" i="7"/>
  <c r="BW25" i="7" s="1"/>
  <c r="BT23" i="7"/>
  <c r="BU23" i="7" s="1"/>
  <c r="BR23" i="7"/>
  <c r="BQ24" i="7" s="1"/>
  <c r="BN25" i="7"/>
  <c r="BO25" i="7" s="1"/>
  <c r="BK25" i="7"/>
  <c r="BL25" i="7" s="1"/>
  <c r="BH24" i="7"/>
  <c r="BI24" i="7" s="1"/>
  <c r="BB25" i="7"/>
  <c r="BC25" i="7" s="1"/>
  <c r="AZ24" i="7"/>
  <c r="AY25" i="7" s="1"/>
  <c r="BF23" i="7"/>
  <c r="BE24" i="7" s="1"/>
  <c r="CR26" i="7"/>
  <c r="CS26" i="7" s="1"/>
  <c r="GN24" i="7"/>
  <c r="GM25" i="7" s="1"/>
  <c r="GK24" i="7"/>
  <c r="GJ25" i="7" s="1"/>
  <c r="GG24" i="7"/>
  <c r="GH24" i="7" s="1"/>
  <c r="GE25" i="7"/>
  <c r="GD26" i="7" s="1"/>
  <c r="GB25" i="7"/>
  <c r="GA26" i="7" s="1"/>
  <c r="FX25" i="7"/>
  <c r="FY25" i="7" s="1"/>
  <c r="FV26" i="7"/>
  <c r="FU27" i="7" s="1"/>
  <c r="FR25" i="7"/>
  <c r="FS25" i="7" s="1"/>
  <c r="FO24" i="7"/>
  <c r="FP24" i="7" s="1"/>
  <c r="FL24" i="7"/>
  <c r="FM24" i="7" s="1"/>
  <c r="FJ25" i="7"/>
  <c r="FI26" i="7" s="1"/>
  <c r="FF24" i="7"/>
  <c r="FG24" i="7" s="1"/>
  <c r="FD24" i="7"/>
  <c r="FC25" i="7" s="1"/>
  <c r="FA25" i="7"/>
  <c r="EZ26" i="7" s="1"/>
  <c r="EX24" i="7"/>
  <c r="EW25" i="7" s="1"/>
  <c r="EU25" i="7"/>
  <c r="ET26" i="7" s="1"/>
  <c r="ER23" i="7"/>
  <c r="EQ24" i="7" s="1"/>
  <c r="EO24" i="7"/>
  <c r="EN25" i="7" s="1"/>
  <c r="EL24" i="7"/>
  <c r="EK25" i="7" s="1"/>
  <c r="EI25" i="7"/>
  <c r="EH26" i="7" s="1"/>
  <c r="EF24" i="7"/>
  <c r="EE25" i="7" s="1"/>
  <c r="EC25" i="7"/>
  <c r="EB26" i="7" s="1"/>
  <c r="DY25" i="7"/>
  <c r="DZ25" i="7" s="1"/>
  <c r="DT25" i="7"/>
  <c r="DS26" i="7" s="1"/>
  <c r="DQ24" i="7"/>
  <c r="DP25" i="7" s="1"/>
  <c r="DN25" i="7"/>
  <c r="DM26" i="7" s="1"/>
  <c r="DH24" i="7"/>
  <c r="DG25" i="7" s="1"/>
  <c r="CX25" i="7"/>
  <c r="CY25" i="7" s="1"/>
  <c r="C26" i="7"/>
  <c r="D26" i="7" s="1"/>
  <c r="BV3" i="5"/>
  <c r="BW3" i="5" s="1"/>
  <c r="BV4" i="5" s="1"/>
  <c r="BW4" i="5" s="1"/>
  <c r="BV5" i="5" s="1"/>
  <c r="BW5" i="5" s="1"/>
  <c r="BV6" i="5" s="1"/>
  <c r="BW6" i="5" s="1"/>
  <c r="BV7" i="5" s="1"/>
  <c r="BW7" i="5" s="1"/>
  <c r="BV8" i="5" s="1"/>
  <c r="BW8" i="5" s="1"/>
  <c r="BV9" i="5" s="1"/>
  <c r="BW9" i="5" s="1"/>
  <c r="BV10" i="5" s="1"/>
  <c r="BW10" i="5" s="1"/>
  <c r="BV11" i="5" s="1"/>
  <c r="BW11" i="5" s="1"/>
  <c r="BV12" i="5" s="1"/>
  <c r="BW12" i="5" s="1"/>
  <c r="BV13" i="5" s="1"/>
  <c r="BW13" i="5" s="1"/>
  <c r="BV14" i="5" s="1"/>
  <c r="BW14" i="5" s="1"/>
  <c r="BV15" i="5" s="1"/>
  <c r="BW15" i="5" s="1"/>
  <c r="BV16" i="5" s="1"/>
  <c r="BW16" i="5" s="1"/>
  <c r="BV17" i="5" s="1"/>
  <c r="BW17" i="5" s="1"/>
  <c r="BV18" i="5" s="1"/>
  <c r="BW18" i="5" s="1"/>
  <c r="BV19" i="5" s="1"/>
  <c r="BW19" i="5" s="1"/>
  <c r="BV20" i="5" s="1"/>
  <c r="BW20" i="5" s="1"/>
  <c r="BV21" i="5" s="1"/>
  <c r="BW21" i="5" s="1"/>
  <c r="BV22" i="5" s="1"/>
  <c r="BW22" i="5" s="1"/>
  <c r="BV23" i="5" s="1"/>
  <c r="BW23" i="5" s="1"/>
  <c r="BV24" i="5" s="1"/>
  <c r="BW24" i="5" s="1"/>
  <c r="BV25" i="5" s="1"/>
  <c r="BW25" i="5" s="1"/>
  <c r="BV26" i="5" s="1"/>
  <c r="BW26" i="5" s="1"/>
  <c r="BV27" i="5" s="1"/>
  <c r="BW27" i="5" s="1"/>
  <c r="BV28" i="5" s="1"/>
  <c r="BW28" i="5" s="1"/>
  <c r="BV29" i="5" s="1"/>
  <c r="BW29" i="5" s="1"/>
  <c r="BV30" i="5" s="1"/>
  <c r="BW30" i="5" s="1"/>
  <c r="BV31" i="5" s="1"/>
  <c r="BW31" i="5" s="1"/>
  <c r="BV32" i="5" s="1"/>
  <c r="BW32" i="5" s="1"/>
  <c r="BV33" i="5" s="1"/>
  <c r="BW33" i="5" s="1"/>
  <c r="BV34" i="5" s="1"/>
  <c r="BW34" i="5" s="1"/>
  <c r="BV35" i="5" s="1"/>
  <c r="BW35" i="5" s="1"/>
  <c r="BV36" i="5" s="1"/>
  <c r="BW36" i="5" s="1"/>
  <c r="BV37" i="5" s="1"/>
  <c r="BW37" i="5" s="1"/>
  <c r="BV38" i="5" s="1"/>
  <c r="BW38" i="5" s="1"/>
  <c r="BV39" i="5" s="1"/>
  <c r="BW39" i="5" s="1"/>
  <c r="BV40" i="5" s="1"/>
  <c r="BW40" i="5" s="1"/>
  <c r="BV41" i="5" s="1"/>
  <c r="BW41" i="5" s="1"/>
  <c r="BV42" i="5" s="1"/>
  <c r="BW42" i="5" s="1"/>
  <c r="BV43" i="5" s="1"/>
  <c r="BW43" i="5" s="1"/>
  <c r="BV44" i="5" s="1"/>
  <c r="BW44" i="5" s="1"/>
  <c r="BV45" i="5" s="1"/>
  <c r="BW45" i="5" s="1"/>
  <c r="BV46" i="5" s="1"/>
  <c r="BW46" i="5" s="1"/>
  <c r="BV47" i="5" s="1"/>
  <c r="BW47" i="5" s="1"/>
  <c r="BV48" i="5" s="1"/>
  <c r="BW48" i="5" s="1"/>
  <c r="BV49" i="5" s="1"/>
  <c r="BW49" i="5" s="1"/>
  <c r="BV50" i="5" s="1"/>
  <c r="BW50" i="5" s="1"/>
  <c r="BV51" i="5" s="1"/>
  <c r="BW51" i="5" s="1"/>
  <c r="BV52" i="5" s="1"/>
  <c r="BW52" i="5" s="1"/>
  <c r="BV53" i="5" s="1"/>
  <c r="BW53" i="5" s="1"/>
  <c r="BV54" i="5" s="1"/>
  <c r="BW54" i="5" s="1"/>
  <c r="BV55" i="5" s="1"/>
  <c r="BW55" i="5" s="1"/>
  <c r="BV56" i="5" s="1"/>
  <c r="BW56" i="5" s="1"/>
  <c r="BV57" i="5" s="1"/>
  <c r="BW57" i="5" s="1"/>
  <c r="BV58" i="5" s="1"/>
  <c r="BW58" i="5" s="1"/>
  <c r="BV59" i="5" s="1"/>
  <c r="BW59" i="5" s="1"/>
  <c r="BV60" i="5" s="1"/>
  <c r="BW60" i="5" s="1"/>
  <c r="BV61" i="5" s="1"/>
  <c r="BW61" i="5" s="1"/>
  <c r="BV62" i="5" s="1"/>
  <c r="BW62" i="5" s="1"/>
  <c r="BV63" i="5" s="1"/>
  <c r="BW63" i="5" s="1"/>
  <c r="BV64" i="5" s="1"/>
  <c r="BW64" i="5" s="1"/>
  <c r="BV65" i="5" s="1"/>
  <c r="BW65" i="5" s="1"/>
  <c r="BV66" i="5" s="1"/>
  <c r="BW66" i="5" s="1"/>
  <c r="BV67" i="5" s="1"/>
  <c r="BW67" i="5" s="1"/>
  <c r="BV68" i="5" s="1"/>
  <c r="BW68" i="5" s="1"/>
  <c r="BV69" i="5" s="1"/>
  <c r="BW69" i="5" s="1"/>
  <c r="BV70" i="5" s="1"/>
  <c r="BW70" i="5" s="1"/>
  <c r="BV71" i="5" s="1"/>
  <c r="BW71" i="5" s="1"/>
  <c r="BV72" i="5" s="1"/>
  <c r="BW72" i="5" s="1"/>
  <c r="BV73" i="5" s="1"/>
  <c r="BW73" i="5" s="1"/>
  <c r="BV74" i="5" s="1"/>
  <c r="BW74" i="5" s="1"/>
  <c r="BV75" i="5" s="1"/>
  <c r="BW75" i="5" s="1"/>
  <c r="BV76" i="5" s="1"/>
  <c r="BW76" i="5" s="1"/>
  <c r="BV77" i="5" s="1"/>
  <c r="BW77" i="5" s="1"/>
  <c r="BV78" i="5" s="1"/>
  <c r="BW78" i="5" s="1"/>
  <c r="BV79" i="5" s="1"/>
  <c r="BW79" i="5" s="1"/>
  <c r="BV80" i="5" s="1"/>
  <c r="BW80" i="5" s="1"/>
  <c r="BV81" i="5" s="1"/>
  <c r="BW81" i="5" s="1"/>
  <c r="BV82" i="5" s="1"/>
  <c r="BW82" i="5" s="1"/>
  <c r="BV83" i="5" s="1"/>
  <c r="BW83" i="5" s="1"/>
  <c r="BV84" i="5" s="1"/>
  <c r="BW84" i="5" s="1"/>
  <c r="BV85" i="5" s="1"/>
  <c r="BW85" i="5" s="1"/>
  <c r="BV86" i="5" s="1"/>
  <c r="BW86" i="5" s="1"/>
  <c r="BV87" i="5" s="1"/>
  <c r="BW87" i="5" s="1"/>
  <c r="BV88" i="5" s="1"/>
  <c r="BW88" i="5" s="1"/>
  <c r="BV89" i="5" s="1"/>
  <c r="BW89" i="5" s="1"/>
  <c r="BV90" i="5" s="1"/>
  <c r="BW90" i="5" s="1"/>
  <c r="BV91" i="5" s="1"/>
  <c r="BW91" i="5" s="1"/>
  <c r="BV92" i="5" s="1"/>
  <c r="BW92" i="5" s="1"/>
  <c r="BV93" i="5" s="1"/>
  <c r="BW93" i="5" s="1"/>
  <c r="BV94" i="5" s="1"/>
  <c r="BW94" i="5" s="1"/>
  <c r="BV95" i="5" s="1"/>
  <c r="BW95" i="5" s="1"/>
  <c r="BV96" i="5" s="1"/>
  <c r="BW96" i="5" s="1"/>
  <c r="BV97" i="5" s="1"/>
  <c r="BW97" i="5" s="1"/>
  <c r="BV98" i="5" s="1"/>
  <c r="BW98" i="5" s="1"/>
  <c r="BV99" i="5" s="1"/>
  <c r="BW99" i="5" s="1"/>
  <c r="BV100" i="5" s="1"/>
  <c r="BW100" i="5" s="1"/>
  <c r="BV101" i="5" s="1"/>
  <c r="BW101" i="5" s="1"/>
  <c r="BV102" i="5" s="1"/>
  <c r="BW102" i="5" s="1"/>
  <c r="CA28" i="7"/>
  <c r="BZ29" i="7" s="1"/>
  <c r="O28" i="7"/>
  <c r="P28" i="7" s="1"/>
  <c r="E28" i="6"/>
  <c r="F28" i="6" s="1"/>
  <c r="B47" i="6"/>
  <c r="C47" i="6" s="1"/>
  <c r="B48" i="6" s="1"/>
  <c r="C48" i="6" s="1"/>
  <c r="CH3" i="5"/>
  <c r="CI3" i="5" s="1"/>
  <c r="CH4" i="5" s="1"/>
  <c r="CI4" i="5" s="1"/>
  <c r="CH5" i="5" s="1"/>
  <c r="CI5" i="5" s="1"/>
  <c r="CH6" i="5" s="1"/>
  <c r="CI6" i="5" s="1"/>
  <c r="CH7" i="5" s="1"/>
  <c r="CI7" i="5" s="1"/>
  <c r="CH8" i="5" s="1"/>
  <c r="CI8" i="5" s="1"/>
  <c r="CH9" i="5" s="1"/>
  <c r="CI9" i="5" s="1"/>
  <c r="CH10" i="5" s="1"/>
  <c r="CI10" i="5" s="1"/>
  <c r="CH11" i="5" s="1"/>
  <c r="CI11" i="5" s="1"/>
  <c r="CH12" i="5" s="1"/>
  <c r="CI12" i="5" s="1"/>
  <c r="CH13" i="5" s="1"/>
  <c r="CI13" i="5" s="1"/>
  <c r="CH14" i="5" s="1"/>
  <c r="CI14" i="5" s="1"/>
  <c r="CH15" i="5" s="1"/>
  <c r="CI15" i="5" s="1"/>
  <c r="CH16" i="5" s="1"/>
  <c r="CI16" i="5" s="1"/>
  <c r="CH17" i="5" s="1"/>
  <c r="CI17" i="5" s="1"/>
  <c r="CH18" i="5" s="1"/>
  <c r="CI18" i="5" s="1"/>
  <c r="CH19" i="5" s="1"/>
  <c r="CI19" i="5" s="1"/>
  <c r="CH20" i="5" s="1"/>
  <c r="CI20" i="5" s="1"/>
  <c r="CH21" i="5" s="1"/>
  <c r="CI21" i="5" s="1"/>
  <c r="CH22" i="5" s="1"/>
  <c r="CI22" i="5" s="1"/>
  <c r="CH23" i="5" s="1"/>
  <c r="CI23" i="5" s="1"/>
  <c r="CH24" i="5" s="1"/>
  <c r="CI24" i="5" s="1"/>
  <c r="CH25" i="5" s="1"/>
  <c r="CI25" i="5" s="1"/>
  <c r="CH26" i="5" s="1"/>
  <c r="CI26" i="5" s="1"/>
  <c r="CH27" i="5" s="1"/>
  <c r="CI27" i="5" s="1"/>
  <c r="CH28" i="5" s="1"/>
  <c r="CI28" i="5" s="1"/>
  <c r="CH29" i="5" s="1"/>
  <c r="CI29" i="5" s="1"/>
  <c r="CH30" i="5" s="1"/>
  <c r="CI30" i="5" s="1"/>
  <c r="CH31" i="5" s="1"/>
  <c r="CI31" i="5" s="1"/>
  <c r="CH32" i="5" s="1"/>
  <c r="CI32" i="5" s="1"/>
  <c r="CH33" i="5" s="1"/>
  <c r="CI33" i="5" s="1"/>
  <c r="CH34" i="5" s="1"/>
  <c r="CI34" i="5" s="1"/>
  <c r="CH35" i="5" s="1"/>
  <c r="CI35" i="5" s="1"/>
  <c r="CH36" i="5" s="1"/>
  <c r="CI36" i="5" s="1"/>
  <c r="CH37" i="5" s="1"/>
  <c r="CI37" i="5" s="1"/>
  <c r="CH38" i="5" s="1"/>
  <c r="CI38" i="5" s="1"/>
  <c r="CH39" i="5" s="1"/>
  <c r="CI39" i="5" s="1"/>
  <c r="CH40" i="5" s="1"/>
  <c r="CI40" i="5" s="1"/>
  <c r="CH41" i="5" s="1"/>
  <c r="CI41" i="5" s="1"/>
  <c r="CH42" i="5" s="1"/>
  <c r="CI42" i="5" s="1"/>
  <c r="CH43" i="5" s="1"/>
  <c r="CI43" i="5" s="1"/>
  <c r="CH44" i="5" s="1"/>
  <c r="CI44" i="5" s="1"/>
  <c r="CH45" i="5" s="1"/>
  <c r="CI45" i="5" s="1"/>
  <c r="CH46" i="5" s="1"/>
  <c r="CI46" i="5" s="1"/>
  <c r="CH47" i="5" s="1"/>
  <c r="CI47" i="5" s="1"/>
  <c r="CH48" i="5" s="1"/>
  <c r="CI48" i="5" s="1"/>
  <c r="CH49" i="5" s="1"/>
  <c r="CI49" i="5" s="1"/>
  <c r="CH50" i="5" s="1"/>
  <c r="CI50" i="5" s="1"/>
  <c r="CH51" i="5" s="1"/>
  <c r="CI51" i="5" s="1"/>
  <c r="CH52" i="5" s="1"/>
  <c r="CI52" i="5" s="1"/>
  <c r="CH53" i="5" s="1"/>
  <c r="CI53" i="5" s="1"/>
  <c r="CH54" i="5" s="1"/>
  <c r="CI54" i="5" s="1"/>
  <c r="CH55" i="5" s="1"/>
  <c r="CI55" i="5" s="1"/>
  <c r="CH56" i="5" s="1"/>
  <c r="CI56" i="5" s="1"/>
  <c r="CH57" i="5" s="1"/>
  <c r="CI57" i="5" s="1"/>
  <c r="CH58" i="5" s="1"/>
  <c r="CI58" i="5" s="1"/>
  <c r="CH59" i="5" s="1"/>
  <c r="CI59" i="5" s="1"/>
  <c r="CH60" i="5" s="1"/>
  <c r="CI60" i="5" s="1"/>
  <c r="CH61" i="5" s="1"/>
  <c r="CI61" i="5" s="1"/>
  <c r="CH62" i="5" s="1"/>
  <c r="CI62" i="5" s="1"/>
  <c r="CH63" i="5" s="1"/>
  <c r="CI63" i="5" s="1"/>
  <c r="CH64" i="5" s="1"/>
  <c r="CI64" i="5" s="1"/>
  <c r="CH65" i="5" s="1"/>
  <c r="CI65" i="5" s="1"/>
  <c r="CH66" i="5" s="1"/>
  <c r="CI66" i="5" s="1"/>
  <c r="CH67" i="5" s="1"/>
  <c r="CI67" i="5" s="1"/>
  <c r="CH68" i="5" s="1"/>
  <c r="CI68" i="5" s="1"/>
  <c r="CH69" i="5" s="1"/>
  <c r="CI69" i="5" s="1"/>
  <c r="CH70" i="5" s="1"/>
  <c r="CI70" i="5" s="1"/>
  <c r="CH71" i="5" s="1"/>
  <c r="CI71" i="5" s="1"/>
  <c r="CH72" i="5" s="1"/>
  <c r="CI72" i="5" s="1"/>
  <c r="CH73" i="5" s="1"/>
  <c r="CI73" i="5" s="1"/>
  <c r="CH74" i="5" s="1"/>
  <c r="CI74" i="5" s="1"/>
  <c r="CH75" i="5" s="1"/>
  <c r="CI75" i="5" s="1"/>
  <c r="CH76" i="5" s="1"/>
  <c r="CI76" i="5" s="1"/>
  <c r="CH77" i="5" s="1"/>
  <c r="CI77" i="5" s="1"/>
  <c r="CH78" i="5" s="1"/>
  <c r="CI78" i="5" s="1"/>
  <c r="CH79" i="5" s="1"/>
  <c r="CI79" i="5" s="1"/>
  <c r="CH80" i="5" s="1"/>
  <c r="CI80" i="5" s="1"/>
  <c r="CH81" i="5" s="1"/>
  <c r="CI81" i="5" s="1"/>
  <c r="CH82" i="5" s="1"/>
  <c r="CI82" i="5" s="1"/>
  <c r="CH83" i="5" s="1"/>
  <c r="CI83" i="5" s="1"/>
  <c r="CH84" i="5" s="1"/>
  <c r="CI84" i="5" s="1"/>
  <c r="CH85" i="5" s="1"/>
  <c r="CI85" i="5" s="1"/>
  <c r="CH86" i="5" s="1"/>
  <c r="CI86" i="5" s="1"/>
  <c r="CH87" i="5" s="1"/>
  <c r="CI87" i="5" s="1"/>
  <c r="CH88" i="5" s="1"/>
  <c r="CI88" i="5" s="1"/>
  <c r="CH89" i="5" s="1"/>
  <c r="CI89" i="5" s="1"/>
  <c r="CH90" i="5" s="1"/>
  <c r="CI90" i="5" s="1"/>
  <c r="CH91" i="5" s="1"/>
  <c r="CI91" i="5" s="1"/>
  <c r="CH92" i="5" s="1"/>
  <c r="CI92" i="5" s="1"/>
  <c r="CH93" i="5" s="1"/>
  <c r="CI93" i="5" s="1"/>
  <c r="CH94" i="5" s="1"/>
  <c r="CI94" i="5" s="1"/>
  <c r="CH95" i="5" s="1"/>
  <c r="CI95" i="5" s="1"/>
  <c r="CH96" i="5" s="1"/>
  <c r="CI96" i="5" s="1"/>
  <c r="CH97" i="5" s="1"/>
  <c r="CI97" i="5" s="1"/>
  <c r="CH98" i="5" s="1"/>
  <c r="CI98" i="5" s="1"/>
  <c r="CH99" i="5" s="1"/>
  <c r="CI99" i="5" s="1"/>
  <c r="CH100" i="5" s="1"/>
  <c r="CI100" i="5" s="1"/>
  <c r="CH101" i="5" s="1"/>
  <c r="CI101" i="5" s="1"/>
  <c r="CH102" i="5" s="1"/>
  <c r="CI102" i="5" s="1"/>
  <c r="N19" i="10" l="1"/>
  <c r="J30" i="10"/>
  <c r="K30" i="10" s="1"/>
  <c r="Q19" i="4"/>
  <c r="K32" i="10"/>
  <c r="N32" i="10"/>
  <c r="CP25" i="7"/>
  <c r="CO26" i="7" s="1"/>
  <c r="CM24" i="7"/>
  <c r="CL25" i="7" s="1"/>
  <c r="CJ23" i="7"/>
  <c r="CI24" i="7" s="1"/>
  <c r="CG25" i="7"/>
  <c r="CF26" i="7" s="1"/>
  <c r="CC26" i="7"/>
  <c r="CD26" i="7" s="1"/>
  <c r="BX25" i="7"/>
  <c r="BW26" i="7" s="1"/>
  <c r="BT24" i="7"/>
  <c r="BU24" i="7" s="1"/>
  <c r="BR24" i="7"/>
  <c r="BQ25" i="7" s="1"/>
  <c r="BN26" i="7"/>
  <c r="BO26" i="7" s="1"/>
  <c r="BK26" i="7"/>
  <c r="BL26" i="7" s="1"/>
  <c r="BH25" i="7"/>
  <c r="BI25" i="7" s="1"/>
  <c r="BB26" i="7"/>
  <c r="BC26" i="7" s="1"/>
  <c r="AZ25" i="7"/>
  <c r="AY26" i="7" s="1"/>
  <c r="BF24" i="7"/>
  <c r="BE25" i="7" s="1"/>
  <c r="CR27" i="7"/>
  <c r="CS27" i="7" s="1"/>
  <c r="GN25" i="7"/>
  <c r="GM26" i="7" s="1"/>
  <c r="GK25" i="7"/>
  <c r="GJ26" i="7" s="1"/>
  <c r="GG25" i="7"/>
  <c r="GH25" i="7" s="1"/>
  <c r="GE26" i="7"/>
  <c r="GD27" i="7" s="1"/>
  <c r="GB26" i="7"/>
  <c r="GA27" i="7" s="1"/>
  <c r="FX26" i="7"/>
  <c r="FY26" i="7" s="1"/>
  <c r="FV27" i="7"/>
  <c r="FU28" i="7" s="1"/>
  <c r="FR26" i="7"/>
  <c r="FS26" i="7" s="1"/>
  <c r="FO25" i="7"/>
  <c r="FP25" i="7" s="1"/>
  <c r="FL25" i="7"/>
  <c r="FM25" i="7" s="1"/>
  <c r="FJ26" i="7"/>
  <c r="FI27" i="7" s="1"/>
  <c r="FF25" i="7"/>
  <c r="FG25" i="7" s="1"/>
  <c r="FD25" i="7"/>
  <c r="FC26" i="7" s="1"/>
  <c r="FA26" i="7"/>
  <c r="EZ27" i="7" s="1"/>
  <c r="EX25" i="7"/>
  <c r="EW26" i="7" s="1"/>
  <c r="EU26" i="7"/>
  <c r="ET27" i="7" s="1"/>
  <c r="ER24" i="7"/>
  <c r="EQ25" i="7" s="1"/>
  <c r="EO25" i="7"/>
  <c r="EN26" i="7" s="1"/>
  <c r="EL25" i="7"/>
  <c r="EK26" i="7" s="1"/>
  <c r="EI26" i="7"/>
  <c r="EH27" i="7" s="1"/>
  <c r="EF25" i="7"/>
  <c r="EE26" i="7" s="1"/>
  <c r="EC26" i="7"/>
  <c r="EB27" i="7" s="1"/>
  <c r="DY26" i="7"/>
  <c r="DZ26" i="7" s="1"/>
  <c r="DT26" i="7"/>
  <c r="DS27" i="7" s="1"/>
  <c r="DQ25" i="7"/>
  <c r="DP26" i="7" s="1"/>
  <c r="DN26" i="7"/>
  <c r="DM27" i="7" s="1"/>
  <c r="DH25" i="7"/>
  <c r="DG26" i="7" s="1"/>
  <c r="CX26" i="7"/>
  <c r="CY26" i="7" s="1"/>
  <c r="C27" i="7"/>
  <c r="D27" i="7" s="1"/>
  <c r="CK3" i="5"/>
  <c r="CL3" i="5" s="1"/>
  <c r="CK4" i="5" s="1"/>
  <c r="CL4" i="5" s="1"/>
  <c r="CK5" i="5" s="1"/>
  <c r="CL5" i="5" s="1"/>
  <c r="CK6" i="5" s="1"/>
  <c r="CL6" i="5" s="1"/>
  <c r="CK7" i="5" s="1"/>
  <c r="CL7" i="5" s="1"/>
  <c r="CK8" i="5" s="1"/>
  <c r="CL8" i="5" s="1"/>
  <c r="CK9" i="5" s="1"/>
  <c r="CL9" i="5" s="1"/>
  <c r="CK10" i="5" s="1"/>
  <c r="CL10" i="5" s="1"/>
  <c r="CK11" i="5" s="1"/>
  <c r="CL11" i="5" s="1"/>
  <c r="CK12" i="5" s="1"/>
  <c r="CL12" i="5" s="1"/>
  <c r="CK13" i="5" s="1"/>
  <c r="CL13" i="5" s="1"/>
  <c r="CK14" i="5" s="1"/>
  <c r="CL14" i="5" s="1"/>
  <c r="CK15" i="5" s="1"/>
  <c r="CL15" i="5" s="1"/>
  <c r="CK16" i="5" s="1"/>
  <c r="CL16" i="5" s="1"/>
  <c r="CK17" i="5" s="1"/>
  <c r="CL17" i="5" s="1"/>
  <c r="CK18" i="5" s="1"/>
  <c r="CL18" i="5" s="1"/>
  <c r="CK19" i="5" s="1"/>
  <c r="CL19" i="5" s="1"/>
  <c r="CK20" i="5" s="1"/>
  <c r="CL20" i="5" s="1"/>
  <c r="CK21" i="5" s="1"/>
  <c r="CL21" i="5" s="1"/>
  <c r="CK22" i="5" s="1"/>
  <c r="CL22" i="5" s="1"/>
  <c r="CK23" i="5" s="1"/>
  <c r="CL23" i="5" s="1"/>
  <c r="CK24" i="5" s="1"/>
  <c r="CL24" i="5" s="1"/>
  <c r="CK25" i="5" s="1"/>
  <c r="CL25" i="5" s="1"/>
  <c r="CK26" i="5" s="1"/>
  <c r="CL26" i="5" s="1"/>
  <c r="CK27" i="5" s="1"/>
  <c r="CL27" i="5" s="1"/>
  <c r="CK28" i="5" s="1"/>
  <c r="CL28" i="5" s="1"/>
  <c r="CK29" i="5" s="1"/>
  <c r="CL29" i="5" s="1"/>
  <c r="CK30" i="5" s="1"/>
  <c r="CL30" i="5" s="1"/>
  <c r="CK31" i="5" s="1"/>
  <c r="CL31" i="5" s="1"/>
  <c r="CK32" i="5" s="1"/>
  <c r="CL32" i="5" s="1"/>
  <c r="CK33" i="5" s="1"/>
  <c r="CL33" i="5" s="1"/>
  <c r="CK34" i="5" s="1"/>
  <c r="CL34" i="5" s="1"/>
  <c r="CK35" i="5" s="1"/>
  <c r="CL35" i="5" s="1"/>
  <c r="CK36" i="5" s="1"/>
  <c r="CL36" i="5" s="1"/>
  <c r="CK37" i="5" s="1"/>
  <c r="CL37" i="5" s="1"/>
  <c r="CK38" i="5" s="1"/>
  <c r="CL38" i="5" s="1"/>
  <c r="CK39" i="5" s="1"/>
  <c r="CL39" i="5" s="1"/>
  <c r="CK40" i="5" s="1"/>
  <c r="CL40" i="5" s="1"/>
  <c r="CK41" i="5" s="1"/>
  <c r="CL41" i="5" s="1"/>
  <c r="CK42" i="5" s="1"/>
  <c r="CL42" i="5" s="1"/>
  <c r="CK43" i="5" s="1"/>
  <c r="CL43" i="5" s="1"/>
  <c r="CK44" i="5" s="1"/>
  <c r="CL44" i="5" s="1"/>
  <c r="CK45" i="5" s="1"/>
  <c r="CL45" i="5" s="1"/>
  <c r="CK46" i="5" s="1"/>
  <c r="CL46" i="5" s="1"/>
  <c r="CK47" i="5" s="1"/>
  <c r="CL47" i="5" s="1"/>
  <c r="CK48" i="5" s="1"/>
  <c r="CL48" i="5" s="1"/>
  <c r="CK49" i="5" s="1"/>
  <c r="CL49" i="5" s="1"/>
  <c r="CK50" i="5" s="1"/>
  <c r="CL50" i="5" s="1"/>
  <c r="CK51" i="5" s="1"/>
  <c r="CL51" i="5" s="1"/>
  <c r="CK52" i="5" s="1"/>
  <c r="CL52" i="5" s="1"/>
  <c r="CK53" i="5" s="1"/>
  <c r="CL53" i="5" s="1"/>
  <c r="CK54" i="5" s="1"/>
  <c r="CL54" i="5" s="1"/>
  <c r="CK55" i="5" s="1"/>
  <c r="CL55" i="5" s="1"/>
  <c r="CK56" i="5" s="1"/>
  <c r="CL56" i="5" s="1"/>
  <c r="CK57" i="5" s="1"/>
  <c r="CL57" i="5" s="1"/>
  <c r="CK58" i="5" s="1"/>
  <c r="CL58" i="5" s="1"/>
  <c r="CK59" i="5" s="1"/>
  <c r="CL59" i="5" s="1"/>
  <c r="CK60" i="5" s="1"/>
  <c r="CL60" i="5" s="1"/>
  <c r="CK61" i="5" s="1"/>
  <c r="CL61" i="5" s="1"/>
  <c r="CK62" i="5" s="1"/>
  <c r="CL62" i="5" s="1"/>
  <c r="CK63" i="5" s="1"/>
  <c r="CL63" i="5" s="1"/>
  <c r="CK64" i="5" s="1"/>
  <c r="CL64" i="5" s="1"/>
  <c r="CK65" i="5" s="1"/>
  <c r="CL65" i="5" s="1"/>
  <c r="CK66" i="5" s="1"/>
  <c r="CL66" i="5" s="1"/>
  <c r="CK67" i="5" s="1"/>
  <c r="CL67" i="5" s="1"/>
  <c r="CK68" i="5" s="1"/>
  <c r="CL68" i="5" s="1"/>
  <c r="CK69" i="5" s="1"/>
  <c r="CL69" i="5" s="1"/>
  <c r="CK70" i="5" s="1"/>
  <c r="CL70" i="5" s="1"/>
  <c r="CK71" i="5" s="1"/>
  <c r="CL71" i="5" s="1"/>
  <c r="CK72" i="5" s="1"/>
  <c r="CL72" i="5" s="1"/>
  <c r="CK73" i="5" s="1"/>
  <c r="CL73" i="5" s="1"/>
  <c r="CK74" i="5" s="1"/>
  <c r="CL74" i="5" s="1"/>
  <c r="CK75" i="5" s="1"/>
  <c r="CL75" i="5" s="1"/>
  <c r="CK76" i="5" s="1"/>
  <c r="CL76" i="5" s="1"/>
  <c r="CK77" i="5" s="1"/>
  <c r="CL77" i="5" s="1"/>
  <c r="CK78" i="5" s="1"/>
  <c r="CL78" i="5" s="1"/>
  <c r="CK79" i="5" s="1"/>
  <c r="CL79" i="5" s="1"/>
  <c r="CK80" i="5" s="1"/>
  <c r="CL80" i="5" s="1"/>
  <c r="CK81" i="5" s="1"/>
  <c r="CL81" i="5" s="1"/>
  <c r="CK82" i="5" s="1"/>
  <c r="CL82" i="5" s="1"/>
  <c r="CK83" i="5" s="1"/>
  <c r="CL83" i="5" s="1"/>
  <c r="CK84" i="5" s="1"/>
  <c r="CL84" i="5" s="1"/>
  <c r="CK85" i="5" s="1"/>
  <c r="CL85" i="5" s="1"/>
  <c r="CK86" i="5" s="1"/>
  <c r="CL86" i="5" s="1"/>
  <c r="CK87" i="5" s="1"/>
  <c r="CL87" i="5" s="1"/>
  <c r="CK88" i="5" s="1"/>
  <c r="CL88" i="5" s="1"/>
  <c r="CK89" i="5" s="1"/>
  <c r="CL89" i="5" s="1"/>
  <c r="CK90" i="5" s="1"/>
  <c r="CL90" i="5" s="1"/>
  <c r="CK91" i="5" s="1"/>
  <c r="CL91" i="5" s="1"/>
  <c r="CK92" i="5" s="1"/>
  <c r="CL92" i="5" s="1"/>
  <c r="CK93" i="5" s="1"/>
  <c r="CL93" i="5" s="1"/>
  <c r="CK94" i="5" s="1"/>
  <c r="CL94" i="5" s="1"/>
  <c r="CK95" i="5" s="1"/>
  <c r="CL95" i="5" s="1"/>
  <c r="CK96" i="5" s="1"/>
  <c r="CL96" i="5" s="1"/>
  <c r="CK97" i="5" s="1"/>
  <c r="CL97" i="5" s="1"/>
  <c r="CK98" i="5" s="1"/>
  <c r="CL98" i="5" s="1"/>
  <c r="CK99" i="5" s="1"/>
  <c r="CL99" i="5" s="1"/>
  <c r="CK100" i="5" s="1"/>
  <c r="CL100" i="5" s="1"/>
  <c r="CK101" i="5" s="1"/>
  <c r="CL101" i="5" s="1"/>
  <c r="CK102" i="5" s="1"/>
  <c r="CL102" i="5" s="1"/>
  <c r="CA29" i="7"/>
  <c r="BZ30" i="7" s="1"/>
  <c r="O29" i="7"/>
  <c r="P29" i="7" s="1"/>
  <c r="E29" i="6"/>
  <c r="F29" i="6" s="1"/>
  <c r="B49" i="6"/>
  <c r="C49" i="6" s="1"/>
  <c r="B50" i="6" s="1"/>
  <c r="C50" i="6" s="1"/>
  <c r="N30" i="10" l="1"/>
  <c r="D62" i="4"/>
  <c r="J17" i="10" s="1"/>
  <c r="J18" i="10"/>
  <c r="K18" i="10" s="1"/>
  <c r="CP26" i="7"/>
  <c r="CO27" i="7" s="1"/>
  <c r="CM25" i="7"/>
  <c r="CL26" i="7" s="1"/>
  <c r="CJ24" i="7"/>
  <c r="CI25" i="7" s="1"/>
  <c r="CG26" i="7"/>
  <c r="CF27" i="7" s="1"/>
  <c r="CC27" i="7"/>
  <c r="CD27" i="7" s="1"/>
  <c r="BX26" i="7"/>
  <c r="BW27" i="7" s="1"/>
  <c r="BT25" i="7"/>
  <c r="BU25" i="7" s="1"/>
  <c r="BR25" i="7"/>
  <c r="BQ26" i="7" s="1"/>
  <c r="BN27" i="7"/>
  <c r="BO27" i="7" s="1"/>
  <c r="BK27" i="7"/>
  <c r="BL27" i="7" s="1"/>
  <c r="BH26" i="7"/>
  <c r="BI26" i="7" s="1"/>
  <c r="BB27" i="7"/>
  <c r="BC27" i="7" s="1"/>
  <c r="AZ26" i="7"/>
  <c r="AY27" i="7" s="1"/>
  <c r="BF25" i="7"/>
  <c r="BE26" i="7" s="1"/>
  <c r="CR28" i="7"/>
  <c r="CS28" i="7" s="1"/>
  <c r="GN26" i="7"/>
  <c r="GM27" i="7" s="1"/>
  <c r="GK26" i="7"/>
  <c r="GJ27" i="7" s="1"/>
  <c r="GG26" i="7"/>
  <c r="GH26" i="7" s="1"/>
  <c r="GE27" i="7"/>
  <c r="GD28" i="7" s="1"/>
  <c r="GB27" i="7"/>
  <c r="GA28" i="7" s="1"/>
  <c r="FX27" i="7"/>
  <c r="FY27" i="7" s="1"/>
  <c r="FV28" i="7"/>
  <c r="FU29" i="7" s="1"/>
  <c r="FR27" i="7"/>
  <c r="FS27" i="7" s="1"/>
  <c r="FO26" i="7"/>
  <c r="FP26" i="7" s="1"/>
  <c r="FL26" i="7"/>
  <c r="FM26" i="7" s="1"/>
  <c r="FJ27" i="7"/>
  <c r="FI28" i="7" s="1"/>
  <c r="FF26" i="7"/>
  <c r="FG26" i="7" s="1"/>
  <c r="FD26" i="7"/>
  <c r="FC27" i="7" s="1"/>
  <c r="FA27" i="7"/>
  <c r="EZ28" i="7" s="1"/>
  <c r="EX26" i="7"/>
  <c r="EW27" i="7" s="1"/>
  <c r="EU27" i="7"/>
  <c r="ET28" i="7" s="1"/>
  <c r="ER25" i="7"/>
  <c r="EQ26" i="7" s="1"/>
  <c r="EO26" i="7"/>
  <c r="EN27" i="7" s="1"/>
  <c r="EL26" i="7"/>
  <c r="EK27" i="7" s="1"/>
  <c r="EI27" i="7"/>
  <c r="EH28" i="7" s="1"/>
  <c r="EF26" i="7"/>
  <c r="EE27" i="7" s="1"/>
  <c r="EC27" i="7"/>
  <c r="EB28" i="7" s="1"/>
  <c r="DY27" i="7"/>
  <c r="DZ27" i="7" s="1"/>
  <c r="DT27" i="7"/>
  <c r="DS28" i="7" s="1"/>
  <c r="DQ26" i="7"/>
  <c r="DP27" i="7" s="1"/>
  <c r="DN27" i="7"/>
  <c r="DM28" i="7" s="1"/>
  <c r="DH26" i="7"/>
  <c r="DG27" i="7" s="1"/>
  <c r="CX27" i="7"/>
  <c r="CY27" i="7" s="1"/>
  <c r="C28" i="7"/>
  <c r="D28" i="7" s="1"/>
  <c r="BY3" i="5"/>
  <c r="BZ3" i="5" s="1"/>
  <c r="BY4" i="5" s="1"/>
  <c r="BZ4" i="5" s="1"/>
  <c r="BY5" i="5" s="1"/>
  <c r="BZ5" i="5" s="1"/>
  <c r="BY6" i="5" s="1"/>
  <c r="BZ6" i="5" s="1"/>
  <c r="BY7" i="5" s="1"/>
  <c r="BZ7" i="5" s="1"/>
  <c r="BY8" i="5" s="1"/>
  <c r="BZ8" i="5" s="1"/>
  <c r="BY9" i="5" s="1"/>
  <c r="BZ9" i="5" s="1"/>
  <c r="BY10" i="5" s="1"/>
  <c r="BZ10" i="5" s="1"/>
  <c r="BY11" i="5" s="1"/>
  <c r="BZ11" i="5" s="1"/>
  <c r="BY12" i="5" s="1"/>
  <c r="BZ12" i="5" s="1"/>
  <c r="BY13" i="5" s="1"/>
  <c r="BZ13" i="5" s="1"/>
  <c r="BY14" i="5" s="1"/>
  <c r="BZ14" i="5" s="1"/>
  <c r="BY15" i="5" s="1"/>
  <c r="BZ15" i="5" s="1"/>
  <c r="BY16" i="5" s="1"/>
  <c r="BZ16" i="5" s="1"/>
  <c r="BY17" i="5" s="1"/>
  <c r="BZ17" i="5" s="1"/>
  <c r="BY18" i="5" s="1"/>
  <c r="BZ18" i="5" s="1"/>
  <c r="BY19" i="5" s="1"/>
  <c r="BZ19" i="5" s="1"/>
  <c r="BY20" i="5" s="1"/>
  <c r="BZ20" i="5" s="1"/>
  <c r="BY21" i="5" s="1"/>
  <c r="BZ21" i="5" s="1"/>
  <c r="BY22" i="5" s="1"/>
  <c r="BZ22" i="5" s="1"/>
  <c r="BY23" i="5" s="1"/>
  <c r="BZ23" i="5" s="1"/>
  <c r="BY24" i="5" s="1"/>
  <c r="BZ24" i="5" s="1"/>
  <c r="BY25" i="5" s="1"/>
  <c r="BZ25" i="5" s="1"/>
  <c r="BY26" i="5" s="1"/>
  <c r="BZ26" i="5" s="1"/>
  <c r="BY27" i="5" s="1"/>
  <c r="BZ27" i="5" s="1"/>
  <c r="BY28" i="5" s="1"/>
  <c r="BZ28" i="5" s="1"/>
  <c r="BY29" i="5" s="1"/>
  <c r="BZ29" i="5" s="1"/>
  <c r="BY30" i="5" s="1"/>
  <c r="BZ30" i="5" s="1"/>
  <c r="BY31" i="5" s="1"/>
  <c r="BZ31" i="5" s="1"/>
  <c r="BY32" i="5" s="1"/>
  <c r="BZ32" i="5" s="1"/>
  <c r="BY33" i="5" s="1"/>
  <c r="BZ33" i="5" s="1"/>
  <c r="BY34" i="5" s="1"/>
  <c r="BZ34" i="5" s="1"/>
  <c r="BY35" i="5" s="1"/>
  <c r="BZ35" i="5" s="1"/>
  <c r="BY36" i="5" s="1"/>
  <c r="BZ36" i="5" s="1"/>
  <c r="BY37" i="5" s="1"/>
  <c r="BZ37" i="5" s="1"/>
  <c r="BY38" i="5" s="1"/>
  <c r="BZ38" i="5" s="1"/>
  <c r="BY39" i="5" s="1"/>
  <c r="BZ39" i="5" s="1"/>
  <c r="BY40" i="5" s="1"/>
  <c r="BZ40" i="5" s="1"/>
  <c r="BY41" i="5" s="1"/>
  <c r="BZ41" i="5" s="1"/>
  <c r="BY42" i="5" s="1"/>
  <c r="BZ42" i="5" s="1"/>
  <c r="BY43" i="5" s="1"/>
  <c r="BZ43" i="5" s="1"/>
  <c r="BY44" i="5" s="1"/>
  <c r="BZ44" i="5" s="1"/>
  <c r="BY45" i="5" s="1"/>
  <c r="BZ45" i="5" s="1"/>
  <c r="BY46" i="5" s="1"/>
  <c r="BZ46" i="5" s="1"/>
  <c r="BY47" i="5" s="1"/>
  <c r="BZ47" i="5" s="1"/>
  <c r="BY48" i="5" s="1"/>
  <c r="BZ48" i="5" s="1"/>
  <c r="BY49" i="5" s="1"/>
  <c r="BZ49" i="5" s="1"/>
  <c r="BY50" i="5" s="1"/>
  <c r="BZ50" i="5" s="1"/>
  <c r="BY51" i="5" s="1"/>
  <c r="BZ51" i="5" s="1"/>
  <c r="BY52" i="5" s="1"/>
  <c r="BZ52" i="5" s="1"/>
  <c r="BY53" i="5" s="1"/>
  <c r="BZ53" i="5" s="1"/>
  <c r="BY54" i="5" s="1"/>
  <c r="BZ54" i="5" s="1"/>
  <c r="BY55" i="5" s="1"/>
  <c r="BZ55" i="5" s="1"/>
  <c r="BY56" i="5" s="1"/>
  <c r="BZ56" i="5" s="1"/>
  <c r="BY57" i="5" s="1"/>
  <c r="BZ57" i="5" s="1"/>
  <c r="BY58" i="5" s="1"/>
  <c r="BZ58" i="5" s="1"/>
  <c r="BY59" i="5" s="1"/>
  <c r="BZ59" i="5" s="1"/>
  <c r="BY60" i="5" s="1"/>
  <c r="BZ60" i="5" s="1"/>
  <c r="BY61" i="5" s="1"/>
  <c r="BZ61" i="5" s="1"/>
  <c r="BY62" i="5" s="1"/>
  <c r="BZ62" i="5" s="1"/>
  <c r="BY63" i="5" s="1"/>
  <c r="BZ63" i="5" s="1"/>
  <c r="BY64" i="5" s="1"/>
  <c r="BZ64" i="5" s="1"/>
  <c r="BY65" i="5" s="1"/>
  <c r="BZ65" i="5" s="1"/>
  <c r="BY66" i="5" s="1"/>
  <c r="BZ66" i="5" s="1"/>
  <c r="BY67" i="5" s="1"/>
  <c r="BZ67" i="5" s="1"/>
  <c r="BY68" i="5" s="1"/>
  <c r="BZ68" i="5" s="1"/>
  <c r="BY69" i="5" s="1"/>
  <c r="BZ69" i="5" s="1"/>
  <c r="BY70" i="5" s="1"/>
  <c r="BZ70" i="5" s="1"/>
  <c r="BY71" i="5" s="1"/>
  <c r="BZ71" i="5" s="1"/>
  <c r="BY72" i="5" s="1"/>
  <c r="BZ72" i="5" s="1"/>
  <c r="BY73" i="5" s="1"/>
  <c r="BZ73" i="5" s="1"/>
  <c r="BY74" i="5" s="1"/>
  <c r="BZ74" i="5" s="1"/>
  <c r="BY75" i="5" s="1"/>
  <c r="BZ75" i="5" s="1"/>
  <c r="BY76" i="5" s="1"/>
  <c r="BZ76" i="5" s="1"/>
  <c r="BY77" i="5" s="1"/>
  <c r="BZ77" i="5" s="1"/>
  <c r="BY78" i="5" s="1"/>
  <c r="BZ78" i="5" s="1"/>
  <c r="BY79" i="5" s="1"/>
  <c r="BZ79" i="5" s="1"/>
  <c r="BY80" i="5" s="1"/>
  <c r="BZ80" i="5" s="1"/>
  <c r="BY81" i="5" s="1"/>
  <c r="BZ81" i="5" s="1"/>
  <c r="BY82" i="5" s="1"/>
  <c r="BZ82" i="5" s="1"/>
  <c r="BY83" i="5" s="1"/>
  <c r="BZ83" i="5" s="1"/>
  <c r="BY84" i="5" s="1"/>
  <c r="BZ84" i="5" s="1"/>
  <c r="BY85" i="5" s="1"/>
  <c r="BZ85" i="5" s="1"/>
  <c r="BY86" i="5" s="1"/>
  <c r="BZ86" i="5" s="1"/>
  <c r="BY87" i="5" s="1"/>
  <c r="BZ87" i="5" s="1"/>
  <c r="BY88" i="5" s="1"/>
  <c r="BZ88" i="5" s="1"/>
  <c r="BY89" i="5" s="1"/>
  <c r="BZ89" i="5" s="1"/>
  <c r="BY90" i="5" s="1"/>
  <c r="BZ90" i="5" s="1"/>
  <c r="BY91" i="5" s="1"/>
  <c r="BZ91" i="5" s="1"/>
  <c r="BY92" i="5" s="1"/>
  <c r="BZ92" i="5" s="1"/>
  <c r="BY93" i="5" s="1"/>
  <c r="BZ93" i="5" s="1"/>
  <c r="BY94" i="5" s="1"/>
  <c r="BZ94" i="5" s="1"/>
  <c r="BY95" i="5" s="1"/>
  <c r="BZ95" i="5" s="1"/>
  <c r="BY96" i="5" s="1"/>
  <c r="BZ96" i="5" s="1"/>
  <c r="BY97" i="5" s="1"/>
  <c r="BZ97" i="5" s="1"/>
  <c r="BY98" i="5" s="1"/>
  <c r="BZ98" i="5" s="1"/>
  <c r="BY99" i="5" s="1"/>
  <c r="BZ99" i="5" s="1"/>
  <c r="BY100" i="5" s="1"/>
  <c r="BZ100" i="5" s="1"/>
  <c r="BY101" i="5" s="1"/>
  <c r="BZ101" i="5" s="1"/>
  <c r="BY102" i="5" s="1"/>
  <c r="BZ102" i="5" s="1"/>
  <c r="CN3" i="5"/>
  <c r="CO3" i="5" s="1"/>
  <c r="CN4" i="5" s="1"/>
  <c r="CO4" i="5" s="1"/>
  <c r="CN5" i="5" s="1"/>
  <c r="CO5" i="5" s="1"/>
  <c r="CN6" i="5" s="1"/>
  <c r="CO6" i="5" s="1"/>
  <c r="CN7" i="5" s="1"/>
  <c r="CO7" i="5" s="1"/>
  <c r="CN8" i="5" s="1"/>
  <c r="CO8" i="5" s="1"/>
  <c r="CN9" i="5" s="1"/>
  <c r="CO9" i="5" s="1"/>
  <c r="CN10" i="5" s="1"/>
  <c r="CO10" i="5" s="1"/>
  <c r="CN11" i="5" s="1"/>
  <c r="CO11" i="5" s="1"/>
  <c r="CN12" i="5" s="1"/>
  <c r="CO12" i="5" s="1"/>
  <c r="CN13" i="5" s="1"/>
  <c r="CO13" i="5" s="1"/>
  <c r="CN14" i="5" s="1"/>
  <c r="CO14" i="5" s="1"/>
  <c r="CN15" i="5" s="1"/>
  <c r="CO15" i="5" s="1"/>
  <c r="CN16" i="5" s="1"/>
  <c r="CO16" i="5" s="1"/>
  <c r="CN17" i="5" s="1"/>
  <c r="CO17" i="5" s="1"/>
  <c r="CN18" i="5" s="1"/>
  <c r="CO18" i="5" s="1"/>
  <c r="CN19" i="5" s="1"/>
  <c r="CO19" i="5" s="1"/>
  <c r="CN20" i="5" s="1"/>
  <c r="CO20" i="5" s="1"/>
  <c r="CN21" i="5" s="1"/>
  <c r="CO21" i="5" s="1"/>
  <c r="CN22" i="5" s="1"/>
  <c r="CO22" i="5" s="1"/>
  <c r="CN23" i="5" s="1"/>
  <c r="CO23" i="5" s="1"/>
  <c r="CN24" i="5" s="1"/>
  <c r="CO24" i="5" s="1"/>
  <c r="CN25" i="5" s="1"/>
  <c r="CO25" i="5" s="1"/>
  <c r="CN26" i="5" s="1"/>
  <c r="CO26" i="5" s="1"/>
  <c r="CN27" i="5" s="1"/>
  <c r="CO27" i="5" s="1"/>
  <c r="CN28" i="5" s="1"/>
  <c r="CO28" i="5" s="1"/>
  <c r="CN29" i="5" s="1"/>
  <c r="CO29" i="5" s="1"/>
  <c r="CN30" i="5" s="1"/>
  <c r="CO30" i="5" s="1"/>
  <c r="CN31" i="5" s="1"/>
  <c r="CO31" i="5" s="1"/>
  <c r="CN32" i="5" s="1"/>
  <c r="CO32" i="5" s="1"/>
  <c r="CN33" i="5" s="1"/>
  <c r="CO33" i="5" s="1"/>
  <c r="CN34" i="5" s="1"/>
  <c r="CO34" i="5" s="1"/>
  <c r="CN35" i="5" s="1"/>
  <c r="CO35" i="5" s="1"/>
  <c r="CN36" i="5" s="1"/>
  <c r="CO36" i="5" s="1"/>
  <c r="CN37" i="5" s="1"/>
  <c r="CO37" i="5" s="1"/>
  <c r="CN38" i="5" s="1"/>
  <c r="CO38" i="5" s="1"/>
  <c r="CN39" i="5" s="1"/>
  <c r="CO39" i="5" s="1"/>
  <c r="CN40" i="5" s="1"/>
  <c r="CO40" i="5" s="1"/>
  <c r="CN41" i="5" s="1"/>
  <c r="CO41" i="5" s="1"/>
  <c r="CN42" i="5" s="1"/>
  <c r="CO42" i="5" s="1"/>
  <c r="CN43" i="5" s="1"/>
  <c r="CO43" i="5" s="1"/>
  <c r="CN44" i="5" s="1"/>
  <c r="CO44" i="5" s="1"/>
  <c r="CN45" i="5" s="1"/>
  <c r="CO45" i="5" s="1"/>
  <c r="CN46" i="5" s="1"/>
  <c r="CO46" i="5" s="1"/>
  <c r="CN47" i="5" s="1"/>
  <c r="CO47" i="5" s="1"/>
  <c r="CN48" i="5" s="1"/>
  <c r="CO48" i="5" s="1"/>
  <c r="CN49" i="5" s="1"/>
  <c r="CO49" i="5" s="1"/>
  <c r="CN50" i="5" s="1"/>
  <c r="CO50" i="5" s="1"/>
  <c r="CN51" i="5" s="1"/>
  <c r="CO51" i="5" s="1"/>
  <c r="CN52" i="5" s="1"/>
  <c r="CO52" i="5" s="1"/>
  <c r="CN53" i="5" s="1"/>
  <c r="CO53" i="5" s="1"/>
  <c r="CN54" i="5" s="1"/>
  <c r="CO54" i="5" s="1"/>
  <c r="CN55" i="5" s="1"/>
  <c r="CO55" i="5" s="1"/>
  <c r="CN56" i="5" s="1"/>
  <c r="CO56" i="5" s="1"/>
  <c r="CN57" i="5" s="1"/>
  <c r="CO57" i="5" s="1"/>
  <c r="CN58" i="5" s="1"/>
  <c r="CO58" i="5" s="1"/>
  <c r="CN59" i="5" s="1"/>
  <c r="CO59" i="5" s="1"/>
  <c r="CN60" i="5" s="1"/>
  <c r="CO60" i="5" s="1"/>
  <c r="CN61" i="5" s="1"/>
  <c r="CO61" i="5" s="1"/>
  <c r="CN62" i="5" s="1"/>
  <c r="CO62" i="5" s="1"/>
  <c r="CN63" i="5" s="1"/>
  <c r="CO63" i="5" s="1"/>
  <c r="CN64" i="5" s="1"/>
  <c r="CO64" i="5" s="1"/>
  <c r="CN65" i="5" s="1"/>
  <c r="CO65" i="5" s="1"/>
  <c r="CN66" i="5" s="1"/>
  <c r="CO66" i="5" s="1"/>
  <c r="CN67" i="5" s="1"/>
  <c r="CO67" i="5" s="1"/>
  <c r="CN68" i="5" s="1"/>
  <c r="CO68" i="5" s="1"/>
  <c r="CN69" i="5" s="1"/>
  <c r="CO69" i="5" s="1"/>
  <c r="CN70" i="5" s="1"/>
  <c r="CO70" i="5" s="1"/>
  <c r="CN71" i="5" s="1"/>
  <c r="CO71" i="5" s="1"/>
  <c r="CN72" i="5" s="1"/>
  <c r="CO72" i="5" s="1"/>
  <c r="CN73" i="5" s="1"/>
  <c r="CO73" i="5" s="1"/>
  <c r="CN74" i="5" s="1"/>
  <c r="CO74" i="5" s="1"/>
  <c r="CN75" i="5" s="1"/>
  <c r="CO75" i="5" s="1"/>
  <c r="CN76" i="5" s="1"/>
  <c r="CO76" i="5" s="1"/>
  <c r="CN77" i="5" s="1"/>
  <c r="CO77" i="5" s="1"/>
  <c r="CN78" i="5" s="1"/>
  <c r="CO78" i="5" s="1"/>
  <c r="CN79" i="5" s="1"/>
  <c r="CO79" i="5" s="1"/>
  <c r="CN80" i="5" s="1"/>
  <c r="CO80" i="5" s="1"/>
  <c r="CN81" i="5" s="1"/>
  <c r="CO81" i="5" s="1"/>
  <c r="CN82" i="5" s="1"/>
  <c r="CO82" i="5" s="1"/>
  <c r="CN83" i="5" s="1"/>
  <c r="CO83" i="5" s="1"/>
  <c r="CN84" i="5" s="1"/>
  <c r="CO84" i="5" s="1"/>
  <c r="CN85" i="5" s="1"/>
  <c r="CO85" i="5" s="1"/>
  <c r="CN86" i="5" s="1"/>
  <c r="CO86" i="5" s="1"/>
  <c r="CN87" i="5" s="1"/>
  <c r="CO87" i="5" s="1"/>
  <c r="CN88" i="5" s="1"/>
  <c r="CO88" i="5" s="1"/>
  <c r="CN89" i="5" s="1"/>
  <c r="CO89" i="5" s="1"/>
  <c r="CN90" i="5" s="1"/>
  <c r="CO90" i="5" s="1"/>
  <c r="CN91" i="5" s="1"/>
  <c r="CO91" i="5" s="1"/>
  <c r="CN92" i="5" s="1"/>
  <c r="CO92" i="5" s="1"/>
  <c r="CN93" i="5" s="1"/>
  <c r="CO93" i="5" s="1"/>
  <c r="CN94" i="5" s="1"/>
  <c r="CO94" i="5" s="1"/>
  <c r="CN95" i="5" s="1"/>
  <c r="CO95" i="5" s="1"/>
  <c r="CN96" i="5" s="1"/>
  <c r="CO96" i="5" s="1"/>
  <c r="CN97" i="5" s="1"/>
  <c r="CO97" i="5" s="1"/>
  <c r="CN98" i="5" s="1"/>
  <c r="CO98" i="5" s="1"/>
  <c r="CN99" i="5" s="1"/>
  <c r="CO99" i="5" s="1"/>
  <c r="CN100" i="5" s="1"/>
  <c r="CO100" i="5" s="1"/>
  <c r="CN101" i="5" s="1"/>
  <c r="CO101" i="5" s="1"/>
  <c r="CN102" i="5" s="1"/>
  <c r="CO102" i="5" s="1"/>
  <c r="CB3" i="5"/>
  <c r="CC3" i="5" s="1"/>
  <c r="CB4" i="5" s="1"/>
  <c r="CC4" i="5" s="1"/>
  <c r="CB5" i="5" s="1"/>
  <c r="CC5" i="5" s="1"/>
  <c r="CB6" i="5" s="1"/>
  <c r="CC6" i="5" s="1"/>
  <c r="CB7" i="5" s="1"/>
  <c r="CC7" i="5" s="1"/>
  <c r="CB8" i="5" s="1"/>
  <c r="CC8" i="5" s="1"/>
  <c r="CB9" i="5" s="1"/>
  <c r="CC9" i="5" s="1"/>
  <c r="CB10" i="5" s="1"/>
  <c r="CC10" i="5" s="1"/>
  <c r="CB11" i="5" s="1"/>
  <c r="CC11" i="5" s="1"/>
  <c r="CB12" i="5" s="1"/>
  <c r="CC12" i="5" s="1"/>
  <c r="CB13" i="5" s="1"/>
  <c r="CC13" i="5" s="1"/>
  <c r="CB14" i="5" s="1"/>
  <c r="CC14" i="5" s="1"/>
  <c r="CB15" i="5" s="1"/>
  <c r="CC15" i="5" s="1"/>
  <c r="CB16" i="5" s="1"/>
  <c r="CC16" i="5" s="1"/>
  <c r="CB17" i="5" s="1"/>
  <c r="CC17" i="5" s="1"/>
  <c r="CB18" i="5" s="1"/>
  <c r="CC18" i="5" s="1"/>
  <c r="CB19" i="5" s="1"/>
  <c r="CC19" i="5" s="1"/>
  <c r="CB20" i="5" s="1"/>
  <c r="CC20" i="5" s="1"/>
  <c r="CB21" i="5" s="1"/>
  <c r="CC21" i="5" s="1"/>
  <c r="CB22" i="5" s="1"/>
  <c r="CC22" i="5" s="1"/>
  <c r="CB23" i="5" s="1"/>
  <c r="CC23" i="5" s="1"/>
  <c r="CB24" i="5" s="1"/>
  <c r="CC24" i="5" s="1"/>
  <c r="CB25" i="5" s="1"/>
  <c r="CC25" i="5" s="1"/>
  <c r="CB26" i="5" s="1"/>
  <c r="CC26" i="5" s="1"/>
  <c r="CB27" i="5" s="1"/>
  <c r="CC27" i="5" s="1"/>
  <c r="CB28" i="5" s="1"/>
  <c r="CC28" i="5" s="1"/>
  <c r="CB29" i="5" s="1"/>
  <c r="CC29" i="5" s="1"/>
  <c r="CB30" i="5" s="1"/>
  <c r="CC30" i="5" s="1"/>
  <c r="CB31" i="5" s="1"/>
  <c r="CC31" i="5" s="1"/>
  <c r="CB32" i="5" s="1"/>
  <c r="CC32" i="5" s="1"/>
  <c r="CB33" i="5" s="1"/>
  <c r="CC33" i="5" s="1"/>
  <c r="CB34" i="5" s="1"/>
  <c r="CC34" i="5" s="1"/>
  <c r="CB35" i="5" s="1"/>
  <c r="CC35" i="5" s="1"/>
  <c r="CB36" i="5" s="1"/>
  <c r="CC36" i="5" s="1"/>
  <c r="CB37" i="5" s="1"/>
  <c r="CC37" i="5" s="1"/>
  <c r="CB38" i="5" s="1"/>
  <c r="CC38" i="5" s="1"/>
  <c r="CB39" i="5" s="1"/>
  <c r="CC39" i="5" s="1"/>
  <c r="CB40" i="5" s="1"/>
  <c r="CC40" i="5" s="1"/>
  <c r="CB41" i="5" s="1"/>
  <c r="CC41" i="5" s="1"/>
  <c r="CB42" i="5" s="1"/>
  <c r="CC42" i="5" s="1"/>
  <c r="CB43" i="5" s="1"/>
  <c r="CC43" i="5" s="1"/>
  <c r="CB44" i="5" s="1"/>
  <c r="CC44" i="5" s="1"/>
  <c r="CB45" i="5" s="1"/>
  <c r="CC45" i="5" s="1"/>
  <c r="CB46" i="5" s="1"/>
  <c r="CC46" i="5" s="1"/>
  <c r="CB47" i="5" s="1"/>
  <c r="CC47" i="5" s="1"/>
  <c r="CB48" i="5" s="1"/>
  <c r="CC48" i="5" s="1"/>
  <c r="CB49" i="5" s="1"/>
  <c r="CC49" i="5" s="1"/>
  <c r="CB50" i="5" s="1"/>
  <c r="CC50" i="5" s="1"/>
  <c r="CB51" i="5" s="1"/>
  <c r="CC51" i="5" s="1"/>
  <c r="CB52" i="5" s="1"/>
  <c r="CC52" i="5" s="1"/>
  <c r="CB53" i="5" s="1"/>
  <c r="CC53" i="5" s="1"/>
  <c r="CB54" i="5" s="1"/>
  <c r="CC54" i="5" s="1"/>
  <c r="CB55" i="5" s="1"/>
  <c r="CC55" i="5" s="1"/>
  <c r="CB56" i="5" s="1"/>
  <c r="CC56" i="5" s="1"/>
  <c r="CB57" i="5" s="1"/>
  <c r="CC57" i="5" s="1"/>
  <c r="CB58" i="5" s="1"/>
  <c r="CC58" i="5" s="1"/>
  <c r="CB59" i="5" s="1"/>
  <c r="CC59" i="5" s="1"/>
  <c r="CB60" i="5" s="1"/>
  <c r="CC60" i="5" s="1"/>
  <c r="CB61" i="5" s="1"/>
  <c r="CC61" i="5" s="1"/>
  <c r="CB62" i="5" s="1"/>
  <c r="CC62" i="5" s="1"/>
  <c r="CB63" i="5" s="1"/>
  <c r="CC63" i="5" s="1"/>
  <c r="CB64" i="5" s="1"/>
  <c r="CC64" i="5" s="1"/>
  <c r="CB65" i="5" s="1"/>
  <c r="CC65" i="5" s="1"/>
  <c r="CB66" i="5" s="1"/>
  <c r="CC66" i="5" s="1"/>
  <c r="CB67" i="5" s="1"/>
  <c r="CC67" i="5" s="1"/>
  <c r="CB68" i="5" s="1"/>
  <c r="CC68" i="5" s="1"/>
  <c r="CB69" i="5" s="1"/>
  <c r="CC69" i="5" s="1"/>
  <c r="CB70" i="5" s="1"/>
  <c r="CC70" i="5" s="1"/>
  <c r="CB71" i="5" s="1"/>
  <c r="CC71" i="5" s="1"/>
  <c r="CB72" i="5" s="1"/>
  <c r="CC72" i="5" s="1"/>
  <c r="CB73" i="5" s="1"/>
  <c r="CC73" i="5" s="1"/>
  <c r="CB74" i="5" s="1"/>
  <c r="CC74" i="5" s="1"/>
  <c r="CB75" i="5" s="1"/>
  <c r="CC75" i="5" s="1"/>
  <c r="CB76" i="5" s="1"/>
  <c r="CC76" i="5" s="1"/>
  <c r="CB77" i="5" s="1"/>
  <c r="CC77" i="5" s="1"/>
  <c r="CB78" i="5" s="1"/>
  <c r="CC78" i="5" s="1"/>
  <c r="CB79" i="5" s="1"/>
  <c r="CC79" i="5" s="1"/>
  <c r="CB80" i="5" s="1"/>
  <c r="CC80" i="5" s="1"/>
  <c r="CB81" i="5" s="1"/>
  <c r="CC81" i="5" s="1"/>
  <c r="CB82" i="5" s="1"/>
  <c r="CC82" i="5" s="1"/>
  <c r="CB83" i="5" s="1"/>
  <c r="CC83" i="5" s="1"/>
  <c r="CB84" i="5" s="1"/>
  <c r="CC84" i="5" s="1"/>
  <c r="CB85" i="5" s="1"/>
  <c r="CC85" i="5" s="1"/>
  <c r="CB86" i="5" s="1"/>
  <c r="CC86" i="5" s="1"/>
  <c r="CB87" i="5" s="1"/>
  <c r="CC87" i="5" s="1"/>
  <c r="CB88" i="5" s="1"/>
  <c r="CC88" i="5" s="1"/>
  <c r="CB89" i="5" s="1"/>
  <c r="CC89" i="5" s="1"/>
  <c r="CB90" i="5" s="1"/>
  <c r="CC90" i="5" s="1"/>
  <c r="CB91" i="5" s="1"/>
  <c r="CC91" i="5" s="1"/>
  <c r="CB92" i="5" s="1"/>
  <c r="CC92" i="5" s="1"/>
  <c r="CB93" i="5" s="1"/>
  <c r="CC93" i="5" s="1"/>
  <c r="CB94" i="5" s="1"/>
  <c r="CC94" i="5" s="1"/>
  <c r="CB95" i="5" s="1"/>
  <c r="CC95" i="5" s="1"/>
  <c r="CB96" i="5" s="1"/>
  <c r="CC96" i="5" s="1"/>
  <c r="CB97" i="5" s="1"/>
  <c r="CC97" i="5" s="1"/>
  <c r="CB98" i="5" s="1"/>
  <c r="CC98" i="5" s="1"/>
  <c r="CB99" i="5" s="1"/>
  <c r="CC99" i="5" s="1"/>
  <c r="CB100" i="5" s="1"/>
  <c r="CC100" i="5" s="1"/>
  <c r="CB101" i="5" s="1"/>
  <c r="CC101" i="5" s="1"/>
  <c r="CB102" i="5" s="1"/>
  <c r="CC102" i="5" s="1"/>
  <c r="CA30" i="7"/>
  <c r="BZ31" i="7" s="1"/>
  <c r="O30" i="7"/>
  <c r="P30" i="7" s="1"/>
  <c r="E30" i="6"/>
  <c r="F30" i="6" s="1"/>
  <c r="B51" i="6"/>
  <c r="C51" i="6" s="1"/>
  <c r="B52" i="6" s="1"/>
  <c r="C52" i="6" s="1"/>
  <c r="AX3" i="5"/>
  <c r="AY3" i="5" s="1"/>
  <c r="AX4" i="5" s="1"/>
  <c r="AY4" i="5" s="1"/>
  <c r="AX5" i="5" s="1"/>
  <c r="AY5" i="5" s="1"/>
  <c r="AX6" i="5" s="1"/>
  <c r="AY6" i="5" s="1"/>
  <c r="AX7" i="5" s="1"/>
  <c r="AY7" i="5" s="1"/>
  <c r="AX8" i="5" s="1"/>
  <c r="AY8" i="5" s="1"/>
  <c r="AX9" i="5" s="1"/>
  <c r="AY9" i="5" s="1"/>
  <c r="AX10" i="5" s="1"/>
  <c r="AY10" i="5" s="1"/>
  <c r="AX11" i="5" s="1"/>
  <c r="AY11" i="5" s="1"/>
  <c r="AX12" i="5" s="1"/>
  <c r="AY12" i="5" s="1"/>
  <c r="AX13" i="5" s="1"/>
  <c r="AY13" i="5" s="1"/>
  <c r="AX14" i="5" s="1"/>
  <c r="AY14" i="5" s="1"/>
  <c r="AX15" i="5" s="1"/>
  <c r="AY15" i="5" s="1"/>
  <c r="AX16" i="5" s="1"/>
  <c r="AY16" i="5" s="1"/>
  <c r="AX17" i="5" s="1"/>
  <c r="AY17" i="5" s="1"/>
  <c r="AX18" i="5" s="1"/>
  <c r="AY18" i="5" s="1"/>
  <c r="AX19" i="5" s="1"/>
  <c r="AY19" i="5" s="1"/>
  <c r="AX20" i="5" s="1"/>
  <c r="AY20" i="5" s="1"/>
  <c r="AX21" i="5" s="1"/>
  <c r="AY21" i="5" s="1"/>
  <c r="AX22" i="5" s="1"/>
  <c r="AY22" i="5" s="1"/>
  <c r="AX23" i="5" s="1"/>
  <c r="AY23" i="5" s="1"/>
  <c r="AX24" i="5" s="1"/>
  <c r="AY24" i="5" s="1"/>
  <c r="AX25" i="5" s="1"/>
  <c r="AY25" i="5" s="1"/>
  <c r="AX26" i="5" s="1"/>
  <c r="AY26" i="5" s="1"/>
  <c r="AX27" i="5" s="1"/>
  <c r="AY27" i="5" s="1"/>
  <c r="AX28" i="5" s="1"/>
  <c r="AY28" i="5" s="1"/>
  <c r="AX29" i="5" s="1"/>
  <c r="AY29" i="5" s="1"/>
  <c r="AX30" i="5" s="1"/>
  <c r="AY30" i="5" s="1"/>
  <c r="AX31" i="5" s="1"/>
  <c r="AY31" i="5" s="1"/>
  <c r="AX32" i="5" s="1"/>
  <c r="AY32" i="5" s="1"/>
  <c r="AX33" i="5" s="1"/>
  <c r="AY33" i="5" s="1"/>
  <c r="AX34" i="5" s="1"/>
  <c r="AY34" i="5" s="1"/>
  <c r="AX35" i="5" s="1"/>
  <c r="AY35" i="5" s="1"/>
  <c r="AX36" i="5" s="1"/>
  <c r="AY36" i="5" s="1"/>
  <c r="AX37" i="5" s="1"/>
  <c r="AY37" i="5" s="1"/>
  <c r="AX38" i="5" s="1"/>
  <c r="AY38" i="5" s="1"/>
  <c r="AX39" i="5" s="1"/>
  <c r="AY39" i="5" s="1"/>
  <c r="AX40" i="5" s="1"/>
  <c r="AY40" i="5" s="1"/>
  <c r="AX41" i="5" s="1"/>
  <c r="AY41" i="5" s="1"/>
  <c r="AX42" i="5" s="1"/>
  <c r="AY42" i="5" s="1"/>
  <c r="AX43" i="5" s="1"/>
  <c r="AY43" i="5" s="1"/>
  <c r="AX44" i="5" s="1"/>
  <c r="AY44" i="5" s="1"/>
  <c r="AX45" i="5" s="1"/>
  <c r="AY45" i="5" s="1"/>
  <c r="AX46" i="5" s="1"/>
  <c r="AY46" i="5" s="1"/>
  <c r="AX47" i="5" s="1"/>
  <c r="AY47" i="5" s="1"/>
  <c r="AX48" i="5" s="1"/>
  <c r="AY48" i="5" s="1"/>
  <c r="AX49" i="5" s="1"/>
  <c r="AY49" i="5" s="1"/>
  <c r="AX50" i="5" s="1"/>
  <c r="AY50" i="5" s="1"/>
  <c r="AX51" i="5" s="1"/>
  <c r="AY51" i="5" s="1"/>
  <c r="AX52" i="5" s="1"/>
  <c r="AY52" i="5" s="1"/>
  <c r="AX53" i="5" s="1"/>
  <c r="AY53" i="5" s="1"/>
  <c r="AX54" i="5" s="1"/>
  <c r="AY54" i="5" s="1"/>
  <c r="AX55" i="5" s="1"/>
  <c r="AY55" i="5" s="1"/>
  <c r="AX56" i="5" s="1"/>
  <c r="AY56" i="5" s="1"/>
  <c r="AX57" i="5" s="1"/>
  <c r="AY57" i="5" s="1"/>
  <c r="AX58" i="5" s="1"/>
  <c r="AY58" i="5" s="1"/>
  <c r="AX59" i="5" s="1"/>
  <c r="AY59" i="5" s="1"/>
  <c r="AX60" i="5" s="1"/>
  <c r="AY60" i="5" s="1"/>
  <c r="AX61" i="5" s="1"/>
  <c r="AY61" i="5" s="1"/>
  <c r="AX62" i="5" s="1"/>
  <c r="AY62" i="5" s="1"/>
  <c r="AX63" i="5" s="1"/>
  <c r="AY63" i="5" s="1"/>
  <c r="AX64" i="5" s="1"/>
  <c r="AY64" i="5" s="1"/>
  <c r="AX65" i="5" s="1"/>
  <c r="AY65" i="5" s="1"/>
  <c r="AX66" i="5" s="1"/>
  <c r="AY66" i="5" s="1"/>
  <c r="AX67" i="5" s="1"/>
  <c r="AY67" i="5" s="1"/>
  <c r="AX68" i="5" s="1"/>
  <c r="AY68" i="5" s="1"/>
  <c r="AX69" i="5" s="1"/>
  <c r="AY69" i="5" s="1"/>
  <c r="AX70" i="5" s="1"/>
  <c r="AY70" i="5" s="1"/>
  <c r="AX71" i="5" s="1"/>
  <c r="AY71" i="5" s="1"/>
  <c r="AX72" i="5" s="1"/>
  <c r="AY72" i="5" s="1"/>
  <c r="AX73" i="5" s="1"/>
  <c r="AY73" i="5" s="1"/>
  <c r="AX74" i="5" s="1"/>
  <c r="AY74" i="5" s="1"/>
  <c r="AX75" i="5" s="1"/>
  <c r="AY75" i="5" s="1"/>
  <c r="AX76" i="5" s="1"/>
  <c r="AY76" i="5" s="1"/>
  <c r="AX77" i="5" s="1"/>
  <c r="AY77" i="5" s="1"/>
  <c r="AX78" i="5" s="1"/>
  <c r="AY78" i="5" s="1"/>
  <c r="AX79" i="5" s="1"/>
  <c r="AY79" i="5" s="1"/>
  <c r="AX80" i="5" s="1"/>
  <c r="AY80" i="5" s="1"/>
  <c r="AX81" i="5" s="1"/>
  <c r="AY81" i="5" s="1"/>
  <c r="AX82" i="5" s="1"/>
  <c r="AY82" i="5" s="1"/>
  <c r="AX83" i="5" s="1"/>
  <c r="AY83" i="5" s="1"/>
  <c r="AX84" i="5" s="1"/>
  <c r="AY84" i="5" s="1"/>
  <c r="AX85" i="5" s="1"/>
  <c r="AY85" i="5" s="1"/>
  <c r="AX86" i="5" s="1"/>
  <c r="AY86" i="5" s="1"/>
  <c r="AX87" i="5" s="1"/>
  <c r="AY87" i="5" s="1"/>
  <c r="AX88" i="5" s="1"/>
  <c r="AY88" i="5" s="1"/>
  <c r="AX89" i="5" s="1"/>
  <c r="AY89" i="5" s="1"/>
  <c r="AX90" i="5" s="1"/>
  <c r="AY90" i="5" s="1"/>
  <c r="AX91" i="5" s="1"/>
  <c r="AY91" i="5" s="1"/>
  <c r="AX92" i="5" s="1"/>
  <c r="AY92" i="5" s="1"/>
  <c r="AX93" i="5" s="1"/>
  <c r="AY93" i="5" s="1"/>
  <c r="AX94" i="5" s="1"/>
  <c r="AY94" i="5" s="1"/>
  <c r="AX95" i="5" s="1"/>
  <c r="AY95" i="5" s="1"/>
  <c r="AX96" i="5" s="1"/>
  <c r="AY96" i="5" s="1"/>
  <c r="AX97" i="5" s="1"/>
  <c r="AY97" i="5" s="1"/>
  <c r="AX98" i="5" s="1"/>
  <c r="AY98" i="5" s="1"/>
  <c r="AX99" i="5" s="1"/>
  <c r="AY99" i="5" s="1"/>
  <c r="AX100" i="5" s="1"/>
  <c r="AY100" i="5" s="1"/>
  <c r="AX101" i="5" s="1"/>
  <c r="AY101" i="5" s="1"/>
  <c r="AX102" i="5" s="1"/>
  <c r="AY102" i="5" s="1"/>
  <c r="CE3" i="5"/>
  <c r="CF3" i="5" s="1"/>
  <c r="CE4" i="5" s="1"/>
  <c r="CF4" i="5" s="1"/>
  <c r="CE5" i="5" s="1"/>
  <c r="CF5" i="5" s="1"/>
  <c r="CE6" i="5" s="1"/>
  <c r="CF6" i="5" s="1"/>
  <c r="CE7" i="5" s="1"/>
  <c r="CF7" i="5" s="1"/>
  <c r="CE8" i="5" s="1"/>
  <c r="CF8" i="5" s="1"/>
  <c r="CE9" i="5" s="1"/>
  <c r="CF9" i="5" s="1"/>
  <c r="CE10" i="5" s="1"/>
  <c r="CF10" i="5" s="1"/>
  <c r="CE11" i="5" s="1"/>
  <c r="CF11" i="5" s="1"/>
  <c r="CE12" i="5" s="1"/>
  <c r="CF12" i="5" s="1"/>
  <c r="CE13" i="5" s="1"/>
  <c r="CF13" i="5" s="1"/>
  <c r="CE14" i="5" s="1"/>
  <c r="CF14" i="5" s="1"/>
  <c r="CE15" i="5" s="1"/>
  <c r="CF15" i="5" s="1"/>
  <c r="CE16" i="5" s="1"/>
  <c r="CF16" i="5" s="1"/>
  <c r="CE17" i="5" s="1"/>
  <c r="CF17" i="5" s="1"/>
  <c r="CE18" i="5" s="1"/>
  <c r="CF18" i="5" s="1"/>
  <c r="CE19" i="5" s="1"/>
  <c r="CF19" i="5" s="1"/>
  <c r="CE20" i="5" s="1"/>
  <c r="CF20" i="5" s="1"/>
  <c r="CE21" i="5" s="1"/>
  <c r="CF21" i="5" s="1"/>
  <c r="CE22" i="5" s="1"/>
  <c r="CF22" i="5" s="1"/>
  <c r="CE23" i="5" s="1"/>
  <c r="CF23" i="5" s="1"/>
  <c r="CE24" i="5" s="1"/>
  <c r="CF24" i="5" s="1"/>
  <c r="CE25" i="5" s="1"/>
  <c r="CF25" i="5" s="1"/>
  <c r="CE26" i="5" s="1"/>
  <c r="CF26" i="5" s="1"/>
  <c r="CE27" i="5" s="1"/>
  <c r="CF27" i="5" s="1"/>
  <c r="CE28" i="5" s="1"/>
  <c r="CF28" i="5" s="1"/>
  <c r="CE29" i="5" s="1"/>
  <c r="CF29" i="5" s="1"/>
  <c r="CE30" i="5" s="1"/>
  <c r="CF30" i="5" s="1"/>
  <c r="CE31" i="5" s="1"/>
  <c r="CF31" i="5" s="1"/>
  <c r="CE32" i="5" s="1"/>
  <c r="CF32" i="5" s="1"/>
  <c r="CE33" i="5" s="1"/>
  <c r="CF33" i="5" s="1"/>
  <c r="CE34" i="5" s="1"/>
  <c r="CF34" i="5" s="1"/>
  <c r="CE35" i="5" s="1"/>
  <c r="CF35" i="5" s="1"/>
  <c r="CE36" i="5" s="1"/>
  <c r="CF36" i="5" s="1"/>
  <c r="CE37" i="5" s="1"/>
  <c r="CF37" i="5" s="1"/>
  <c r="CE38" i="5" s="1"/>
  <c r="CF38" i="5" s="1"/>
  <c r="CE39" i="5" s="1"/>
  <c r="CF39" i="5" s="1"/>
  <c r="CE40" i="5" s="1"/>
  <c r="CF40" i="5" s="1"/>
  <c r="CE41" i="5" s="1"/>
  <c r="CF41" i="5" s="1"/>
  <c r="CE42" i="5" s="1"/>
  <c r="CF42" i="5" s="1"/>
  <c r="CE43" i="5" s="1"/>
  <c r="CF43" i="5" s="1"/>
  <c r="CE44" i="5" s="1"/>
  <c r="CF44" i="5" s="1"/>
  <c r="CE45" i="5" s="1"/>
  <c r="CF45" i="5" s="1"/>
  <c r="CE46" i="5" s="1"/>
  <c r="CF46" i="5" s="1"/>
  <c r="CE47" i="5" s="1"/>
  <c r="CF47" i="5" s="1"/>
  <c r="CE48" i="5" s="1"/>
  <c r="CF48" i="5" s="1"/>
  <c r="CE49" i="5" s="1"/>
  <c r="CF49" i="5" s="1"/>
  <c r="CE50" i="5" s="1"/>
  <c r="CF50" i="5" s="1"/>
  <c r="CE51" i="5" s="1"/>
  <c r="CF51" i="5" s="1"/>
  <c r="CE52" i="5" s="1"/>
  <c r="CF52" i="5" s="1"/>
  <c r="CE53" i="5" s="1"/>
  <c r="CF53" i="5" s="1"/>
  <c r="CE54" i="5" s="1"/>
  <c r="CF54" i="5" s="1"/>
  <c r="CE55" i="5" s="1"/>
  <c r="CF55" i="5" s="1"/>
  <c r="CE56" i="5" s="1"/>
  <c r="CF56" i="5" s="1"/>
  <c r="CE57" i="5" s="1"/>
  <c r="CF57" i="5" s="1"/>
  <c r="CE58" i="5" s="1"/>
  <c r="CF58" i="5" s="1"/>
  <c r="CE59" i="5" s="1"/>
  <c r="CF59" i="5" s="1"/>
  <c r="CE60" i="5" s="1"/>
  <c r="CF60" i="5" s="1"/>
  <c r="CE61" i="5" s="1"/>
  <c r="CF61" i="5" s="1"/>
  <c r="CE62" i="5" s="1"/>
  <c r="CF62" i="5" s="1"/>
  <c r="CE63" i="5" s="1"/>
  <c r="CF63" i="5" s="1"/>
  <c r="CE64" i="5" s="1"/>
  <c r="CF64" i="5" s="1"/>
  <c r="CE65" i="5" s="1"/>
  <c r="CF65" i="5" s="1"/>
  <c r="CE66" i="5" s="1"/>
  <c r="CF66" i="5" s="1"/>
  <c r="CE67" i="5" s="1"/>
  <c r="CF67" i="5" s="1"/>
  <c r="CE68" i="5" s="1"/>
  <c r="CF68" i="5" s="1"/>
  <c r="CE69" i="5" s="1"/>
  <c r="CF69" i="5" s="1"/>
  <c r="CE70" i="5" s="1"/>
  <c r="CF70" i="5" s="1"/>
  <c r="CE71" i="5" s="1"/>
  <c r="CF71" i="5" s="1"/>
  <c r="CE72" i="5" s="1"/>
  <c r="CF72" i="5" s="1"/>
  <c r="CE73" i="5" s="1"/>
  <c r="CF73" i="5" s="1"/>
  <c r="CE74" i="5" s="1"/>
  <c r="CF74" i="5" s="1"/>
  <c r="CE75" i="5" s="1"/>
  <c r="CF75" i="5" s="1"/>
  <c r="CE76" i="5" s="1"/>
  <c r="CF76" i="5" s="1"/>
  <c r="CE77" i="5" s="1"/>
  <c r="CF77" i="5" s="1"/>
  <c r="CE78" i="5" s="1"/>
  <c r="CF78" i="5" s="1"/>
  <c r="CE79" i="5" s="1"/>
  <c r="CF79" i="5" s="1"/>
  <c r="CE80" i="5" s="1"/>
  <c r="CF80" i="5" s="1"/>
  <c r="CE81" i="5" s="1"/>
  <c r="CF81" i="5" s="1"/>
  <c r="CE82" i="5" s="1"/>
  <c r="CF82" i="5" s="1"/>
  <c r="CE83" i="5" s="1"/>
  <c r="CF83" i="5" s="1"/>
  <c r="CE84" i="5" s="1"/>
  <c r="CF84" i="5" s="1"/>
  <c r="CE85" i="5" s="1"/>
  <c r="CF85" i="5" s="1"/>
  <c r="CE86" i="5" s="1"/>
  <c r="CF86" i="5" s="1"/>
  <c r="CE87" i="5" s="1"/>
  <c r="CF87" i="5" s="1"/>
  <c r="CE88" i="5" s="1"/>
  <c r="CF88" i="5" s="1"/>
  <c r="CE89" i="5" s="1"/>
  <c r="CF89" i="5" s="1"/>
  <c r="CE90" i="5" s="1"/>
  <c r="CF90" i="5" s="1"/>
  <c r="CE91" i="5" s="1"/>
  <c r="CF91" i="5" s="1"/>
  <c r="CE92" i="5" s="1"/>
  <c r="CF92" i="5" s="1"/>
  <c r="CE93" i="5" s="1"/>
  <c r="CF93" i="5" s="1"/>
  <c r="CE94" i="5" s="1"/>
  <c r="CF94" i="5" s="1"/>
  <c r="CE95" i="5" s="1"/>
  <c r="CF95" i="5" s="1"/>
  <c r="CE96" i="5" s="1"/>
  <c r="CF96" i="5" s="1"/>
  <c r="CE97" i="5" s="1"/>
  <c r="CF97" i="5" s="1"/>
  <c r="CE98" i="5" s="1"/>
  <c r="CF98" i="5" s="1"/>
  <c r="CE99" i="5" s="1"/>
  <c r="CF99" i="5" s="1"/>
  <c r="CE100" i="5" s="1"/>
  <c r="CF100" i="5" s="1"/>
  <c r="CE101" i="5" s="1"/>
  <c r="CF101" i="5" s="1"/>
  <c r="CE102" i="5" s="1"/>
  <c r="CF102" i="5" s="1"/>
  <c r="Q20" i="4" l="1"/>
  <c r="Q21" i="4" s="1"/>
  <c r="N18" i="10"/>
  <c r="K17" i="10"/>
  <c r="N17" i="10"/>
  <c r="CP27" i="7"/>
  <c r="CO28" i="7" s="1"/>
  <c r="CM26" i="7"/>
  <c r="CL27" i="7" s="1"/>
  <c r="CJ25" i="7"/>
  <c r="CI26" i="7" s="1"/>
  <c r="CG27" i="7"/>
  <c r="CF28" i="7" s="1"/>
  <c r="CC28" i="7"/>
  <c r="CD28" i="7" s="1"/>
  <c r="BX27" i="7"/>
  <c r="BW28" i="7" s="1"/>
  <c r="BT26" i="7"/>
  <c r="BU26" i="7" s="1"/>
  <c r="BR26" i="7"/>
  <c r="BQ27" i="7" s="1"/>
  <c r="BN28" i="7"/>
  <c r="BO28" i="7" s="1"/>
  <c r="BK28" i="7"/>
  <c r="BL28" i="7" s="1"/>
  <c r="BH27" i="7"/>
  <c r="BI27" i="7" s="1"/>
  <c r="BB28" i="7"/>
  <c r="BC28" i="7" s="1"/>
  <c r="AZ27" i="7"/>
  <c r="AY28" i="7" s="1"/>
  <c r="BF26" i="7"/>
  <c r="BE27" i="7" s="1"/>
  <c r="CR29" i="7"/>
  <c r="CS29" i="7" s="1"/>
  <c r="GN27" i="7"/>
  <c r="GM28" i="7" s="1"/>
  <c r="GK27" i="7"/>
  <c r="GJ28" i="7" s="1"/>
  <c r="GG27" i="7"/>
  <c r="GH27" i="7" s="1"/>
  <c r="GE28" i="7"/>
  <c r="GD29" i="7" s="1"/>
  <c r="GB28" i="7"/>
  <c r="GA29" i="7" s="1"/>
  <c r="FX28" i="7"/>
  <c r="FY28" i="7" s="1"/>
  <c r="FV29" i="7"/>
  <c r="FU30" i="7" s="1"/>
  <c r="FR28" i="7"/>
  <c r="FS28" i="7" s="1"/>
  <c r="FO27" i="7"/>
  <c r="FP27" i="7" s="1"/>
  <c r="FL27" i="7"/>
  <c r="FM27" i="7" s="1"/>
  <c r="FJ28" i="7"/>
  <c r="FI29" i="7" s="1"/>
  <c r="FF27" i="7"/>
  <c r="FG27" i="7" s="1"/>
  <c r="FD27" i="7"/>
  <c r="FC28" i="7" s="1"/>
  <c r="FA28" i="7"/>
  <c r="EZ29" i="7" s="1"/>
  <c r="EX27" i="7"/>
  <c r="EW28" i="7" s="1"/>
  <c r="EU28" i="7"/>
  <c r="ET29" i="7" s="1"/>
  <c r="ER26" i="7"/>
  <c r="EQ27" i="7" s="1"/>
  <c r="EO27" i="7"/>
  <c r="EN28" i="7" s="1"/>
  <c r="EL27" i="7"/>
  <c r="EK28" i="7" s="1"/>
  <c r="EI28" i="7"/>
  <c r="EH29" i="7" s="1"/>
  <c r="EF27" i="7"/>
  <c r="EE28" i="7" s="1"/>
  <c r="EC28" i="7"/>
  <c r="EB29" i="7" s="1"/>
  <c r="DY28" i="7"/>
  <c r="DZ28" i="7" s="1"/>
  <c r="DT28" i="7"/>
  <c r="DS29" i="7" s="1"/>
  <c r="DQ27" i="7"/>
  <c r="DP28" i="7" s="1"/>
  <c r="DN28" i="7"/>
  <c r="DM29" i="7" s="1"/>
  <c r="DH27" i="7"/>
  <c r="DG28" i="7" s="1"/>
  <c r="CX28" i="7"/>
  <c r="CY28" i="7" s="1"/>
  <c r="C29" i="7"/>
  <c r="D29" i="7" s="1"/>
  <c r="CQ3" i="5"/>
  <c r="CR3" i="5" s="1"/>
  <c r="CQ4" i="5" s="1"/>
  <c r="CR4" i="5" s="1"/>
  <c r="CQ5" i="5" s="1"/>
  <c r="CR5" i="5" s="1"/>
  <c r="CQ6" i="5" s="1"/>
  <c r="CR6" i="5" s="1"/>
  <c r="CQ7" i="5" s="1"/>
  <c r="CR7" i="5" s="1"/>
  <c r="CQ8" i="5" s="1"/>
  <c r="CR8" i="5" s="1"/>
  <c r="CQ9" i="5" s="1"/>
  <c r="CR9" i="5" s="1"/>
  <c r="CQ10" i="5" s="1"/>
  <c r="CR10" i="5" s="1"/>
  <c r="CQ11" i="5" s="1"/>
  <c r="CR11" i="5" s="1"/>
  <c r="CQ12" i="5" s="1"/>
  <c r="CR12" i="5" s="1"/>
  <c r="CQ13" i="5" s="1"/>
  <c r="CR13" i="5" s="1"/>
  <c r="CQ14" i="5" s="1"/>
  <c r="CR14" i="5" s="1"/>
  <c r="CQ15" i="5" s="1"/>
  <c r="CR15" i="5" s="1"/>
  <c r="CQ16" i="5" s="1"/>
  <c r="CR16" i="5" s="1"/>
  <c r="CQ17" i="5" s="1"/>
  <c r="CR17" i="5" s="1"/>
  <c r="CQ18" i="5" s="1"/>
  <c r="CR18" i="5" s="1"/>
  <c r="CQ19" i="5" s="1"/>
  <c r="CR19" i="5" s="1"/>
  <c r="CQ20" i="5" s="1"/>
  <c r="CR20" i="5" s="1"/>
  <c r="CQ21" i="5" s="1"/>
  <c r="CR21" i="5" s="1"/>
  <c r="CQ22" i="5" s="1"/>
  <c r="CR22" i="5" s="1"/>
  <c r="CQ23" i="5" s="1"/>
  <c r="CR23" i="5" s="1"/>
  <c r="CQ24" i="5" s="1"/>
  <c r="CR24" i="5" s="1"/>
  <c r="CQ25" i="5" s="1"/>
  <c r="CR25" i="5" s="1"/>
  <c r="CQ26" i="5" s="1"/>
  <c r="CR26" i="5" s="1"/>
  <c r="CQ27" i="5" s="1"/>
  <c r="CR27" i="5" s="1"/>
  <c r="CQ28" i="5" s="1"/>
  <c r="CR28" i="5" s="1"/>
  <c r="CQ29" i="5" s="1"/>
  <c r="CR29" i="5" s="1"/>
  <c r="CQ30" i="5" s="1"/>
  <c r="CR30" i="5" s="1"/>
  <c r="CQ31" i="5" s="1"/>
  <c r="CR31" i="5" s="1"/>
  <c r="CQ32" i="5" s="1"/>
  <c r="CR32" i="5" s="1"/>
  <c r="CQ33" i="5" s="1"/>
  <c r="CR33" i="5" s="1"/>
  <c r="CQ34" i="5" s="1"/>
  <c r="CR34" i="5" s="1"/>
  <c r="CQ35" i="5" s="1"/>
  <c r="CR35" i="5" s="1"/>
  <c r="CQ36" i="5" s="1"/>
  <c r="CR36" i="5" s="1"/>
  <c r="CQ37" i="5" s="1"/>
  <c r="CR37" i="5" s="1"/>
  <c r="CQ38" i="5" s="1"/>
  <c r="CR38" i="5" s="1"/>
  <c r="CQ39" i="5" s="1"/>
  <c r="CR39" i="5" s="1"/>
  <c r="CQ40" i="5" s="1"/>
  <c r="CR40" i="5" s="1"/>
  <c r="CQ41" i="5" s="1"/>
  <c r="CR41" i="5" s="1"/>
  <c r="CQ42" i="5" s="1"/>
  <c r="CR42" i="5" s="1"/>
  <c r="CQ43" i="5" s="1"/>
  <c r="CR43" i="5" s="1"/>
  <c r="CQ44" i="5" s="1"/>
  <c r="CR44" i="5" s="1"/>
  <c r="CQ45" i="5" s="1"/>
  <c r="CR45" i="5" s="1"/>
  <c r="CQ46" i="5" s="1"/>
  <c r="CR46" i="5" s="1"/>
  <c r="CQ47" i="5" s="1"/>
  <c r="CR47" i="5" s="1"/>
  <c r="CQ48" i="5" s="1"/>
  <c r="CR48" i="5" s="1"/>
  <c r="CQ49" i="5" s="1"/>
  <c r="CR49" i="5" s="1"/>
  <c r="CQ50" i="5" s="1"/>
  <c r="CR50" i="5" s="1"/>
  <c r="CQ51" i="5" s="1"/>
  <c r="CR51" i="5" s="1"/>
  <c r="CQ52" i="5" s="1"/>
  <c r="CR52" i="5" s="1"/>
  <c r="CQ53" i="5" s="1"/>
  <c r="CR53" i="5" s="1"/>
  <c r="CQ54" i="5" s="1"/>
  <c r="CR54" i="5" s="1"/>
  <c r="CQ55" i="5" s="1"/>
  <c r="CR55" i="5" s="1"/>
  <c r="CQ56" i="5" s="1"/>
  <c r="CR56" i="5" s="1"/>
  <c r="CQ57" i="5" s="1"/>
  <c r="CR57" i="5" s="1"/>
  <c r="CQ58" i="5" s="1"/>
  <c r="CR58" i="5" s="1"/>
  <c r="CQ59" i="5" s="1"/>
  <c r="CR59" i="5" s="1"/>
  <c r="CQ60" i="5" s="1"/>
  <c r="CR60" i="5" s="1"/>
  <c r="CQ61" i="5" s="1"/>
  <c r="CR61" i="5" s="1"/>
  <c r="CQ62" i="5" s="1"/>
  <c r="CR62" i="5" s="1"/>
  <c r="CQ63" i="5" s="1"/>
  <c r="CR63" i="5" s="1"/>
  <c r="CQ64" i="5" s="1"/>
  <c r="CR64" i="5" s="1"/>
  <c r="CQ65" i="5" s="1"/>
  <c r="CR65" i="5" s="1"/>
  <c r="CQ66" i="5" s="1"/>
  <c r="CR66" i="5" s="1"/>
  <c r="CQ67" i="5" s="1"/>
  <c r="CR67" i="5" s="1"/>
  <c r="CQ68" i="5" s="1"/>
  <c r="CR68" i="5" s="1"/>
  <c r="CQ69" i="5" s="1"/>
  <c r="CR69" i="5" s="1"/>
  <c r="CQ70" i="5" s="1"/>
  <c r="CR70" i="5" s="1"/>
  <c r="CQ71" i="5" s="1"/>
  <c r="CR71" i="5" s="1"/>
  <c r="CQ72" i="5" s="1"/>
  <c r="CR72" i="5" s="1"/>
  <c r="CQ73" i="5" s="1"/>
  <c r="CR73" i="5" s="1"/>
  <c r="CQ74" i="5" s="1"/>
  <c r="CR74" i="5" s="1"/>
  <c r="CQ75" i="5" s="1"/>
  <c r="CR75" i="5" s="1"/>
  <c r="CQ76" i="5" s="1"/>
  <c r="CR76" i="5" s="1"/>
  <c r="CQ77" i="5" s="1"/>
  <c r="CR77" i="5" s="1"/>
  <c r="CQ78" i="5" s="1"/>
  <c r="CR78" i="5" s="1"/>
  <c r="CQ79" i="5" s="1"/>
  <c r="CR79" i="5" s="1"/>
  <c r="CQ80" i="5" s="1"/>
  <c r="CR80" i="5" s="1"/>
  <c r="CQ81" i="5" s="1"/>
  <c r="CR81" i="5" s="1"/>
  <c r="CQ82" i="5" s="1"/>
  <c r="CR82" i="5" s="1"/>
  <c r="CQ83" i="5" s="1"/>
  <c r="CR83" i="5" s="1"/>
  <c r="CQ84" i="5" s="1"/>
  <c r="CR84" i="5" s="1"/>
  <c r="CQ85" i="5" s="1"/>
  <c r="CR85" i="5" s="1"/>
  <c r="CQ86" i="5" s="1"/>
  <c r="CR86" i="5" s="1"/>
  <c r="CQ87" i="5" s="1"/>
  <c r="CR87" i="5" s="1"/>
  <c r="CQ88" i="5" s="1"/>
  <c r="CR88" i="5" s="1"/>
  <c r="CQ89" i="5" s="1"/>
  <c r="CR89" i="5" s="1"/>
  <c r="CQ90" i="5" s="1"/>
  <c r="CR90" i="5" s="1"/>
  <c r="CQ91" i="5" s="1"/>
  <c r="CR91" i="5" s="1"/>
  <c r="CQ92" i="5" s="1"/>
  <c r="CR92" i="5" s="1"/>
  <c r="CQ93" i="5" s="1"/>
  <c r="CR93" i="5" s="1"/>
  <c r="CQ94" i="5" s="1"/>
  <c r="CR94" i="5" s="1"/>
  <c r="CQ95" i="5" s="1"/>
  <c r="CR95" i="5" s="1"/>
  <c r="CQ96" i="5" s="1"/>
  <c r="CR96" i="5" s="1"/>
  <c r="CQ97" i="5" s="1"/>
  <c r="CR97" i="5" s="1"/>
  <c r="CQ98" i="5" s="1"/>
  <c r="CR98" i="5" s="1"/>
  <c r="CQ99" i="5" s="1"/>
  <c r="CR99" i="5" s="1"/>
  <c r="CQ100" i="5" s="1"/>
  <c r="CR100" i="5" s="1"/>
  <c r="CQ101" i="5" s="1"/>
  <c r="CR101" i="5" s="1"/>
  <c r="CQ102" i="5" s="1"/>
  <c r="CR102" i="5" s="1"/>
  <c r="CA31" i="7"/>
  <c r="BZ32" i="7" s="1"/>
  <c r="O31" i="7"/>
  <c r="P31" i="7" s="1"/>
  <c r="E31" i="6"/>
  <c r="F31" i="6" s="1"/>
  <c r="B53" i="6"/>
  <c r="C53" i="6" s="1"/>
  <c r="B54" i="6" s="1"/>
  <c r="C54" i="6" s="1"/>
  <c r="AL3" i="5"/>
  <c r="AM3" i="5" s="1"/>
  <c r="AL4" i="5" s="1"/>
  <c r="AM4" i="5" s="1"/>
  <c r="AL5" i="5" s="1"/>
  <c r="AM5" i="5" s="1"/>
  <c r="AL6" i="5" s="1"/>
  <c r="AM6" i="5" s="1"/>
  <c r="AL7" i="5" s="1"/>
  <c r="AM7" i="5" s="1"/>
  <c r="AL8" i="5" s="1"/>
  <c r="AM8" i="5" s="1"/>
  <c r="AL9" i="5" s="1"/>
  <c r="AM9" i="5" s="1"/>
  <c r="AL10" i="5" s="1"/>
  <c r="AM10" i="5" s="1"/>
  <c r="AL11" i="5" s="1"/>
  <c r="AM11" i="5" s="1"/>
  <c r="AL12" i="5" s="1"/>
  <c r="AM12" i="5" s="1"/>
  <c r="AL13" i="5" s="1"/>
  <c r="AM13" i="5" s="1"/>
  <c r="AL14" i="5" s="1"/>
  <c r="AM14" i="5" s="1"/>
  <c r="AL15" i="5" s="1"/>
  <c r="AM15" i="5" s="1"/>
  <c r="AL16" i="5" s="1"/>
  <c r="AM16" i="5" s="1"/>
  <c r="AL17" i="5" s="1"/>
  <c r="AM17" i="5" s="1"/>
  <c r="AL18" i="5" s="1"/>
  <c r="AM18" i="5" s="1"/>
  <c r="AL19" i="5" s="1"/>
  <c r="AM19" i="5" s="1"/>
  <c r="AL20" i="5" s="1"/>
  <c r="AM20" i="5" s="1"/>
  <c r="AL21" i="5" s="1"/>
  <c r="AM21" i="5" s="1"/>
  <c r="AL22" i="5" s="1"/>
  <c r="AM22" i="5" s="1"/>
  <c r="AL23" i="5" s="1"/>
  <c r="AM23" i="5" s="1"/>
  <c r="AL24" i="5" s="1"/>
  <c r="AM24" i="5" s="1"/>
  <c r="AL25" i="5" s="1"/>
  <c r="AM25" i="5" s="1"/>
  <c r="AL26" i="5" s="1"/>
  <c r="AM26" i="5" s="1"/>
  <c r="AL27" i="5" s="1"/>
  <c r="AM27" i="5" s="1"/>
  <c r="AL28" i="5" s="1"/>
  <c r="AM28" i="5" s="1"/>
  <c r="AL29" i="5" s="1"/>
  <c r="AM29" i="5" s="1"/>
  <c r="AL30" i="5" s="1"/>
  <c r="AM30" i="5" s="1"/>
  <c r="AL31" i="5" s="1"/>
  <c r="AM31" i="5" s="1"/>
  <c r="AL32" i="5" s="1"/>
  <c r="AM32" i="5" s="1"/>
  <c r="AL33" i="5" s="1"/>
  <c r="AM33" i="5" s="1"/>
  <c r="AL34" i="5" s="1"/>
  <c r="AM34" i="5" s="1"/>
  <c r="AL35" i="5" s="1"/>
  <c r="AM35" i="5" s="1"/>
  <c r="AL36" i="5" s="1"/>
  <c r="AM36" i="5" s="1"/>
  <c r="AL37" i="5" s="1"/>
  <c r="AM37" i="5" s="1"/>
  <c r="AL38" i="5" s="1"/>
  <c r="AM38" i="5" s="1"/>
  <c r="AL39" i="5" s="1"/>
  <c r="AM39" i="5" s="1"/>
  <c r="AL40" i="5" s="1"/>
  <c r="AM40" i="5" s="1"/>
  <c r="AL41" i="5" s="1"/>
  <c r="AM41" i="5" s="1"/>
  <c r="AL42" i="5" s="1"/>
  <c r="AM42" i="5" s="1"/>
  <c r="AL43" i="5" s="1"/>
  <c r="AM43" i="5" s="1"/>
  <c r="AL44" i="5" s="1"/>
  <c r="AM44" i="5" s="1"/>
  <c r="AL45" i="5" s="1"/>
  <c r="AM45" i="5" s="1"/>
  <c r="AL46" i="5" s="1"/>
  <c r="AM46" i="5" s="1"/>
  <c r="AL47" i="5" s="1"/>
  <c r="AM47" i="5" s="1"/>
  <c r="AL48" i="5" s="1"/>
  <c r="AM48" i="5" s="1"/>
  <c r="AL49" i="5" s="1"/>
  <c r="AM49" i="5" s="1"/>
  <c r="AL50" i="5" s="1"/>
  <c r="AM50" i="5" s="1"/>
  <c r="AL51" i="5" s="1"/>
  <c r="AM51" i="5" s="1"/>
  <c r="AL52" i="5" s="1"/>
  <c r="AM52" i="5" s="1"/>
  <c r="AL53" i="5" s="1"/>
  <c r="AM53" i="5" s="1"/>
  <c r="AL54" i="5" s="1"/>
  <c r="AM54" i="5" s="1"/>
  <c r="AL55" i="5" s="1"/>
  <c r="AM55" i="5" s="1"/>
  <c r="AL56" i="5" s="1"/>
  <c r="AM56" i="5" s="1"/>
  <c r="AL57" i="5" s="1"/>
  <c r="AM57" i="5" s="1"/>
  <c r="AL58" i="5" s="1"/>
  <c r="AM58" i="5" s="1"/>
  <c r="AL59" i="5" s="1"/>
  <c r="AM59" i="5" s="1"/>
  <c r="AL60" i="5" s="1"/>
  <c r="AM60" i="5" s="1"/>
  <c r="AL61" i="5" s="1"/>
  <c r="AM61" i="5" s="1"/>
  <c r="AL62" i="5" s="1"/>
  <c r="AM62" i="5" s="1"/>
  <c r="AL63" i="5" s="1"/>
  <c r="AM63" i="5" s="1"/>
  <c r="AL64" i="5" s="1"/>
  <c r="AM64" i="5" s="1"/>
  <c r="AL65" i="5" s="1"/>
  <c r="AM65" i="5" s="1"/>
  <c r="AL66" i="5" s="1"/>
  <c r="AM66" i="5" s="1"/>
  <c r="AL67" i="5" s="1"/>
  <c r="AM67" i="5" s="1"/>
  <c r="AL68" i="5" s="1"/>
  <c r="AM68" i="5" s="1"/>
  <c r="AL69" i="5" s="1"/>
  <c r="AM69" i="5" s="1"/>
  <c r="AL70" i="5" s="1"/>
  <c r="AM70" i="5" s="1"/>
  <c r="AL71" i="5" s="1"/>
  <c r="AM71" i="5" s="1"/>
  <c r="AL72" i="5" s="1"/>
  <c r="AM72" i="5" s="1"/>
  <c r="AL73" i="5" s="1"/>
  <c r="AM73" i="5" s="1"/>
  <c r="AL74" i="5" s="1"/>
  <c r="AM74" i="5" s="1"/>
  <c r="AL75" i="5" s="1"/>
  <c r="AM75" i="5" s="1"/>
  <c r="AL76" i="5" s="1"/>
  <c r="AM76" i="5" s="1"/>
  <c r="AL77" i="5" s="1"/>
  <c r="AM77" i="5" s="1"/>
  <c r="AL78" i="5" s="1"/>
  <c r="AM78" i="5" s="1"/>
  <c r="AL79" i="5" s="1"/>
  <c r="AM79" i="5" s="1"/>
  <c r="AL80" i="5" s="1"/>
  <c r="AM80" i="5" s="1"/>
  <c r="AL81" i="5" s="1"/>
  <c r="AM81" i="5" s="1"/>
  <c r="AL82" i="5" s="1"/>
  <c r="AM82" i="5" s="1"/>
  <c r="AL83" i="5" s="1"/>
  <c r="AM83" i="5" s="1"/>
  <c r="AL84" i="5" s="1"/>
  <c r="AM84" i="5" s="1"/>
  <c r="AL85" i="5" s="1"/>
  <c r="AM85" i="5" s="1"/>
  <c r="AL86" i="5" s="1"/>
  <c r="AM86" i="5" s="1"/>
  <c r="AL87" i="5" s="1"/>
  <c r="AM87" i="5" s="1"/>
  <c r="AL88" i="5" s="1"/>
  <c r="AM88" i="5" s="1"/>
  <c r="AL89" i="5" s="1"/>
  <c r="AM89" i="5" s="1"/>
  <c r="AL90" i="5" s="1"/>
  <c r="AM90" i="5" s="1"/>
  <c r="AL91" i="5" s="1"/>
  <c r="AM91" i="5" s="1"/>
  <c r="AL92" i="5" s="1"/>
  <c r="AM92" i="5" s="1"/>
  <c r="AL93" i="5" s="1"/>
  <c r="AM93" i="5" s="1"/>
  <c r="AL94" i="5" s="1"/>
  <c r="AM94" i="5" s="1"/>
  <c r="AL95" i="5" s="1"/>
  <c r="AM95" i="5" s="1"/>
  <c r="AL96" i="5" s="1"/>
  <c r="AM96" i="5" s="1"/>
  <c r="AL97" i="5" s="1"/>
  <c r="AM97" i="5" s="1"/>
  <c r="AL98" i="5" s="1"/>
  <c r="AM98" i="5" s="1"/>
  <c r="AL99" i="5" s="1"/>
  <c r="AM99" i="5" s="1"/>
  <c r="AL100" i="5" s="1"/>
  <c r="AM100" i="5" s="1"/>
  <c r="AL101" i="5" s="1"/>
  <c r="AM101" i="5" s="1"/>
  <c r="AL102" i="5" s="1"/>
  <c r="AM102" i="5" s="1"/>
  <c r="BA3" i="5"/>
  <c r="BB3" i="5" s="1"/>
  <c r="BA4" i="5" s="1"/>
  <c r="BB4" i="5" s="1"/>
  <c r="BA5" i="5" s="1"/>
  <c r="BB5" i="5" s="1"/>
  <c r="BA6" i="5" s="1"/>
  <c r="BB6" i="5" s="1"/>
  <c r="BA7" i="5" s="1"/>
  <c r="BB7" i="5" s="1"/>
  <c r="BA8" i="5" s="1"/>
  <c r="BB8" i="5" s="1"/>
  <c r="BA9" i="5" s="1"/>
  <c r="BB9" i="5" s="1"/>
  <c r="BA10" i="5" s="1"/>
  <c r="BB10" i="5" s="1"/>
  <c r="BA11" i="5" s="1"/>
  <c r="BB11" i="5" s="1"/>
  <c r="BA12" i="5" s="1"/>
  <c r="BB12" i="5" s="1"/>
  <c r="BA13" i="5" s="1"/>
  <c r="BB13" i="5" s="1"/>
  <c r="BA14" i="5" s="1"/>
  <c r="BB14" i="5" s="1"/>
  <c r="BA15" i="5" s="1"/>
  <c r="BB15" i="5" s="1"/>
  <c r="BA16" i="5" s="1"/>
  <c r="BB16" i="5" s="1"/>
  <c r="BA17" i="5" s="1"/>
  <c r="BB17" i="5" s="1"/>
  <c r="BA18" i="5" s="1"/>
  <c r="BB18" i="5" s="1"/>
  <c r="BA19" i="5" s="1"/>
  <c r="BB19" i="5" s="1"/>
  <c r="BA20" i="5" s="1"/>
  <c r="BB20" i="5" s="1"/>
  <c r="BA21" i="5" s="1"/>
  <c r="BB21" i="5" s="1"/>
  <c r="BA22" i="5" s="1"/>
  <c r="BB22" i="5" s="1"/>
  <c r="BA23" i="5" s="1"/>
  <c r="BB23" i="5" s="1"/>
  <c r="BA24" i="5" s="1"/>
  <c r="BB24" i="5" s="1"/>
  <c r="BA25" i="5" s="1"/>
  <c r="BB25" i="5" s="1"/>
  <c r="BA26" i="5" s="1"/>
  <c r="BB26" i="5" s="1"/>
  <c r="BA27" i="5" s="1"/>
  <c r="BB27" i="5" s="1"/>
  <c r="BA28" i="5" s="1"/>
  <c r="BB28" i="5" s="1"/>
  <c r="BA29" i="5" s="1"/>
  <c r="BB29" i="5" s="1"/>
  <c r="BA30" i="5" s="1"/>
  <c r="BB30" i="5" s="1"/>
  <c r="BA31" i="5" s="1"/>
  <c r="BB31" i="5" s="1"/>
  <c r="BA32" i="5" s="1"/>
  <c r="BB32" i="5" s="1"/>
  <c r="BA33" i="5" s="1"/>
  <c r="BB33" i="5" s="1"/>
  <c r="BA34" i="5" s="1"/>
  <c r="BB34" i="5" s="1"/>
  <c r="BA35" i="5" s="1"/>
  <c r="BB35" i="5" s="1"/>
  <c r="BA36" i="5" s="1"/>
  <c r="BB36" i="5" s="1"/>
  <c r="BA37" i="5" s="1"/>
  <c r="BB37" i="5" s="1"/>
  <c r="BA38" i="5" s="1"/>
  <c r="BB38" i="5" s="1"/>
  <c r="BA39" i="5" s="1"/>
  <c r="BB39" i="5" s="1"/>
  <c r="BA40" i="5" s="1"/>
  <c r="BB40" i="5" s="1"/>
  <c r="BA41" i="5" s="1"/>
  <c r="BB41" i="5" s="1"/>
  <c r="BA42" i="5" s="1"/>
  <c r="BB42" i="5" s="1"/>
  <c r="BA43" i="5" s="1"/>
  <c r="BB43" i="5" s="1"/>
  <c r="BA44" i="5" s="1"/>
  <c r="BB44" i="5" s="1"/>
  <c r="BA45" i="5" s="1"/>
  <c r="BB45" i="5" s="1"/>
  <c r="BA46" i="5" s="1"/>
  <c r="BB46" i="5" s="1"/>
  <c r="BA47" i="5" s="1"/>
  <c r="BB47" i="5" s="1"/>
  <c r="BA48" i="5" s="1"/>
  <c r="BB48" i="5" s="1"/>
  <c r="BA49" i="5" s="1"/>
  <c r="BB49" i="5" s="1"/>
  <c r="BA50" i="5" s="1"/>
  <c r="BB50" i="5" s="1"/>
  <c r="BA51" i="5" s="1"/>
  <c r="BB51" i="5" s="1"/>
  <c r="BA52" i="5" s="1"/>
  <c r="BB52" i="5" s="1"/>
  <c r="BA53" i="5" s="1"/>
  <c r="BB53" i="5" s="1"/>
  <c r="BA54" i="5" s="1"/>
  <c r="BB54" i="5" s="1"/>
  <c r="BA55" i="5" s="1"/>
  <c r="BB55" i="5" s="1"/>
  <c r="BA56" i="5" s="1"/>
  <c r="BB56" i="5" s="1"/>
  <c r="BA57" i="5" s="1"/>
  <c r="BB57" i="5" s="1"/>
  <c r="BA58" i="5" s="1"/>
  <c r="BB58" i="5" s="1"/>
  <c r="BA59" i="5" s="1"/>
  <c r="BB59" i="5" s="1"/>
  <c r="BA60" i="5" s="1"/>
  <c r="BB60" i="5" s="1"/>
  <c r="BA61" i="5" s="1"/>
  <c r="BB61" i="5" s="1"/>
  <c r="BA62" i="5" s="1"/>
  <c r="BB62" i="5" s="1"/>
  <c r="BA63" i="5" s="1"/>
  <c r="BB63" i="5" s="1"/>
  <c r="BA64" i="5" s="1"/>
  <c r="BB64" i="5" s="1"/>
  <c r="BA65" i="5" s="1"/>
  <c r="BB65" i="5" s="1"/>
  <c r="BA66" i="5" s="1"/>
  <c r="BB66" i="5" s="1"/>
  <c r="BA67" i="5" s="1"/>
  <c r="BB67" i="5" s="1"/>
  <c r="BA68" i="5" s="1"/>
  <c r="BB68" i="5" s="1"/>
  <c r="BA69" i="5" s="1"/>
  <c r="BB69" i="5" s="1"/>
  <c r="BA70" i="5" s="1"/>
  <c r="BB70" i="5" s="1"/>
  <c r="BA71" i="5" s="1"/>
  <c r="BB71" i="5" s="1"/>
  <c r="BA72" i="5" s="1"/>
  <c r="BB72" i="5" s="1"/>
  <c r="BA73" i="5" s="1"/>
  <c r="BB73" i="5" s="1"/>
  <c r="BA74" i="5" s="1"/>
  <c r="BB74" i="5" s="1"/>
  <c r="BA75" i="5" s="1"/>
  <c r="BB75" i="5" s="1"/>
  <c r="BA76" i="5" s="1"/>
  <c r="BB76" i="5" s="1"/>
  <c r="BA77" i="5" s="1"/>
  <c r="BB77" i="5" s="1"/>
  <c r="BA78" i="5" s="1"/>
  <c r="BB78" i="5" s="1"/>
  <c r="BA79" i="5" s="1"/>
  <c r="BB79" i="5" s="1"/>
  <c r="BA80" i="5" s="1"/>
  <c r="BB80" i="5" s="1"/>
  <c r="BA81" i="5" s="1"/>
  <c r="BB81" i="5" s="1"/>
  <c r="BA82" i="5" s="1"/>
  <c r="BB82" i="5" s="1"/>
  <c r="BA83" i="5" s="1"/>
  <c r="BB83" i="5" s="1"/>
  <c r="BA84" i="5" s="1"/>
  <c r="BB84" i="5" s="1"/>
  <c r="BA85" i="5" s="1"/>
  <c r="BB85" i="5" s="1"/>
  <c r="BA86" i="5" s="1"/>
  <c r="BB86" i="5" s="1"/>
  <c r="BA87" i="5" s="1"/>
  <c r="BB87" i="5" s="1"/>
  <c r="BA88" i="5" s="1"/>
  <c r="BB88" i="5" s="1"/>
  <c r="BA89" i="5" s="1"/>
  <c r="BB89" i="5" s="1"/>
  <c r="BA90" i="5" s="1"/>
  <c r="BB90" i="5" s="1"/>
  <c r="BA91" i="5" s="1"/>
  <c r="BB91" i="5" s="1"/>
  <c r="BA92" i="5" s="1"/>
  <c r="BB92" i="5" s="1"/>
  <c r="BA93" i="5" s="1"/>
  <c r="BB93" i="5" s="1"/>
  <c r="BA94" i="5" s="1"/>
  <c r="BB94" i="5" s="1"/>
  <c r="BA95" i="5" s="1"/>
  <c r="BB95" i="5" s="1"/>
  <c r="BA96" i="5" s="1"/>
  <c r="BB96" i="5" s="1"/>
  <c r="BA97" i="5" s="1"/>
  <c r="BB97" i="5" s="1"/>
  <c r="BA98" i="5" s="1"/>
  <c r="BB98" i="5" s="1"/>
  <c r="BA99" i="5" s="1"/>
  <c r="BB99" i="5" s="1"/>
  <c r="BA100" i="5" s="1"/>
  <c r="BB100" i="5" s="1"/>
  <c r="BA101" i="5" s="1"/>
  <c r="BB101" i="5" s="1"/>
  <c r="BA102" i="5" s="1"/>
  <c r="BB102" i="5" s="1"/>
  <c r="BM3" i="5"/>
  <c r="BN3" i="5" s="1"/>
  <c r="BM4" i="5" s="1"/>
  <c r="BN4" i="5" s="1"/>
  <c r="BM5" i="5" s="1"/>
  <c r="BN5" i="5" s="1"/>
  <c r="BM6" i="5" s="1"/>
  <c r="BN6" i="5" s="1"/>
  <c r="BM7" i="5" s="1"/>
  <c r="BN7" i="5" s="1"/>
  <c r="BM8" i="5" s="1"/>
  <c r="BN8" i="5" s="1"/>
  <c r="BM9" i="5" s="1"/>
  <c r="BN9" i="5" s="1"/>
  <c r="BM10" i="5" s="1"/>
  <c r="BN10" i="5" s="1"/>
  <c r="BM11" i="5" s="1"/>
  <c r="BN11" i="5" s="1"/>
  <c r="BM12" i="5" s="1"/>
  <c r="BN12" i="5" s="1"/>
  <c r="BM13" i="5" s="1"/>
  <c r="BN13" i="5" s="1"/>
  <c r="BM14" i="5" s="1"/>
  <c r="BN14" i="5" s="1"/>
  <c r="BM15" i="5" s="1"/>
  <c r="BN15" i="5" s="1"/>
  <c r="BM16" i="5" s="1"/>
  <c r="BN16" i="5" s="1"/>
  <c r="BM17" i="5" s="1"/>
  <c r="BN17" i="5" s="1"/>
  <c r="BM18" i="5" s="1"/>
  <c r="BN18" i="5" s="1"/>
  <c r="BM19" i="5" s="1"/>
  <c r="BN19" i="5" s="1"/>
  <c r="BM20" i="5" s="1"/>
  <c r="BN20" i="5" s="1"/>
  <c r="BM21" i="5" s="1"/>
  <c r="BN21" i="5" s="1"/>
  <c r="BM22" i="5" s="1"/>
  <c r="BN22" i="5" s="1"/>
  <c r="BM23" i="5" s="1"/>
  <c r="BN23" i="5" s="1"/>
  <c r="BM24" i="5" s="1"/>
  <c r="BN24" i="5" s="1"/>
  <c r="BM25" i="5" s="1"/>
  <c r="BN25" i="5" s="1"/>
  <c r="BM26" i="5" s="1"/>
  <c r="BN26" i="5" s="1"/>
  <c r="BM27" i="5" s="1"/>
  <c r="BN27" i="5" s="1"/>
  <c r="BM28" i="5" s="1"/>
  <c r="BN28" i="5" s="1"/>
  <c r="BM29" i="5" s="1"/>
  <c r="BN29" i="5" s="1"/>
  <c r="BM30" i="5" s="1"/>
  <c r="BN30" i="5" s="1"/>
  <c r="BM31" i="5" s="1"/>
  <c r="BN31" i="5" s="1"/>
  <c r="BM32" i="5" s="1"/>
  <c r="BN32" i="5" s="1"/>
  <c r="BM33" i="5" s="1"/>
  <c r="BN33" i="5" s="1"/>
  <c r="BM34" i="5" s="1"/>
  <c r="BN34" i="5" s="1"/>
  <c r="BM35" i="5" s="1"/>
  <c r="BN35" i="5" s="1"/>
  <c r="BM36" i="5" s="1"/>
  <c r="BN36" i="5" s="1"/>
  <c r="BM37" i="5" s="1"/>
  <c r="BN37" i="5" s="1"/>
  <c r="BM38" i="5" s="1"/>
  <c r="BN38" i="5" s="1"/>
  <c r="BM39" i="5" s="1"/>
  <c r="BN39" i="5" s="1"/>
  <c r="BM40" i="5" s="1"/>
  <c r="BN40" i="5" s="1"/>
  <c r="BM41" i="5" s="1"/>
  <c r="BN41" i="5" s="1"/>
  <c r="BM42" i="5" s="1"/>
  <c r="BN42" i="5" s="1"/>
  <c r="BM43" i="5" s="1"/>
  <c r="BN43" i="5" s="1"/>
  <c r="BM44" i="5" s="1"/>
  <c r="BN44" i="5" s="1"/>
  <c r="BM45" i="5" s="1"/>
  <c r="BN45" i="5" s="1"/>
  <c r="BM46" i="5" s="1"/>
  <c r="BN46" i="5" s="1"/>
  <c r="BM47" i="5" s="1"/>
  <c r="BN47" i="5" s="1"/>
  <c r="BM48" i="5" s="1"/>
  <c r="BN48" i="5" s="1"/>
  <c r="BM49" i="5" s="1"/>
  <c r="BN49" i="5" s="1"/>
  <c r="BM50" i="5" s="1"/>
  <c r="BN50" i="5" s="1"/>
  <c r="BM51" i="5" s="1"/>
  <c r="BN51" i="5" s="1"/>
  <c r="BM52" i="5" s="1"/>
  <c r="BN52" i="5" s="1"/>
  <c r="BM53" i="5" s="1"/>
  <c r="BN53" i="5" s="1"/>
  <c r="BM54" i="5" s="1"/>
  <c r="BN54" i="5" s="1"/>
  <c r="BM55" i="5" s="1"/>
  <c r="BN55" i="5" s="1"/>
  <c r="BM56" i="5" s="1"/>
  <c r="BN56" i="5" s="1"/>
  <c r="BM57" i="5" s="1"/>
  <c r="BN57" i="5" s="1"/>
  <c r="BM58" i="5" s="1"/>
  <c r="BN58" i="5" s="1"/>
  <c r="BM59" i="5" s="1"/>
  <c r="BN59" i="5" s="1"/>
  <c r="BM60" i="5" s="1"/>
  <c r="BN60" i="5" s="1"/>
  <c r="BM61" i="5" s="1"/>
  <c r="BN61" i="5" s="1"/>
  <c r="BM62" i="5" s="1"/>
  <c r="BN62" i="5" s="1"/>
  <c r="BM63" i="5" s="1"/>
  <c r="BN63" i="5" s="1"/>
  <c r="BM64" i="5" s="1"/>
  <c r="BN64" i="5" s="1"/>
  <c r="BM65" i="5" s="1"/>
  <c r="BN65" i="5" s="1"/>
  <c r="BM66" i="5" s="1"/>
  <c r="BN66" i="5" s="1"/>
  <c r="BM67" i="5" s="1"/>
  <c r="BN67" i="5" s="1"/>
  <c r="BM68" i="5" s="1"/>
  <c r="BN68" i="5" s="1"/>
  <c r="BM69" i="5" s="1"/>
  <c r="BN69" i="5" s="1"/>
  <c r="BM70" i="5" s="1"/>
  <c r="BN70" i="5" s="1"/>
  <c r="BM71" i="5" s="1"/>
  <c r="BN71" i="5" s="1"/>
  <c r="BM72" i="5" s="1"/>
  <c r="BN72" i="5" s="1"/>
  <c r="BM73" i="5" s="1"/>
  <c r="BN73" i="5" s="1"/>
  <c r="BM74" i="5" s="1"/>
  <c r="BN74" i="5" s="1"/>
  <c r="BM75" i="5" s="1"/>
  <c r="BN75" i="5" s="1"/>
  <c r="BM76" i="5" s="1"/>
  <c r="BN76" i="5" s="1"/>
  <c r="BM77" i="5" s="1"/>
  <c r="BN77" i="5" s="1"/>
  <c r="BM78" i="5" s="1"/>
  <c r="BN78" i="5" s="1"/>
  <c r="BM79" i="5" s="1"/>
  <c r="BN79" i="5" s="1"/>
  <c r="BM80" i="5" s="1"/>
  <c r="BN80" i="5" s="1"/>
  <c r="BM81" i="5" s="1"/>
  <c r="BN81" i="5" s="1"/>
  <c r="BM82" i="5" s="1"/>
  <c r="BN82" i="5" s="1"/>
  <c r="BM83" i="5" s="1"/>
  <c r="BN83" i="5" s="1"/>
  <c r="BM84" i="5" s="1"/>
  <c r="BN84" i="5" s="1"/>
  <c r="BM85" i="5" s="1"/>
  <c r="BN85" i="5" s="1"/>
  <c r="BM86" i="5" s="1"/>
  <c r="BN86" i="5" s="1"/>
  <c r="BM87" i="5" s="1"/>
  <c r="BN87" i="5" s="1"/>
  <c r="BM88" i="5" s="1"/>
  <c r="BN88" i="5" s="1"/>
  <c r="BM89" i="5" s="1"/>
  <c r="BN89" i="5" s="1"/>
  <c r="BM90" i="5" s="1"/>
  <c r="BN90" i="5" s="1"/>
  <c r="BM91" i="5" s="1"/>
  <c r="BN91" i="5" s="1"/>
  <c r="BM92" i="5" s="1"/>
  <c r="BN92" i="5" s="1"/>
  <c r="BM93" i="5" s="1"/>
  <c r="BN93" i="5" s="1"/>
  <c r="BM94" i="5" s="1"/>
  <c r="BN94" i="5" s="1"/>
  <c r="BM95" i="5" s="1"/>
  <c r="BN95" i="5" s="1"/>
  <c r="BM96" i="5" s="1"/>
  <c r="BN96" i="5" s="1"/>
  <c r="BM97" i="5" s="1"/>
  <c r="BN97" i="5" s="1"/>
  <c r="BM98" i="5" s="1"/>
  <c r="BN98" i="5" s="1"/>
  <c r="BM99" i="5" s="1"/>
  <c r="BN99" i="5" s="1"/>
  <c r="BM100" i="5" s="1"/>
  <c r="BN100" i="5" s="1"/>
  <c r="BM101" i="5" s="1"/>
  <c r="BN101" i="5" s="1"/>
  <c r="BM102" i="5" s="1"/>
  <c r="BN102" i="5" s="1"/>
  <c r="Z3" i="5"/>
  <c r="AA3" i="5" s="1"/>
  <c r="Z4" i="5" s="1"/>
  <c r="AA4" i="5" s="1"/>
  <c r="Z5" i="5" s="1"/>
  <c r="AA5" i="5" s="1"/>
  <c r="Z6" i="5" s="1"/>
  <c r="AA6" i="5" s="1"/>
  <c r="Z7" i="5" s="1"/>
  <c r="AA7" i="5" s="1"/>
  <c r="Z8" i="5" s="1"/>
  <c r="AA8" i="5" s="1"/>
  <c r="Z9" i="5" s="1"/>
  <c r="AA9" i="5" s="1"/>
  <c r="Z10" i="5" s="1"/>
  <c r="AA10" i="5" s="1"/>
  <c r="Z11" i="5" s="1"/>
  <c r="AA11" i="5" s="1"/>
  <c r="Z12" i="5" s="1"/>
  <c r="AA12" i="5" s="1"/>
  <c r="Z13" i="5" s="1"/>
  <c r="AA13" i="5" s="1"/>
  <c r="Z14" i="5" s="1"/>
  <c r="AA14" i="5" s="1"/>
  <c r="Z15" i="5" s="1"/>
  <c r="AA15" i="5" s="1"/>
  <c r="Z16" i="5" s="1"/>
  <c r="AA16" i="5" s="1"/>
  <c r="Z17" i="5" s="1"/>
  <c r="AA17" i="5" s="1"/>
  <c r="Z18" i="5" s="1"/>
  <c r="AA18" i="5" s="1"/>
  <c r="Z19" i="5" s="1"/>
  <c r="AA19" i="5" s="1"/>
  <c r="Z20" i="5" s="1"/>
  <c r="AA20" i="5" s="1"/>
  <c r="Z21" i="5" s="1"/>
  <c r="AA21" i="5" s="1"/>
  <c r="Z22" i="5" s="1"/>
  <c r="AA22" i="5" s="1"/>
  <c r="Z23" i="5" s="1"/>
  <c r="AA23" i="5" s="1"/>
  <c r="Z24" i="5" s="1"/>
  <c r="AA24" i="5" s="1"/>
  <c r="Z25" i="5" s="1"/>
  <c r="AA25" i="5" s="1"/>
  <c r="Z26" i="5" s="1"/>
  <c r="AA26" i="5" s="1"/>
  <c r="Z27" i="5" s="1"/>
  <c r="AA27" i="5" s="1"/>
  <c r="Z28" i="5" s="1"/>
  <c r="AA28" i="5" s="1"/>
  <c r="Z29" i="5" s="1"/>
  <c r="AA29" i="5" s="1"/>
  <c r="Z30" i="5" s="1"/>
  <c r="AA30" i="5" s="1"/>
  <c r="Z31" i="5" s="1"/>
  <c r="AA31" i="5" s="1"/>
  <c r="Z32" i="5" s="1"/>
  <c r="AA32" i="5" s="1"/>
  <c r="Z33" i="5" s="1"/>
  <c r="AA33" i="5" s="1"/>
  <c r="Z34" i="5" s="1"/>
  <c r="AA34" i="5" s="1"/>
  <c r="Z35" i="5" s="1"/>
  <c r="AA35" i="5" s="1"/>
  <c r="Z36" i="5" s="1"/>
  <c r="AA36" i="5" s="1"/>
  <c r="Z37" i="5" s="1"/>
  <c r="AA37" i="5" s="1"/>
  <c r="Z38" i="5" s="1"/>
  <c r="AA38" i="5" s="1"/>
  <c r="Z39" i="5" s="1"/>
  <c r="AA39" i="5" s="1"/>
  <c r="Z40" i="5" s="1"/>
  <c r="AA40" i="5" s="1"/>
  <c r="Z41" i="5" s="1"/>
  <c r="AA41" i="5" s="1"/>
  <c r="Z42" i="5" s="1"/>
  <c r="AA42" i="5" s="1"/>
  <c r="Z43" i="5" s="1"/>
  <c r="AA43" i="5" s="1"/>
  <c r="Z44" i="5" s="1"/>
  <c r="AA44" i="5" s="1"/>
  <c r="Z45" i="5" s="1"/>
  <c r="AA45" i="5" s="1"/>
  <c r="Z46" i="5" s="1"/>
  <c r="AA46" i="5" s="1"/>
  <c r="Z47" i="5" s="1"/>
  <c r="AA47" i="5" s="1"/>
  <c r="Z48" i="5" s="1"/>
  <c r="AA48" i="5" s="1"/>
  <c r="Z49" i="5" s="1"/>
  <c r="AA49" i="5" s="1"/>
  <c r="Z50" i="5" s="1"/>
  <c r="AA50" i="5" s="1"/>
  <c r="Z51" i="5" s="1"/>
  <c r="AA51" i="5" s="1"/>
  <c r="Z52" i="5" s="1"/>
  <c r="AA52" i="5" s="1"/>
  <c r="Z53" i="5" s="1"/>
  <c r="AA53" i="5" s="1"/>
  <c r="Z54" i="5" s="1"/>
  <c r="AA54" i="5" s="1"/>
  <c r="Z55" i="5" s="1"/>
  <c r="AA55" i="5" s="1"/>
  <c r="Z56" i="5" s="1"/>
  <c r="AA56" i="5" s="1"/>
  <c r="Z57" i="5" s="1"/>
  <c r="AA57" i="5" s="1"/>
  <c r="Z58" i="5" s="1"/>
  <c r="AA58" i="5" s="1"/>
  <c r="Z59" i="5" s="1"/>
  <c r="AA59" i="5" s="1"/>
  <c r="Z60" i="5" s="1"/>
  <c r="AA60" i="5" s="1"/>
  <c r="Z61" i="5" s="1"/>
  <c r="AA61" i="5" s="1"/>
  <c r="Z62" i="5" s="1"/>
  <c r="AA62" i="5" s="1"/>
  <c r="Z63" i="5" s="1"/>
  <c r="AA63" i="5" s="1"/>
  <c r="Z64" i="5" s="1"/>
  <c r="AA64" i="5" s="1"/>
  <c r="Z65" i="5" s="1"/>
  <c r="AA65" i="5" s="1"/>
  <c r="Z66" i="5" s="1"/>
  <c r="AA66" i="5" s="1"/>
  <c r="Z67" i="5" s="1"/>
  <c r="AA67" i="5" s="1"/>
  <c r="Z68" i="5" s="1"/>
  <c r="AA68" i="5" s="1"/>
  <c r="Z69" i="5" s="1"/>
  <c r="AA69" i="5" s="1"/>
  <c r="Z70" i="5" s="1"/>
  <c r="AA70" i="5" s="1"/>
  <c r="Z71" i="5" s="1"/>
  <c r="AA71" i="5" s="1"/>
  <c r="Z72" i="5" s="1"/>
  <c r="AA72" i="5" s="1"/>
  <c r="Z73" i="5" s="1"/>
  <c r="AA73" i="5" s="1"/>
  <c r="Z74" i="5" s="1"/>
  <c r="AA74" i="5" s="1"/>
  <c r="Z75" i="5" s="1"/>
  <c r="AA75" i="5" s="1"/>
  <c r="Z76" i="5" s="1"/>
  <c r="AA76" i="5" s="1"/>
  <c r="Z77" i="5" s="1"/>
  <c r="AA77" i="5" s="1"/>
  <c r="Z78" i="5" s="1"/>
  <c r="AA78" i="5" s="1"/>
  <c r="Z79" i="5" s="1"/>
  <c r="AA79" i="5" s="1"/>
  <c r="Z80" i="5" s="1"/>
  <c r="AA80" i="5" s="1"/>
  <c r="Z81" i="5" s="1"/>
  <c r="AA81" i="5" s="1"/>
  <c r="Z82" i="5" s="1"/>
  <c r="AA82" i="5" s="1"/>
  <c r="Z83" i="5" s="1"/>
  <c r="AA83" i="5" s="1"/>
  <c r="Z84" i="5" s="1"/>
  <c r="AA84" i="5" s="1"/>
  <c r="Z85" i="5" s="1"/>
  <c r="AA85" i="5" s="1"/>
  <c r="Z86" i="5" s="1"/>
  <c r="AA86" i="5" s="1"/>
  <c r="Z87" i="5" s="1"/>
  <c r="AA87" i="5" s="1"/>
  <c r="Z88" i="5" s="1"/>
  <c r="AA88" i="5" s="1"/>
  <c r="Z89" i="5" s="1"/>
  <c r="AA89" i="5" s="1"/>
  <c r="Z90" i="5" s="1"/>
  <c r="AA90" i="5" s="1"/>
  <c r="Z91" i="5" s="1"/>
  <c r="AA91" i="5" s="1"/>
  <c r="Z92" i="5" s="1"/>
  <c r="AA92" i="5" s="1"/>
  <c r="Z93" i="5" s="1"/>
  <c r="AA93" i="5" s="1"/>
  <c r="Z94" i="5" s="1"/>
  <c r="AA94" i="5" s="1"/>
  <c r="Z95" i="5" s="1"/>
  <c r="AA95" i="5" s="1"/>
  <c r="Z96" i="5" s="1"/>
  <c r="AA96" i="5" s="1"/>
  <c r="Z97" i="5" s="1"/>
  <c r="AA97" i="5" s="1"/>
  <c r="Z98" i="5" s="1"/>
  <c r="AA98" i="5" s="1"/>
  <c r="Z99" i="5" s="1"/>
  <c r="AA99" i="5" s="1"/>
  <c r="Z100" i="5" s="1"/>
  <c r="AA100" i="5" s="1"/>
  <c r="Z101" i="5" s="1"/>
  <c r="AA101" i="5" s="1"/>
  <c r="Z102" i="5" s="1"/>
  <c r="AA102" i="5" s="1"/>
  <c r="J16" i="10" l="1"/>
  <c r="K16" i="10" s="1"/>
  <c r="B3" i="5"/>
  <c r="C3" i="5" s="1"/>
  <c r="B4" i="5" s="1"/>
  <c r="C4" i="5" s="1"/>
  <c r="B5" i="5" s="1"/>
  <c r="C5" i="5" s="1"/>
  <c r="B6" i="5" s="1"/>
  <c r="C6" i="5" s="1"/>
  <c r="B7" i="5" s="1"/>
  <c r="C7" i="5" s="1"/>
  <c r="B8" i="5" s="1"/>
  <c r="C8" i="5" s="1"/>
  <c r="B9" i="5" s="1"/>
  <c r="C9" i="5" s="1"/>
  <c r="B10" i="5" s="1"/>
  <c r="C10" i="5" s="1"/>
  <c r="B11" i="5" s="1"/>
  <c r="C11" i="5" s="1"/>
  <c r="B12" i="5" s="1"/>
  <c r="C12" i="5" s="1"/>
  <c r="B13" i="5" s="1"/>
  <c r="C13" i="5" s="1"/>
  <c r="B14" i="5" s="1"/>
  <c r="C14" i="5" s="1"/>
  <c r="B15" i="5" s="1"/>
  <c r="C15" i="5" s="1"/>
  <c r="B16" i="5" s="1"/>
  <c r="C16" i="5" s="1"/>
  <c r="B17" i="5" s="1"/>
  <c r="C17" i="5" s="1"/>
  <c r="B18" i="5" s="1"/>
  <c r="C18" i="5" s="1"/>
  <c r="B19" i="5" s="1"/>
  <c r="C19" i="5" s="1"/>
  <c r="B20" i="5" s="1"/>
  <c r="C20" i="5" s="1"/>
  <c r="B21" i="5" s="1"/>
  <c r="C21" i="5" s="1"/>
  <c r="B22" i="5" s="1"/>
  <c r="C22" i="5" s="1"/>
  <c r="B23" i="5" s="1"/>
  <c r="C23" i="5" s="1"/>
  <c r="B24" i="5" s="1"/>
  <c r="C24" i="5" s="1"/>
  <c r="B25" i="5" s="1"/>
  <c r="C25" i="5" s="1"/>
  <c r="B26" i="5" s="1"/>
  <c r="C26" i="5" s="1"/>
  <c r="B27" i="5" s="1"/>
  <c r="C27" i="5" s="1"/>
  <c r="B28" i="5" s="1"/>
  <c r="C28" i="5" s="1"/>
  <c r="B29" i="5" s="1"/>
  <c r="C29" i="5" s="1"/>
  <c r="B30" i="5" s="1"/>
  <c r="C30" i="5" s="1"/>
  <c r="B31" i="5" s="1"/>
  <c r="C31" i="5" s="1"/>
  <c r="B32" i="5" s="1"/>
  <c r="C32" i="5" s="1"/>
  <c r="B33" i="5" s="1"/>
  <c r="C33" i="5" s="1"/>
  <c r="B34" i="5" s="1"/>
  <c r="C34" i="5" s="1"/>
  <c r="B35" i="5" s="1"/>
  <c r="C35" i="5" s="1"/>
  <c r="B36" i="5" s="1"/>
  <c r="C36" i="5" s="1"/>
  <c r="B37" i="5" s="1"/>
  <c r="C37" i="5" s="1"/>
  <c r="B38" i="5" s="1"/>
  <c r="C38" i="5" s="1"/>
  <c r="B39" i="5" s="1"/>
  <c r="C39" i="5" s="1"/>
  <c r="B40" i="5" s="1"/>
  <c r="C40" i="5" s="1"/>
  <c r="B41" i="5" s="1"/>
  <c r="C41" i="5" s="1"/>
  <c r="B42" i="5" s="1"/>
  <c r="C42" i="5" s="1"/>
  <c r="B43" i="5" s="1"/>
  <c r="C43" i="5" s="1"/>
  <c r="B44" i="5" s="1"/>
  <c r="C44" i="5" s="1"/>
  <c r="B45" i="5" s="1"/>
  <c r="C45" i="5" s="1"/>
  <c r="B46" i="5" s="1"/>
  <c r="C46" i="5" s="1"/>
  <c r="B47" i="5" s="1"/>
  <c r="C47" i="5" s="1"/>
  <c r="B48" i="5" s="1"/>
  <c r="C48" i="5" s="1"/>
  <c r="B49" i="5" s="1"/>
  <c r="C49" i="5" s="1"/>
  <c r="B50" i="5" s="1"/>
  <c r="C50" i="5" s="1"/>
  <c r="B51" i="5" s="1"/>
  <c r="C51" i="5" s="1"/>
  <c r="B52" i="5" s="1"/>
  <c r="C52" i="5" s="1"/>
  <c r="B53" i="5" s="1"/>
  <c r="C53" i="5" s="1"/>
  <c r="B54" i="5" s="1"/>
  <c r="C54" i="5" s="1"/>
  <c r="B55" i="5" s="1"/>
  <c r="C55" i="5" s="1"/>
  <c r="B56" i="5" s="1"/>
  <c r="C56" i="5" s="1"/>
  <c r="B57" i="5" s="1"/>
  <c r="C57" i="5" s="1"/>
  <c r="B58" i="5" s="1"/>
  <c r="C58" i="5" s="1"/>
  <c r="B59" i="5" s="1"/>
  <c r="C59" i="5" s="1"/>
  <c r="B60" i="5" s="1"/>
  <c r="C60" i="5" s="1"/>
  <c r="B61" i="5" s="1"/>
  <c r="C61" i="5" s="1"/>
  <c r="B62" i="5" s="1"/>
  <c r="C62" i="5" s="1"/>
  <c r="B63" i="5" s="1"/>
  <c r="C63" i="5" s="1"/>
  <c r="B64" i="5" s="1"/>
  <c r="C64" i="5" s="1"/>
  <c r="B65" i="5" s="1"/>
  <c r="C65" i="5" s="1"/>
  <c r="B66" i="5" s="1"/>
  <c r="C66" i="5" s="1"/>
  <c r="B67" i="5" s="1"/>
  <c r="C67" i="5" s="1"/>
  <c r="B68" i="5" s="1"/>
  <c r="C68" i="5" s="1"/>
  <c r="B69" i="5" s="1"/>
  <c r="C69" i="5" s="1"/>
  <c r="B70" i="5" s="1"/>
  <c r="C70" i="5" s="1"/>
  <c r="B71" i="5" s="1"/>
  <c r="C71" i="5" s="1"/>
  <c r="B72" i="5" s="1"/>
  <c r="C72" i="5" s="1"/>
  <c r="B73" i="5" s="1"/>
  <c r="C73" i="5" s="1"/>
  <c r="B74" i="5" s="1"/>
  <c r="C74" i="5" s="1"/>
  <c r="B75" i="5" s="1"/>
  <c r="C75" i="5" s="1"/>
  <c r="B76" i="5" s="1"/>
  <c r="C76" i="5" s="1"/>
  <c r="B77" i="5" s="1"/>
  <c r="C77" i="5" s="1"/>
  <c r="B78" i="5" s="1"/>
  <c r="C78" i="5" s="1"/>
  <c r="B79" i="5" s="1"/>
  <c r="C79" i="5" s="1"/>
  <c r="B80" i="5" s="1"/>
  <c r="C80" i="5" s="1"/>
  <c r="B81" i="5" s="1"/>
  <c r="C81" i="5" s="1"/>
  <c r="B82" i="5" s="1"/>
  <c r="C82" i="5" s="1"/>
  <c r="B83" i="5" s="1"/>
  <c r="C83" i="5" s="1"/>
  <c r="B84" i="5" s="1"/>
  <c r="C84" i="5" s="1"/>
  <c r="B85" i="5" s="1"/>
  <c r="C85" i="5" s="1"/>
  <c r="B86" i="5" s="1"/>
  <c r="C86" i="5" s="1"/>
  <c r="B87" i="5" s="1"/>
  <c r="C87" i="5" s="1"/>
  <c r="B88" i="5" s="1"/>
  <c r="C88" i="5" s="1"/>
  <c r="B89" i="5" s="1"/>
  <c r="C89" i="5" s="1"/>
  <c r="B90" i="5" s="1"/>
  <c r="C90" i="5" s="1"/>
  <c r="B91" i="5" s="1"/>
  <c r="C91" i="5" s="1"/>
  <c r="B92" i="5" s="1"/>
  <c r="C92" i="5" s="1"/>
  <c r="B93" i="5" s="1"/>
  <c r="C93" i="5" s="1"/>
  <c r="B94" i="5" s="1"/>
  <c r="C94" i="5" s="1"/>
  <c r="B95" i="5" s="1"/>
  <c r="C95" i="5" s="1"/>
  <c r="B96" i="5" s="1"/>
  <c r="C96" i="5" s="1"/>
  <c r="B97" i="5" s="1"/>
  <c r="C97" i="5" s="1"/>
  <c r="B98" i="5" s="1"/>
  <c r="C98" i="5" s="1"/>
  <c r="B99" i="5" s="1"/>
  <c r="C99" i="5" s="1"/>
  <c r="B100" i="5" s="1"/>
  <c r="C100" i="5" s="1"/>
  <c r="B101" i="5" s="1"/>
  <c r="C101" i="5" s="1"/>
  <c r="B102" i="5" s="1"/>
  <c r="C102" i="5" s="1"/>
  <c r="Q28" i="4" s="1"/>
  <c r="CP28" i="7"/>
  <c r="CO29" i="7" s="1"/>
  <c r="CM27" i="7"/>
  <c r="CL28" i="7" s="1"/>
  <c r="CJ26" i="7"/>
  <c r="CI27" i="7" s="1"/>
  <c r="CG28" i="7"/>
  <c r="CF29" i="7" s="1"/>
  <c r="CC29" i="7"/>
  <c r="CD29" i="7" s="1"/>
  <c r="BX28" i="7"/>
  <c r="BW29" i="7" s="1"/>
  <c r="BT27" i="7"/>
  <c r="BU27" i="7" s="1"/>
  <c r="BR27" i="7"/>
  <c r="BQ28" i="7" s="1"/>
  <c r="BN29" i="7"/>
  <c r="BO29" i="7" s="1"/>
  <c r="BK29" i="7"/>
  <c r="BL29" i="7" s="1"/>
  <c r="BH28" i="7"/>
  <c r="BI28" i="7" s="1"/>
  <c r="BB29" i="7"/>
  <c r="BC29" i="7" s="1"/>
  <c r="AZ28" i="7"/>
  <c r="AY29" i="7" s="1"/>
  <c r="BF27" i="7"/>
  <c r="BE28" i="7" s="1"/>
  <c r="CR30" i="7"/>
  <c r="CS30" i="7" s="1"/>
  <c r="GN28" i="7"/>
  <c r="GM29" i="7" s="1"/>
  <c r="GK28" i="7"/>
  <c r="GJ29" i="7" s="1"/>
  <c r="GG28" i="7"/>
  <c r="GH28" i="7" s="1"/>
  <c r="GE29" i="7"/>
  <c r="GD30" i="7" s="1"/>
  <c r="GB29" i="7"/>
  <c r="GA30" i="7" s="1"/>
  <c r="FX29" i="7"/>
  <c r="FY29" i="7" s="1"/>
  <c r="FV30" i="7"/>
  <c r="FU31" i="7" s="1"/>
  <c r="FR29" i="7"/>
  <c r="FS29" i="7" s="1"/>
  <c r="FO28" i="7"/>
  <c r="FP28" i="7" s="1"/>
  <c r="FL28" i="7"/>
  <c r="FM28" i="7" s="1"/>
  <c r="FJ29" i="7"/>
  <c r="FI30" i="7" s="1"/>
  <c r="FF28" i="7"/>
  <c r="FG28" i="7" s="1"/>
  <c r="FD28" i="7"/>
  <c r="FC29" i="7" s="1"/>
  <c r="FA29" i="7"/>
  <c r="EZ30" i="7" s="1"/>
  <c r="EX28" i="7"/>
  <c r="EW29" i="7" s="1"/>
  <c r="EU29" i="7"/>
  <c r="ET30" i="7" s="1"/>
  <c r="ER27" i="7"/>
  <c r="EQ28" i="7" s="1"/>
  <c r="EO28" i="7"/>
  <c r="EN29" i="7" s="1"/>
  <c r="EL28" i="7"/>
  <c r="EK29" i="7" s="1"/>
  <c r="EI29" i="7"/>
  <c r="EH30" i="7" s="1"/>
  <c r="EF28" i="7"/>
  <c r="EE29" i="7" s="1"/>
  <c r="EC29" i="7"/>
  <c r="EB30" i="7" s="1"/>
  <c r="DY29" i="7"/>
  <c r="DZ29" i="7" s="1"/>
  <c r="DT29" i="7"/>
  <c r="DS30" i="7" s="1"/>
  <c r="DQ28" i="7"/>
  <c r="DP29" i="7" s="1"/>
  <c r="DN29" i="7"/>
  <c r="DM30" i="7" s="1"/>
  <c r="DH28" i="7"/>
  <c r="DG29" i="7" s="1"/>
  <c r="CX29" i="7"/>
  <c r="CY29" i="7" s="1"/>
  <c r="C30" i="7"/>
  <c r="D30" i="7" s="1"/>
  <c r="CA32" i="7"/>
  <c r="BZ33" i="7" s="1"/>
  <c r="O32" i="7"/>
  <c r="P32" i="7" s="1"/>
  <c r="E32" i="6"/>
  <c r="F32" i="6" s="1"/>
  <c r="AO3" i="5"/>
  <c r="AP3" i="5" s="1"/>
  <c r="AO4" i="5" s="1"/>
  <c r="AP4" i="5" s="1"/>
  <c r="AO5" i="5" s="1"/>
  <c r="AP5" i="5" s="1"/>
  <c r="AO6" i="5" s="1"/>
  <c r="AP6" i="5" s="1"/>
  <c r="AO7" i="5" s="1"/>
  <c r="AP7" i="5" s="1"/>
  <c r="AO8" i="5" s="1"/>
  <c r="AP8" i="5" s="1"/>
  <c r="AO9" i="5" s="1"/>
  <c r="AP9" i="5" s="1"/>
  <c r="AO10" i="5" s="1"/>
  <c r="AP10" i="5" s="1"/>
  <c r="AO11" i="5" s="1"/>
  <c r="AP11" i="5" s="1"/>
  <c r="AO12" i="5" s="1"/>
  <c r="AP12" i="5" s="1"/>
  <c r="AO13" i="5" s="1"/>
  <c r="AP13" i="5" s="1"/>
  <c r="AO14" i="5" s="1"/>
  <c r="AP14" i="5" s="1"/>
  <c r="AO15" i="5" s="1"/>
  <c r="AP15" i="5" s="1"/>
  <c r="AO16" i="5" s="1"/>
  <c r="AP16" i="5" s="1"/>
  <c r="AO17" i="5" s="1"/>
  <c r="AP17" i="5" s="1"/>
  <c r="AO18" i="5" s="1"/>
  <c r="AP18" i="5" s="1"/>
  <c r="AO19" i="5" s="1"/>
  <c r="AP19" i="5" s="1"/>
  <c r="AO20" i="5" s="1"/>
  <c r="AP20" i="5" s="1"/>
  <c r="AO21" i="5" s="1"/>
  <c r="AP21" i="5" s="1"/>
  <c r="AO22" i="5" s="1"/>
  <c r="AP22" i="5" s="1"/>
  <c r="AO23" i="5" s="1"/>
  <c r="AP23" i="5" s="1"/>
  <c r="AO24" i="5" s="1"/>
  <c r="AP24" i="5" s="1"/>
  <c r="AO25" i="5" s="1"/>
  <c r="AP25" i="5" s="1"/>
  <c r="AO26" i="5" s="1"/>
  <c r="AP26" i="5" s="1"/>
  <c r="AO27" i="5" s="1"/>
  <c r="AP27" i="5" s="1"/>
  <c r="AO28" i="5" s="1"/>
  <c r="AP28" i="5" s="1"/>
  <c r="AO29" i="5" s="1"/>
  <c r="AP29" i="5" s="1"/>
  <c r="AO30" i="5" s="1"/>
  <c r="AP30" i="5" s="1"/>
  <c r="AO31" i="5" s="1"/>
  <c r="AP31" i="5" s="1"/>
  <c r="AO32" i="5" s="1"/>
  <c r="AP32" i="5" s="1"/>
  <c r="AO33" i="5" s="1"/>
  <c r="AP33" i="5" s="1"/>
  <c r="AO34" i="5" s="1"/>
  <c r="AP34" i="5" s="1"/>
  <c r="AO35" i="5" s="1"/>
  <c r="AP35" i="5" s="1"/>
  <c r="AO36" i="5" s="1"/>
  <c r="AP36" i="5" s="1"/>
  <c r="AO37" i="5" s="1"/>
  <c r="AP37" i="5" s="1"/>
  <c r="AO38" i="5" s="1"/>
  <c r="AP38" i="5" s="1"/>
  <c r="AO39" i="5" s="1"/>
  <c r="AP39" i="5" s="1"/>
  <c r="AO40" i="5" s="1"/>
  <c r="AP40" i="5" s="1"/>
  <c r="AO41" i="5" s="1"/>
  <c r="AP41" i="5" s="1"/>
  <c r="AO42" i="5" s="1"/>
  <c r="AP42" i="5" s="1"/>
  <c r="AO43" i="5" s="1"/>
  <c r="AP43" i="5" s="1"/>
  <c r="AO44" i="5" s="1"/>
  <c r="AP44" i="5" s="1"/>
  <c r="AO45" i="5" s="1"/>
  <c r="AP45" i="5" s="1"/>
  <c r="AO46" i="5" s="1"/>
  <c r="AP46" i="5" s="1"/>
  <c r="AO47" i="5" s="1"/>
  <c r="AP47" i="5" s="1"/>
  <c r="AO48" i="5" s="1"/>
  <c r="AP48" i="5" s="1"/>
  <c r="AO49" i="5" s="1"/>
  <c r="AP49" i="5" s="1"/>
  <c r="AO50" i="5" s="1"/>
  <c r="AP50" i="5" s="1"/>
  <c r="AO51" i="5" s="1"/>
  <c r="AP51" i="5" s="1"/>
  <c r="AO52" i="5" s="1"/>
  <c r="AP52" i="5" s="1"/>
  <c r="AO53" i="5" s="1"/>
  <c r="AP53" i="5" s="1"/>
  <c r="AO54" i="5" s="1"/>
  <c r="AP54" i="5" s="1"/>
  <c r="AO55" i="5" s="1"/>
  <c r="AP55" i="5" s="1"/>
  <c r="AO56" i="5" s="1"/>
  <c r="AP56" i="5" s="1"/>
  <c r="AO57" i="5" s="1"/>
  <c r="AP57" i="5" s="1"/>
  <c r="AO58" i="5" s="1"/>
  <c r="AP58" i="5" s="1"/>
  <c r="AO59" i="5" s="1"/>
  <c r="AP59" i="5" s="1"/>
  <c r="AO60" i="5" s="1"/>
  <c r="AP60" i="5" s="1"/>
  <c r="AO61" i="5" s="1"/>
  <c r="AP61" i="5" s="1"/>
  <c r="AO62" i="5" s="1"/>
  <c r="AP62" i="5" s="1"/>
  <c r="AO63" i="5" s="1"/>
  <c r="AP63" i="5" s="1"/>
  <c r="AO64" i="5" s="1"/>
  <c r="AP64" i="5" s="1"/>
  <c r="AO65" i="5" s="1"/>
  <c r="AP65" i="5" s="1"/>
  <c r="AO66" i="5" s="1"/>
  <c r="AP66" i="5" s="1"/>
  <c r="AO67" i="5" s="1"/>
  <c r="AP67" i="5" s="1"/>
  <c r="AO68" i="5" s="1"/>
  <c r="AP68" i="5" s="1"/>
  <c r="AO69" i="5" s="1"/>
  <c r="AP69" i="5" s="1"/>
  <c r="AO70" i="5" s="1"/>
  <c r="AP70" i="5" s="1"/>
  <c r="AO71" i="5" s="1"/>
  <c r="AP71" i="5" s="1"/>
  <c r="AO72" i="5" s="1"/>
  <c r="AP72" i="5" s="1"/>
  <c r="AO73" i="5" s="1"/>
  <c r="AP73" i="5" s="1"/>
  <c r="AO74" i="5" s="1"/>
  <c r="AP74" i="5" s="1"/>
  <c r="AO75" i="5" s="1"/>
  <c r="AP75" i="5" s="1"/>
  <c r="AO76" i="5" s="1"/>
  <c r="AP76" i="5" s="1"/>
  <c r="AO77" i="5" s="1"/>
  <c r="AP77" i="5" s="1"/>
  <c r="AO78" i="5" s="1"/>
  <c r="AP78" i="5" s="1"/>
  <c r="AO79" i="5" s="1"/>
  <c r="AP79" i="5" s="1"/>
  <c r="AO80" i="5" s="1"/>
  <c r="AP80" i="5" s="1"/>
  <c r="AO81" i="5" s="1"/>
  <c r="AP81" i="5" s="1"/>
  <c r="AO82" i="5" s="1"/>
  <c r="AP82" i="5" s="1"/>
  <c r="AO83" i="5" s="1"/>
  <c r="AP83" i="5" s="1"/>
  <c r="AO84" i="5" s="1"/>
  <c r="AP84" i="5" s="1"/>
  <c r="AO85" i="5" s="1"/>
  <c r="AP85" i="5" s="1"/>
  <c r="AO86" i="5" s="1"/>
  <c r="AP86" i="5" s="1"/>
  <c r="AO87" i="5" s="1"/>
  <c r="AP87" i="5" s="1"/>
  <c r="AO88" i="5" s="1"/>
  <c r="AP88" i="5" s="1"/>
  <c r="AO89" i="5" s="1"/>
  <c r="AP89" i="5" s="1"/>
  <c r="AO90" i="5" s="1"/>
  <c r="AP90" i="5" s="1"/>
  <c r="AO91" i="5" s="1"/>
  <c r="AP91" i="5" s="1"/>
  <c r="AO92" i="5" s="1"/>
  <c r="AP92" i="5" s="1"/>
  <c r="AO93" i="5" s="1"/>
  <c r="AP93" i="5" s="1"/>
  <c r="AO94" i="5" s="1"/>
  <c r="AP94" i="5" s="1"/>
  <c r="AO95" i="5" s="1"/>
  <c r="AP95" i="5" s="1"/>
  <c r="AO96" i="5" s="1"/>
  <c r="AP96" i="5" s="1"/>
  <c r="AO97" i="5" s="1"/>
  <c r="AP97" i="5" s="1"/>
  <c r="AO98" i="5" s="1"/>
  <c r="AP98" i="5" s="1"/>
  <c r="AO99" i="5" s="1"/>
  <c r="AP99" i="5" s="1"/>
  <c r="AO100" i="5" s="1"/>
  <c r="AP100" i="5" s="1"/>
  <c r="AO101" i="5" s="1"/>
  <c r="AP101" i="5" s="1"/>
  <c r="AO102" i="5" s="1"/>
  <c r="AP102" i="5" s="1"/>
  <c r="B55" i="6"/>
  <c r="C55" i="6" s="1"/>
  <c r="B56" i="6" s="1"/>
  <c r="C56" i="6" s="1"/>
  <c r="Q3" i="5"/>
  <c r="R3" i="5" s="1"/>
  <c r="Q4" i="5" s="1"/>
  <c r="R4" i="5" s="1"/>
  <c r="Q5" i="5" s="1"/>
  <c r="R5" i="5" s="1"/>
  <c r="Q6" i="5" s="1"/>
  <c r="R6" i="5" s="1"/>
  <c r="Q7" i="5" s="1"/>
  <c r="R7" i="5" s="1"/>
  <c r="Q8" i="5" s="1"/>
  <c r="R8" i="5" s="1"/>
  <c r="Q9" i="5" s="1"/>
  <c r="R9" i="5" s="1"/>
  <c r="Q10" i="5" s="1"/>
  <c r="R10" i="5" s="1"/>
  <c r="Q11" i="5" s="1"/>
  <c r="R11" i="5" s="1"/>
  <c r="Q12" i="5" s="1"/>
  <c r="R12" i="5" s="1"/>
  <c r="Q13" i="5" s="1"/>
  <c r="R13" i="5" s="1"/>
  <c r="Q14" i="5" s="1"/>
  <c r="R14" i="5" s="1"/>
  <c r="Q15" i="5" s="1"/>
  <c r="R15" i="5" s="1"/>
  <c r="Q16" i="5" s="1"/>
  <c r="R16" i="5" s="1"/>
  <c r="Q17" i="5" s="1"/>
  <c r="R17" i="5" s="1"/>
  <c r="Q18" i="5" s="1"/>
  <c r="R18" i="5" s="1"/>
  <c r="Q19" i="5" s="1"/>
  <c r="R19" i="5" s="1"/>
  <c r="Q20" i="5" s="1"/>
  <c r="R20" i="5" s="1"/>
  <c r="Q21" i="5" s="1"/>
  <c r="R21" i="5" s="1"/>
  <c r="Q22" i="5" s="1"/>
  <c r="R22" i="5" s="1"/>
  <c r="Q23" i="5" s="1"/>
  <c r="R23" i="5" s="1"/>
  <c r="Q24" i="5" s="1"/>
  <c r="R24" i="5" s="1"/>
  <c r="Q25" i="5" s="1"/>
  <c r="R25" i="5" s="1"/>
  <c r="Q26" i="5" s="1"/>
  <c r="R26" i="5" s="1"/>
  <c r="Q27" i="5" s="1"/>
  <c r="R27" i="5" s="1"/>
  <c r="Q28" i="5" s="1"/>
  <c r="R28" i="5" s="1"/>
  <c r="Q29" i="5" s="1"/>
  <c r="R29" i="5" s="1"/>
  <c r="Q30" i="5" s="1"/>
  <c r="R30" i="5" s="1"/>
  <c r="Q31" i="5" s="1"/>
  <c r="R31" i="5" s="1"/>
  <c r="Q32" i="5" s="1"/>
  <c r="R32" i="5" s="1"/>
  <c r="Q33" i="5" s="1"/>
  <c r="R33" i="5" s="1"/>
  <c r="Q34" i="5" s="1"/>
  <c r="R34" i="5" s="1"/>
  <c r="Q35" i="5" s="1"/>
  <c r="R35" i="5" s="1"/>
  <c r="Q36" i="5" s="1"/>
  <c r="R36" i="5" s="1"/>
  <c r="Q37" i="5" s="1"/>
  <c r="R37" i="5" s="1"/>
  <c r="Q38" i="5" s="1"/>
  <c r="R38" i="5" s="1"/>
  <c r="Q39" i="5" s="1"/>
  <c r="R39" i="5" s="1"/>
  <c r="Q40" i="5" s="1"/>
  <c r="R40" i="5" s="1"/>
  <c r="Q41" i="5" s="1"/>
  <c r="R41" i="5" s="1"/>
  <c r="Q42" i="5" s="1"/>
  <c r="R42" i="5" s="1"/>
  <c r="Q43" i="5" s="1"/>
  <c r="R43" i="5" s="1"/>
  <c r="Q44" i="5" s="1"/>
  <c r="R44" i="5" s="1"/>
  <c r="Q45" i="5" s="1"/>
  <c r="R45" i="5" s="1"/>
  <c r="Q46" i="5" s="1"/>
  <c r="R46" i="5" s="1"/>
  <c r="Q47" i="5" s="1"/>
  <c r="R47" i="5" s="1"/>
  <c r="Q48" i="5" s="1"/>
  <c r="R48" i="5" s="1"/>
  <c r="Q49" i="5" s="1"/>
  <c r="R49" i="5" s="1"/>
  <c r="Q50" i="5" s="1"/>
  <c r="R50" i="5" s="1"/>
  <c r="Q51" i="5" s="1"/>
  <c r="R51" i="5" s="1"/>
  <c r="Q52" i="5" s="1"/>
  <c r="R52" i="5" s="1"/>
  <c r="Q53" i="5" s="1"/>
  <c r="R53" i="5" s="1"/>
  <c r="Q54" i="5" s="1"/>
  <c r="R54" i="5" s="1"/>
  <c r="Q55" i="5" s="1"/>
  <c r="R55" i="5" s="1"/>
  <c r="Q56" i="5" s="1"/>
  <c r="R56" i="5" s="1"/>
  <c r="Q57" i="5" s="1"/>
  <c r="R57" i="5" s="1"/>
  <c r="Q58" i="5" s="1"/>
  <c r="R58" i="5" s="1"/>
  <c r="Q59" i="5" s="1"/>
  <c r="R59" i="5" s="1"/>
  <c r="Q60" i="5" s="1"/>
  <c r="R60" i="5" s="1"/>
  <c r="Q61" i="5" s="1"/>
  <c r="R61" i="5" s="1"/>
  <c r="Q62" i="5" s="1"/>
  <c r="R62" i="5" s="1"/>
  <c r="Q63" i="5" s="1"/>
  <c r="R63" i="5" s="1"/>
  <c r="Q64" i="5" s="1"/>
  <c r="R64" i="5" s="1"/>
  <c r="Q65" i="5" s="1"/>
  <c r="R65" i="5" s="1"/>
  <c r="Q66" i="5" s="1"/>
  <c r="R66" i="5" s="1"/>
  <c r="Q67" i="5" s="1"/>
  <c r="R67" i="5" s="1"/>
  <c r="Q68" i="5" s="1"/>
  <c r="R68" i="5" s="1"/>
  <c r="Q69" i="5" s="1"/>
  <c r="R69" i="5" s="1"/>
  <c r="Q70" i="5" s="1"/>
  <c r="R70" i="5" s="1"/>
  <c r="Q71" i="5" s="1"/>
  <c r="R71" i="5" s="1"/>
  <c r="Q72" i="5" s="1"/>
  <c r="R72" i="5" s="1"/>
  <c r="Q73" i="5" s="1"/>
  <c r="R73" i="5" s="1"/>
  <c r="Q74" i="5" s="1"/>
  <c r="R74" i="5" s="1"/>
  <c r="Q75" i="5" s="1"/>
  <c r="R75" i="5" s="1"/>
  <c r="Q76" i="5" s="1"/>
  <c r="R76" i="5" s="1"/>
  <c r="Q77" i="5" s="1"/>
  <c r="R77" i="5" s="1"/>
  <c r="Q78" i="5" s="1"/>
  <c r="R78" i="5" s="1"/>
  <c r="Q79" i="5" s="1"/>
  <c r="R79" i="5" s="1"/>
  <c r="Q80" i="5" s="1"/>
  <c r="R80" i="5" s="1"/>
  <c r="Q81" i="5" s="1"/>
  <c r="R81" i="5" s="1"/>
  <c r="Q82" i="5" s="1"/>
  <c r="R82" i="5" s="1"/>
  <c r="Q83" i="5" s="1"/>
  <c r="R83" i="5" s="1"/>
  <c r="Q84" i="5" s="1"/>
  <c r="R84" i="5" s="1"/>
  <c r="Q85" i="5" s="1"/>
  <c r="R85" i="5" s="1"/>
  <c r="Q86" i="5" s="1"/>
  <c r="R86" i="5" s="1"/>
  <c r="Q87" i="5" s="1"/>
  <c r="R87" i="5" s="1"/>
  <c r="Q88" i="5" s="1"/>
  <c r="R88" i="5" s="1"/>
  <c r="Q89" i="5" s="1"/>
  <c r="R89" i="5" s="1"/>
  <c r="Q90" i="5" s="1"/>
  <c r="R90" i="5" s="1"/>
  <c r="Q91" i="5" s="1"/>
  <c r="R91" i="5" s="1"/>
  <c r="Q92" i="5" s="1"/>
  <c r="R92" i="5" s="1"/>
  <c r="Q93" i="5" s="1"/>
  <c r="R93" i="5" s="1"/>
  <c r="Q94" i="5" s="1"/>
  <c r="R94" i="5" s="1"/>
  <c r="Q95" i="5" s="1"/>
  <c r="R95" i="5" s="1"/>
  <c r="Q96" i="5" s="1"/>
  <c r="R96" i="5" s="1"/>
  <c r="Q97" i="5" s="1"/>
  <c r="R97" i="5" s="1"/>
  <c r="Q98" i="5" s="1"/>
  <c r="R98" i="5" s="1"/>
  <c r="Q99" i="5" s="1"/>
  <c r="R99" i="5" s="1"/>
  <c r="Q100" i="5" s="1"/>
  <c r="R100" i="5" s="1"/>
  <c r="Q101" i="5" s="1"/>
  <c r="R101" i="5" s="1"/>
  <c r="Q102" i="5" s="1"/>
  <c r="R102" i="5" s="1"/>
  <c r="AC3" i="5"/>
  <c r="AD3" i="5" s="1"/>
  <c r="AC4" i="5" s="1"/>
  <c r="AD4" i="5" s="1"/>
  <c r="AC5" i="5" s="1"/>
  <c r="AD5" i="5" s="1"/>
  <c r="AC6" i="5" s="1"/>
  <c r="AD6" i="5" s="1"/>
  <c r="AC7" i="5" s="1"/>
  <c r="AD7" i="5" s="1"/>
  <c r="AC8" i="5" s="1"/>
  <c r="AD8" i="5" s="1"/>
  <c r="AC9" i="5" s="1"/>
  <c r="AD9" i="5" s="1"/>
  <c r="AC10" i="5" s="1"/>
  <c r="AD10" i="5" s="1"/>
  <c r="AC11" i="5" s="1"/>
  <c r="AD11" i="5" s="1"/>
  <c r="AC12" i="5" s="1"/>
  <c r="AD12" i="5" s="1"/>
  <c r="AC13" i="5" s="1"/>
  <c r="AD13" i="5" s="1"/>
  <c r="AC14" i="5" s="1"/>
  <c r="AD14" i="5" s="1"/>
  <c r="AC15" i="5" s="1"/>
  <c r="AD15" i="5" s="1"/>
  <c r="AC16" i="5" s="1"/>
  <c r="AD16" i="5" s="1"/>
  <c r="AC17" i="5" s="1"/>
  <c r="AD17" i="5" s="1"/>
  <c r="AC18" i="5" s="1"/>
  <c r="AD18" i="5" s="1"/>
  <c r="AC19" i="5" s="1"/>
  <c r="AD19" i="5" s="1"/>
  <c r="AC20" i="5" s="1"/>
  <c r="AD20" i="5" s="1"/>
  <c r="AC21" i="5" s="1"/>
  <c r="AD21" i="5" s="1"/>
  <c r="AC22" i="5" s="1"/>
  <c r="AD22" i="5" s="1"/>
  <c r="AC23" i="5" s="1"/>
  <c r="AD23" i="5" s="1"/>
  <c r="AC24" i="5" s="1"/>
  <c r="AD24" i="5" s="1"/>
  <c r="AC25" i="5" s="1"/>
  <c r="AD25" i="5" s="1"/>
  <c r="AC26" i="5" s="1"/>
  <c r="AD26" i="5" s="1"/>
  <c r="AC27" i="5" s="1"/>
  <c r="AD27" i="5" s="1"/>
  <c r="AC28" i="5" s="1"/>
  <c r="AD28" i="5" s="1"/>
  <c r="AC29" i="5" s="1"/>
  <c r="AD29" i="5" s="1"/>
  <c r="AC30" i="5" s="1"/>
  <c r="AD30" i="5" s="1"/>
  <c r="AC31" i="5" s="1"/>
  <c r="AD31" i="5" s="1"/>
  <c r="AC32" i="5" s="1"/>
  <c r="AD32" i="5" s="1"/>
  <c r="AC33" i="5" s="1"/>
  <c r="AD33" i="5" s="1"/>
  <c r="AC34" i="5" s="1"/>
  <c r="AD34" i="5" s="1"/>
  <c r="AC35" i="5" s="1"/>
  <c r="AD35" i="5" s="1"/>
  <c r="AC36" i="5" s="1"/>
  <c r="AD36" i="5" s="1"/>
  <c r="AC37" i="5" s="1"/>
  <c r="AD37" i="5" s="1"/>
  <c r="AC38" i="5" s="1"/>
  <c r="AD38" i="5" s="1"/>
  <c r="AC39" i="5" s="1"/>
  <c r="AD39" i="5" s="1"/>
  <c r="AC40" i="5" s="1"/>
  <c r="AD40" i="5" s="1"/>
  <c r="AC41" i="5" s="1"/>
  <c r="AD41" i="5" s="1"/>
  <c r="AC42" i="5" s="1"/>
  <c r="AD42" i="5" s="1"/>
  <c r="AC43" i="5" s="1"/>
  <c r="AD43" i="5" s="1"/>
  <c r="AC44" i="5" s="1"/>
  <c r="AD44" i="5" s="1"/>
  <c r="AC45" i="5" s="1"/>
  <c r="AD45" i="5" s="1"/>
  <c r="AC46" i="5" s="1"/>
  <c r="AD46" i="5" s="1"/>
  <c r="AC47" i="5" s="1"/>
  <c r="AD47" i="5" s="1"/>
  <c r="AC48" i="5" s="1"/>
  <c r="AD48" i="5" s="1"/>
  <c r="AC49" i="5" s="1"/>
  <c r="AD49" i="5" s="1"/>
  <c r="AC50" i="5" s="1"/>
  <c r="AD50" i="5" s="1"/>
  <c r="AC51" i="5" s="1"/>
  <c r="AD51" i="5" s="1"/>
  <c r="AC52" i="5" s="1"/>
  <c r="AD52" i="5" s="1"/>
  <c r="AC53" i="5" s="1"/>
  <c r="AD53" i="5" s="1"/>
  <c r="AC54" i="5" s="1"/>
  <c r="AD54" i="5" s="1"/>
  <c r="AC55" i="5" s="1"/>
  <c r="AD55" i="5" s="1"/>
  <c r="AC56" i="5" s="1"/>
  <c r="AD56" i="5" s="1"/>
  <c r="AC57" i="5" s="1"/>
  <c r="AD57" i="5" s="1"/>
  <c r="AC58" i="5" s="1"/>
  <c r="AD58" i="5" s="1"/>
  <c r="AC59" i="5" s="1"/>
  <c r="AD59" i="5" s="1"/>
  <c r="AC60" i="5" s="1"/>
  <c r="AD60" i="5" s="1"/>
  <c r="AC61" i="5" s="1"/>
  <c r="AD61" i="5" s="1"/>
  <c r="AC62" i="5" s="1"/>
  <c r="AD62" i="5" s="1"/>
  <c r="AC63" i="5" s="1"/>
  <c r="AD63" i="5" s="1"/>
  <c r="AC64" i="5" s="1"/>
  <c r="AD64" i="5" s="1"/>
  <c r="AC65" i="5" s="1"/>
  <c r="AD65" i="5" s="1"/>
  <c r="AC66" i="5" s="1"/>
  <c r="AD66" i="5" s="1"/>
  <c r="AC67" i="5" s="1"/>
  <c r="AD67" i="5" s="1"/>
  <c r="AC68" i="5" s="1"/>
  <c r="AD68" i="5" s="1"/>
  <c r="AC69" i="5" s="1"/>
  <c r="AD69" i="5" s="1"/>
  <c r="AC70" i="5" s="1"/>
  <c r="AD70" i="5" s="1"/>
  <c r="AC71" i="5" s="1"/>
  <c r="AD71" i="5" s="1"/>
  <c r="AC72" i="5" s="1"/>
  <c r="AD72" i="5" s="1"/>
  <c r="AC73" i="5" s="1"/>
  <c r="AD73" i="5" s="1"/>
  <c r="AC74" i="5" s="1"/>
  <c r="AD74" i="5" s="1"/>
  <c r="AC75" i="5" s="1"/>
  <c r="AD75" i="5" s="1"/>
  <c r="AC76" i="5" s="1"/>
  <c r="AD76" i="5" s="1"/>
  <c r="AC77" i="5" s="1"/>
  <c r="AD77" i="5" s="1"/>
  <c r="AC78" i="5" s="1"/>
  <c r="AD78" i="5" s="1"/>
  <c r="AC79" i="5" s="1"/>
  <c r="AD79" i="5" s="1"/>
  <c r="AC80" i="5" s="1"/>
  <c r="AD80" i="5" s="1"/>
  <c r="AC81" i="5" s="1"/>
  <c r="AD81" i="5" s="1"/>
  <c r="AC82" i="5" s="1"/>
  <c r="AD82" i="5" s="1"/>
  <c r="AC83" i="5" s="1"/>
  <c r="AD83" i="5" s="1"/>
  <c r="AC84" i="5" s="1"/>
  <c r="AD84" i="5" s="1"/>
  <c r="AC85" i="5" s="1"/>
  <c r="AD85" i="5" s="1"/>
  <c r="AC86" i="5" s="1"/>
  <c r="AD86" i="5" s="1"/>
  <c r="AC87" i="5" s="1"/>
  <c r="AD87" i="5" s="1"/>
  <c r="AC88" i="5" s="1"/>
  <c r="AD88" i="5" s="1"/>
  <c r="AC89" i="5" s="1"/>
  <c r="AD89" i="5" s="1"/>
  <c r="AC90" i="5" s="1"/>
  <c r="AD90" i="5" s="1"/>
  <c r="AC91" i="5" s="1"/>
  <c r="AD91" i="5" s="1"/>
  <c r="AC92" i="5" s="1"/>
  <c r="AD92" i="5" s="1"/>
  <c r="AC93" i="5" s="1"/>
  <c r="AD93" i="5" s="1"/>
  <c r="AC94" i="5" s="1"/>
  <c r="AD94" i="5" s="1"/>
  <c r="AC95" i="5" s="1"/>
  <c r="AD95" i="5" s="1"/>
  <c r="AC96" i="5" s="1"/>
  <c r="AD96" i="5" s="1"/>
  <c r="AC97" i="5" s="1"/>
  <c r="AD97" i="5" s="1"/>
  <c r="AC98" i="5" s="1"/>
  <c r="AD98" i="5" s="1"/>
  <c r="AC99" i="5" s="1"/>
  <c r="AD99" i="5" s="1"/>
  <c r="AC100" i="5" s="1"/>
  <c r="AD100" i="5" s="1"/>
  <c r="AC101" i="5" s="1"/>
  <c r="AD101" i="5" s="1"/>
  <c r="AC102" i="5" s="1"/>
  <c r="AD102" i="5" s="1"/>
  <c r="N3" i="5"/>
  <c r="O3" i="5" s="1"/>
  <c r="N4" i="5" s="1"/>
  <c r="O4" i="5" s="1"/>
  <c r="N5" i="5" s="1"/>
  <c r="O5" i="5" s="1"/>
  <c r="N6" i="5" s="1"/>
  <c r="O6" i="5" s="1"/>
  <c r="N7" i="5" s="1"/>
  <c r="O7" i="5" s="1"/>
  <c r="N8" i="5" s="1"/>
  <c r="O8" i="5" s="1"/>
  <c r="N9" i="5" s="1"/>
  <c r="O9" i="5" s="1"/>
  <c r="N10" i="5" s="1"/>
  <c r="O10" i="5" s="1"/>
  <c r="N11" i="5" s="1"/>
  <c r="O11" i="5" s="1"/>
  <c r="N12" i="5" s="1"/>
  <c r="O12" i="5" s="1"/>
  <c r="N13" i="5" s="1"/>
  <c r="O13" i="5" s="1"/>
  <c r="N14" i="5" s="1"/>
  <c r="O14" i="5" s="1"/>
  <c r="N15" i="5" s="1"/>
  <c r="O15" i="5" s="1"/>
  <c r="N16" i="5" s="1"/>
  <c r="O16" i="5" s="1"/>
  <c r="N17" i="5" s="1"/>
  <c r="O17" i="5" s="1"/>
  <c r="N18" i="5" s="1"/>
  <c r="O18" i="5" s="1"/>
  <c r="N19" i="5" s="1"/>
  <c r="O19" i="5" s="1"/>
  <c r="N20" i="5" s="1"/>
  <c r="O20" i="5" s="1"/>
  <c r="N21" i="5" s="1"/>
  <c r="O21" i="5" s="1"/>
  <c r="N22" i="5" s="1"/>
  <c r="O22" i="5" s="1"/>
  <c r="N23" i="5" s="1"/>
  <c r="O23" i="5" s="1"/>
  <c r="N24" i="5" s="1"/>
  <c r="O24" i="5" s="1"/>
  <c r="N25" i="5" s="1"/>
  <c r="O25" i="5" s="1"/>
  <c r="N26" i="5" s="1"/>
  <c r="O26" i="5" s="1"/>
  <c r="N27" i="5" s="1"/>
  <c r="O27" i="5" s="1"/>
  <c r="N28" i="5" s="1"/>
  <c r="O28" i="5" s="1"/>
  <c r="N29" i="5" s="1"/>
  <c r="O29" i="5" s="1"/>
  <c r="N30" i="5" s="1"/>
  <c r="O30" i="5" s="1"/>
  <c r="N31" i="5" s="1"/>
  <c r="O31" i="5" s="1"/>
  <c r="N32" i="5" s="1"/>
  <c r="O32" i="5" s="1"/>
  <c r="N33" i="5" s="1"/>
  <c r="O33" i="5" s="1"/>
  <c r="N34" i="5" s="1"/>
  <c r="O34" i="5" s="1"/>
  <c r="N35" i="5" s="1"/>
  <c r="O35" i="5" s="1"/>
  <c r="N36" i="5" s="1"/>
  <c r="O36" i="5" s="1"/>
  <c r="N37" i="5" s="1"/>
  <c r="O37" i="5" s="1"/>
  <c r="N38" i="5" s="1"/>
  <c r="O38" i="5" s="1"/>
  <c r="N39" i="5" s="1"/>
  <c r="O39" i="5" s="1"/>
  <c r="N40" i="5" s="1"/>
  <c r="O40" i="5" s="1"/>
  <c r="N41" i="5" s="1"/>
  <c r="O41" i="5" s="1"/>
  <c r="N42" i="5" s="1"/>
  <c r="O42" i="5" s="1"/>
  <c r="N43" i="5" s="1"/>
  <c r="O43" i="5" s="1"/>
  <c r="N44" i="5" s="1"/>
  <c r="O44" i="5" s="1"/>
  <c r="N45" i="5" s="1"/>
  <c r="O45" i="5" s="1"/>
  <c r="N46" i="5" s="1"/>
  <c r="O46" i="5" s="1"/>
  <c r="N47" i="5" s="1"/>
  <c r="O47" i="5" s="1"/>
  <c r="N48" i="5" s="1"/>
  <c r="O48" i="5" s="1"/>
  <c r="N49" i="5" s="1"/>
  <c r="O49" i="5" s="1"/>
  <c r="N50" i="5" s="1"/>
  <c r="O50" i="5" s="1"/>
  <c r="N51" i="5" s="1"/>
  <c r="O51" i="5" s="1"/>
  <c r="N52" i="5" s="1"/>
  <c r="O52" i="5" s="1"/>
  <c r="N53" i="5" s="1"/>
  <c r="O53" i="5" s="1"/>
  <c r="N54" i="5" s="1"/>
  <c r="O54" i="5" s="1"/>
  <c r="N55" i="5" s="1"/>
  <c r="O55" i="5" s="1"/>
  <c r="N56" i="5" s="1"/>
  <c r="O56" i="5" s="1"/>
  <c r="N57" i="5" s="1"/>
  <c r="O57" i="5" s="1"/>
  <c r="N58" i="5" s="1"/>
  <c r="O58" i="5" s="1"/>
  <c r="N59" i="5" s="1"/>
  <c r="O59" i="5" s="1"/>
  <c r="N60" i="5" s="1"/>
  <c r="O60" i="5" s="1"/>
  <c r="N61" i="5" s="1"/>
  <c r="O61" i="5" s="1"/>
  <c r="N62" i="5" s="1"/>
  <c r="O62" i="5" s="1"/>
  <c r="N63" i="5" s="1"/>
  <c r="O63" i="5" s="1"/>
  <c r="N64" i="5" s="1"/>
  <c r="O64" i="5" s="1"/>
  <c r="N65" i="5" s="1"/>
  <c r="O65" i="5" s="1"/>
  <c r="N66" i="5" s="1"/>
  <c r="O66" i="5" s="1"/>
  <c r="N67" i="5" s="1"/>
  <c r="O67" i="5" s="1"/>
  <c r="N68" i="5" s="1"/>
  <c r="O68" i="5" s="1"/>
  <c r="N69" i="5" s="1"/>
  <c r="O69" i="5" s="1"/>
  <c r="N70" i="5" s="1"/>
  <c r="O70" i="5" s="1"/>
  <c r="N71" i="5" s="1"/>
  <c r="O71" i="5" s="1"/>
  <c r="N72" i="5" s="1"/>
  <c r="O72" i="5" s="1"/>
  <c r="N73" i="5" s="1"/>
  <c r="O73" i="5" s="1"/>
  <c r="N74" i="5" s="1"/>
  <c r="O74" i="5" s="1"/>
  <c r="N75" i="5" s="1"/>
  <c r="O75" i="5" s="1"/>
  <c r="N76" i="5" s="1"/>
  <c r="O76" i="5" s="1"/>
  <c r="N77" i="5" s="1"/>
  <c r="O77" i="5" s="1"/>
  <c r="N78" i="5" s="1"/>
  <c r="O78" i="5" s="1"/>
  <c r="N79" i="5" s="1"/>
  <c r="O79" i="5" s="1"/>
  <c r="N80" i="5" s="1"/>
  <c r="O80" i="5" s="1"/>
  <c r="N81" i="5" s="1"/>
  <c r="O81" i="5" s="1"/>
  <c r="N82" i="5" s="1"/>
  <c r="O82" i="5" s="1"/>
  <c r="N83" i="5" s="1"/>
  <c r="O83" i="5" s="1"/>
  <c r="N84" i="5" s="1"/>
  <c r="O84" i="5" s="1"/>
  <c r="N85" i="5" s="1"/>
  <c r="O85" i="5" s="1"/>
  <c r="N86" i="5" s="1"/>
  <c r="O86" i="5" s="1"/>
  <c r="N87" i="5" s="1"/>
  <c r="O87" i="5" s="1"/>
  <c r="N88" i="5" s="1"/>
  <c r="O88" i="5" s="1"/>
  <c r="N89" i="5" s="1"/>
  <c r="O89" i="5" s="1"/>
  <c r="N90" i="5" s="1"/>
  <c r="O90" i="5" s="1"/>
  <c r="N91" i="5" s="1"/>
  <c r="O91" i="5" s="1"/>
  <c r="N92" i="5" s="1"/>
  <c r="O92" i="5" s="1"/>
  <c r="N93" i="5" s="1"/>
  <c r="O93" i="5" s="1"/>
  <c r="N94" i="5" s="1"/>
  <c r="O94" i="5" s="1"/>
  <c r="N95" i="5" s="1"/>
  <c r="O95" i="5" s="1"/>
  <c r="N96" i="5" s="1"/>
  <c r="O96" i="5" s="1"/>
  <c r="N97" i="5" s="1"/>
  <c r="O97" i="5" s="1"/>
  <c r="N98" i="5" s="1"/>
  <c r="O98" i="5" s="1"/>
  <c r="N99" i="5" s="1"/>
  <c r="O99" i="5" s="1"/>
  <c r="N100" i="5" s="1"/>
  <c r="O100" i="5" s="1"/>
  <c r="N101" i="5" s="1"/>
  <c r="O101" i="5" s="1"/>
  <c r="N102" i="5" s="1"/>
  <c r="O102" i="5" s="1"/>
  <c r="BP3" i="5"/>
  <c r="BQ3" i="5" s="1"/>
  <c r="BP4" i="5" s="1"/>
  <c r="BQ4" i="5" s="1"/>
  <c r="BP5" i="5" s="1"/>
  <c r="BQ5" i="5" s="1"/>
  <c r="BP6" i="5" s="1"/>
  <c r="BQ6" i="5" s="1"/>
  <c r="BP7" i="5" s="1"/>
  <c r="BQ7" i="5" s="1"/>
  <c r="BP8" i="5" s="1"/>
  <c r="BQ8" i="5" s="1"/>
  <c r="BP9" i="5" s="1"/>
  <c r="BQ9" i="5" s="1"/>
  <c r="BP10" i="5" s="1"/>
  <c r="BQ10" i="5" s="1"/>
  <c r="BP11" i="5" s="1"/>
  <c r="BQ11" i="5" s="1"/>
  <c r="BP12" i="5" s="1"/>
  <c r="BQ12" i="5" s="1"/>
  <c r="BP13" i="5" s="1"/>
  <c r="BQ13" i="5" s="1"/>
  <c r="BP14" i="5" s="1"/>
  <c r="BQ14" i="5" s="1"/>
  <c r="BP15" i="5" s="1"/>
  <c r="BQ15" i="5" s="1"/>
  <c r="BP16" i="5" s="1"/>
  <c r="BQ16" i="5" s="1"/>
  <c r="BP17" i="5" s="1"/>
  <c r="BQ17" i="5" s="1"/>
  <c r="BP18" i="5" s="1"/>
  <c r="BQ18" i="5" s="1"/>
  <c r="BP19" i="5" s="1"/>
  <c r="BQ19" i="5" s="1"/>
  <c r="BP20" i="5" s="1"/>
  <c r="BQ20" i="5" s="1"/>
  <c r="BP21" i="5" s="1"/>
  <c r="BQ21" i="5" s="1"/>
  <c r="BP22" i="5" s="1"/>
  <c r="BQ22" i="5" s="1"/>
  <c r="BP23" i="5" s="1"/>
  <c r="BQ23" i="5" s="1"/>
  <c r="BP24" i="5" s="1"/>
  <c r="BQ24" i="5" s="1"/>
  <c r="BP25" i="5" s="1"/>
  <c r="BQ25" i="5" s="1"/>
  <c r="BP26" i="5" s="1"/>
  <c r="BQ26" i="5" s="1"/>
  <c r="BP27" i="5" s="1"/>
  <c r="BQ27" i="5" s="1"/>
  <c r="BP28" i="5" s="1"/>
  <c r="BQ28" i="5" s="1"/>
  <c r="BP29" i="5" s="1"/>
  <c r="BQ29" i="5" s="1"/>
  <c r="BP30" i="5" s="1"/>
  <c r="BQ30" i="5" s="1"/>
  <c r="BP31" i="5" s="1"/>
  <c r="BQ31" i="5" s="1"/>
  <c r="BP32" i="5" s="1"/>
  <c r="BQ32" i="5" s="1"/>
  <c r="BP33" i="5" s="1"/>
  <c r="BQ33" i="5" s="1"/>
  <c r="BP34" i="5" s="1"/>
  <c r="BQ34" i="5" s="1"/>
  <c r="BP35" i="5" s="1"/>
  <c r="BQ35" i="5" s="1"/>
  <c r="BP36" i="5" s="1"/>
  <c r="BQ36" i="5" s="1"/>
  <c r="BP37" i="5" s="1"/>
  <c r="BQ37" i="5" s="1"/>
  <c r="BP38" i="5" s="1"/>
  <c r="BQ38" i="5" s="1"/>
  <c r="BP39" i="5" s="1"/>
  <c r="BQ39" i="5" s="1"/>
  <c r="BP40" i="5" s="1"/>
  <c r="BQ40" i="5" s="1"/>
  <c r="BP41" i="5" s="1"/>
  <c r="BQ41" i="5" s="1"/>
  <c r="BP42" i="5" s="1"/>
  <c r="BQ42" i="5" s="1"/>
  <c r="BP43" i="5" s="1"/>
  <c r="BQ43" i="5" s="1"/>
  <c r="BP44" i="5" s="1"/>
  <c r="BQ44" i="5" s="1"/>
  <c r="BP45" i="5" s="1"/>
  <c r="BQ45" i="5" s="1"/>
  <c r="BP46" i="5" s="1"/>
  <c r="BQ46" i="5" s="1"/>
  <c r="BP47" i="5" s="1"/>
  <c r="BQ47" i="5" s="1"/>
  <c r="BP48" i="5" s="1"/>
  <c r="BQ48" i="5" s="1"/>
  <c r="BP49" i="5" s="1"/>
  <c r="BQ49" i="5" s="1"/>
  <c r="BP50" i="5" s="1"/>
  <c r="BQ50" i="5" s="1"/>
  <c r="BP51" i="5" s="1"/>
  <c r="BQ51" i="5" s="1"/>
  <c r="BP52" i="5" s="1"/>
  <c r="BQ52" i="5" s="1"/>
  <c r="BP53" i="5" s="1"/>
  <c r="BQ53" i="5" s="1"/>
  <c r="BP54" i="5" s="1"/>
  <c r="BQ54" i="5" s="1"/>
  <c r="BP55" i="5" s="1"/>
  <c r="BQ55" i="5" s="1"/>
  <c r="BP56" i="5" s="1"/>
  <c r="BQ56" i="5" s="1"/>
  <c r="BP57" i="5" s="1"/>
  <c r="BQ57" i="5" s="1"/>
  <c r="BP58" i="5" s="1"/>
  <c r="BQ58" i="5" s="1"/>
  <c r="BP59" i="5" s="1"/>
  <c r="BQ59" i="5" s="1"/>
  <c r="BP60" i="5" s="1"/>
  <c r="BQ60" i="5" s="1"/>
  <c r="BP61" i="5" s="1"/>
  <c r="BQ61" i="5" s="1"/>
  <c r="BP62" i="5" s="1"/>
  <c r="BQ62" i="5" s="1"/>
  <c r="BP63" i="5" s="1"/>
  <c r="BQ63" i="5" s="1"/>
  <c r="BP64" i="5" s="1"/>
  <c r="BQ64" i="5" s="1"/>
  <c r="BP65" i="5" s="1"/>
  <c r="BQ65" i="5" s="1"/>
  <c r="BP66" i="5" s="1"/>
  <c r="BQ66" i="5" s="1"/>
  <c r="BP67" i="5" s="1"/>
  <c r="BQ67" i="5" s="1"/>
  <c r="BP68" i="5" s="1"/>
  <c r="BQ68" i="5" s="1"/>
  <c r="BP69" i="5" s="1"/>
  <c r="BQ69" i="5" s="1"/>
  <c r="BP70" i="5" s="1"/>
  <c r="BQ70" i="5" s="1"/>
  <c r="BP71" i="5" s="1"/>
  <c r="BQ71" i="5" s="1"/>
  <c r="BP72" i="5" s="1"/>
  <c r="BQ72" i="5" s="1"/>
  <c r="BP73" i="5" s="1"/>
  <c r="BQ73" i="5" s="1"/>
  <c r="BP74" i="5" s="1"/>
  <c r="BQ74" i="5" s="1"/>
  <c r="BP75" i="5" s="1"/>
  <c r="BQ75" i="5" s="1"/>
  <c r="BP76" i="5" s="1"/>
  <c r="BQ76" i="5" s="1"/>
  <c r="BP77" i="5" s="1"/>
  <c r="BQ77" i="5" s="1"/>
  <c r="BP78" i="5" s="1"/>
  <c r="BQ78" i="5" s="1"/>
  <c r="BP79" i="5" s="1"/>
  <c r="BQ79" i="5" s="1"/>
  <c r="BP80" i="5" s="1"/>
  <c r="BQ80" i="5" s="1"/>
  <c r="BP81" i="5" s="1"/>
  <c r="BQ81" i="5" s="1"/>
  <c r="BP82" i="5" s="1"/>
  <c r="BQ82" i="5" s="1"/>
  <c r="BP83" i="5" s="1"/>
  <c r="BQ83" i="5" s="1"/>
  <c r="BP84" i="5" s="1"/>
  <c r="BQ84" i="5" s="1"/>
  <c r="BP85" i="5" s="1"/>
  <c r="BQ85" i="5" s="1"/>
  <c r="BP86" i="5" s="1"/>
  <c r="BQ86" i="5" s="1"/>
  <c r="BP87" i="5" s="1"/>
  <c r="BQ87" i="5" s="1"/>
  <c r="BP88" i="5" s="1"/>
  <c r="BQ88" i="5" s="1"/>
  <c r="BP89" i="5" s="1"/>
  <c r="BQ89" i="5" s="1"/>
  <c r="BP90" i="5" s="1"/>
  <c r="BQ90" i="5" s="1"/>
  <c r="BP91" i="5" s="1"/>
  <c r="BQ91" i="5" s="1"/>
  <c r="BP92" i="5" s="1"/>
  <c r="BQ92" i="5" s="1"/>
  <c r="BP93" i="5" s="1"/>
  <c r="BQ93" i="5" s="1"/>
  <c r="BP94" i="5" s="1"/>
  <c r="BQ94" i="5" s="1"/>
  <c r="BP95" i="5" s="1"/>
  <c r="BQ95" i="5" s="1"/>
  <c r="BP96" i="5" s="1"/>
  <c r="BQ96" i="5" s="1"/>
  <c r="BP97" i="5" s="1"/>
  <c r="BQ97" i="5" s="1"/>
  <c r="BP98" i="5" s="1"/>
  <c r="BQ98" i="5" s="1"/>
  <c r="BP99" i="5" s="1"/>
  <c r="BQ99" i="5" s="1"/>
  <c r="BP100" i="5" s="1"/>
  <c r="BQ100" i="5" s="1"/>
  <c r="BP101" i="5" s="1"/>
  <c r="BQ101" i="5" s="1"/>
  <c r="BP102" i="5" s="1"/>
  <c r="BQ102" i="5" s="1"/>
  <c r="J26" i="10" l="1"/>
  <c r="N26" i="10" s="1"/>
  <c r="N16" i="10"/>
  <c r="Q29" i="4"/>
  <c r="J24" i="10" s="1"/>
  <c r="Q31" i="4"/>
  <c r="D71" i="4"/>
  <c r="CP29" i="7"/>
  <c r="CO30" i="7" s="1"/>
  <c r="CM28" i="7"/>
  <c r="CL29" i="7" s="1"/>
  <c r="CJ27" i="7"/>
  <c r="CI28" i="7" s="1"/>
  <c r="CG29" i="7"/>
  <c r="CF30" i="7" s="1"/>
  <c r="CC30" i="7"/>
  <c r="CD30" i="7" s="1"/>
  <c r="BX29" i="7"/>
  <c r="BW30" i="7" s="1"/>
  <c r="BT28" i="7"/>
  <c r="BU28" i="7" s="1"/>
  <c r="BR28" i="7"/>
  <c r="BQ29" i="7" s="1"/>
  <c r="BN30" i="7"/>
  <c r="BO30" i="7" s="1"/>
  <c r="BK30" i="7"/>
  <c r="BL30" i="7" s="1"/>
  <c r="BH29" i="7"/>
  <c r="BI29" i="7" s="1"/>
  <c r="BB30" i="7"/>
  <c r="BC30" i="7" s="1"/>
  <c r="AZ29" i="7"/>
  <c r="AY30" i="7" s="1"/>
  <c r="BF28" i="7"/>
  <c r="BE29" i="7" s="1"/>
  <c r="CR31" i="7"/>
  <c r="CS31" i="7" s="1"/>
  <c r="GN29" i="7"/>
  <c r="GM30" i="7" s="1"/>
  <c r="GK29" i="7"/>
  <c r="GJ30" i="7" s="1"/>
  <c r="GG29" i="7"/>
  <c r="GH29" i="7" s="1"/>
  <c r="GE30" i="7"/>
  <c r="GD31" i="7" s="1"/>
  <c r="GB30" i="7"/>
  <c r="GA31" i="7" s="1"/>
  <c r="FX30" i="7"/>
  <c r="FY30" i="7" s="1"/>
  <c r="FV31" i="7"/>
  <c r="FU32" i="7" s="1"/>
  <c r="FR30" i="7"/>
  <c r="FS30" i="7" s="1"/>
  <c r="FO29" i="7"/>
  <c r="FP29" i="7" s="1"/>
  <c r="FL29" i="7"/>
  <c r="FM29" i="7" s="1"/>
  <c r="FJ30" i="7"/>
  <c r="FI31" i="7" s="1"/>
  <c r="FF29" i="7"/>
  <c r="FG29" i="7" s="1"/>
  <c r="FD29" i="7"/>
  <c r="FC30" i="7" s="1"/>
  <c r="FA30" i="7"/>
  <c r="EZ31" i="7" s="1"/>
  <c r="EX29" i="7"/>
  <c r="EW30" i="7" s="1"/>
  <c r="EU30" i="7"/>
  <c r="ET31" i="7" s="1"/>
  <c r="ER28" i="7"/>
  <c r="EQ29" i="7" s="1"/>
  <c r="EO29" i="7"/>
  <c r="EN30" i="7" s="1"/>
  <c r="EL29" i="7"/>
  <c r="EK30" i="7" s="1"/>
  <c r="EI30" i="7"/>
  <c r="EH31" i="7" s="1"/>
  <c r="EF29" i="7"/>
  <c r="EE30" i="7" s="1"/>
  <c r="EC30" i="7"/>
  <c r="EB31" i="7" s="1"/>
  <c r="DY30" i="7"/>
  <c r="DZ30" i="7" s="1"/>
  <c r="DT30" i="7"/>
  <c r="DS31" i="7" s="1"/>
  <c r="DQ29" i="7"/>
  <c r="DP30" i="7" s="1"/>
  <c r="DN30" i="7"/>
  <c r="DM31" i="7" s="1"/>
  <c r="DH29" i="7"/>
  <c r="DG30" i="7" s="1"/>
  <c r="CX30" i="7"/>
  <c r="CY30" i="7" s="1"/>
  <c r="C31" i="7"/>
  <c r="D31" i="7" s="1"/>
  <c r="CA33" i="7"/>
  <c r="BZ34" i="7" s="1"/>
  <c r="O33" i="7"/>
  <c r="P33" i="7" s="1"/>
  <c r="E33" i="6"/>
  <c r="F33" i="6" s="1"/>
  <c r="B57" i="6"/>
  <c r="C57" i="6" s="1"/>
  <c r="B58" i="6" s="1"/>
  <c r="C58" i="6" s="1"/>
  <c r="BG3" i="5"/>
  <c r="BH3" i="5" s="1"/>
  <c r="BG4" i="5" s="1"/>
  <c r="BH4" i="5" s="1"/>
  <c r="BG5" i="5" s="1"/>
  <c r="BH5" i="5" s="1"/>
  <c r="BG6" i="5" s="1"/>
  <c r="BH6" i="5" s="1"/>
  <c r="BG7" i="5" s="1"/>
  <c r="BH7" i="5" s="1"/>
  <c r="BG8" i="5" s="1"/>
  <c r="BH8" i="5" s="1"/>
  <c r="BG9" i="5" s="1"/>
  <c r="BH9" i="5" s="1"/>
  <c r="BG10" i="5" s="1"/>
  <c r="BH10" i="5" s="1"/>
  <c r="BG11" i="5" s="1"/>
  <c r="BH11" i="5" s="1"/>
  <c r="BG12" i="5" s="1"/>
  <c r="BH12" i="5" s="1"/>
  <c r="BG13" i="5" s="1"/>
  <c r="BH13" i="5" s="1"/>
  <c r="BG14" i="5" s="1"/>
  <c r="BH14" i="5" s="1"/>
  <c r="BG15" i="5" s="1"/>
  <c r="BH15" i="5" s="1"/>
  <c r="BG16" i="5" s="1"/>
  <c r="BH16" i="5" s="1"/>
  <c r="BG17" i="5" s="1"/>
  <c r="BH17" i="5" s="1"/>
  <c r="BG18" i="5" s="1"/>
  <c r="BH18" i="5" s="1"/>
  <c r="BG19" i="5" s="1"/>
  <c r="BH19" i="5" s="1"/>
  <c r="BG20" i="5" s="1"/>
  <c r="BH20" i="5" s="1"/>
  <c r="BG21" i="5" s="1"/>
  <c r="BH21" i="5" s="1"/>
  <c r="BG22" i="5" s="1"/>
  <c r="BH22" i="5" s="1"/>
  <c r="BG23" i="5" s="1"/>
  <c r="BH23" i="5" s="1"/>
  <c r="BG24" i="5" s="1"/>
  <c r="BH24" i="5" s="1"/>
  <c r="BG25" i="5" s="1"/>
  <c r="BH25" i="5" s="1"/>
  <c r="BG26" i="5" s="1"/>
  <c r="BH26" i="5" s="1"/>
  <c r="BG27" i="5" s="1"/>
  <c r="BH27" i="5" s="1"/>
  <c r="BG28" i="5" s="1"/>
  <c r="BH28" i="5" s="1"/>
  <c r="BG29" i="5" s="1"/>
  <c r="BH29" i="5" s="1"/>
  <c r="BG30" i="5" s="1"/>
  <c r="BH30" i="5" s="1"/>
  <c r="BG31" i="5" s="1"/>
  <c r="BH31" i="5" s="1"/>
  <c r="BG32" i="5" s="1"/>
  <c r="BH32" i="5" s="1"/>
  <c r="BG33" i="5" s="1"/>
  <c r="BH33" i="5" s="1"/>
  <c r="BG34" i="5" s="1"/>
  <c r="BH34" i="5" s="1"/>
  <c r="BG35" i="5" s="1"/>
  <c r="BH35" i="5" s="1"/>
  <c r="BG36" i="5" s="1"/>
  <c r="BH36" i="5" s="1"/>
  <c r="BG37" i="5" s="1"/>
  <c r="BH37" i="5" s="1"/>
  <c r="BG38" i="5" s="1"/>
  <c r="BH38" i="5" s="1"/>
  <c r="BG39" i="5" s="1"/>
  <c r="BH39" i="5" s="1"/>
  <c r="BG40" i="5" s="1"/>
  <c r="BH40" i="5" s="1"/>
  <c r="BG41" i="5" s="1"/>
  <c r="BH41" i="5" s="1"/>
  <c r="BG42" i="5" s="1"/>
  <c r="BH42" i="5" s="1"/>
  <c r="BG43" i="5" s="1"/>
  <c r="BH43" i="5" s="1"/>
  <c r="BG44" i="5" s="1"/>
  <c r="BH44" i="5" s="1"/>
  <c r="BG45" i="5" s="1"/>
  <c r="BH45" i="5" s="1"/>
  <c r="BG46" i="5" s="1"/>
  <c r="BH46" i="5" s="1"/>
  <c r="BG47" i="5" s="1"/>
  <c r="BH47" i="5" s="1"/>
  <c r="BG48" i="5" s="1"/>
  <c r="BH48" i="5" s="1"/>
  <c r="BG49" i="5" s="1"/>
  <c r="BH49" i="5" s="1"/>
  <c r="BG50" i="5" s="1"/>
  <c r="BH50" i="5" s="1"/>
  <c r="BG51" i="5" s="1"/>
  <c r="BH51" i="5" s="1"/>
  <c r="BG52" i="5" s="1"/>
  <c r="BH52" i="5" s="1"/>
  <c r="BG53" i="5" s="1"/>
  <c r="BH53" i="5" s="1"/>
  <c r="BG54" i="5" s="1"/>
  <c r="BH54" i="5" s="1"/>
  <c r="BG55" i="5" s="1"/>
  <c r="BH55" i="5" s="1"/>
  <c r="BG56" i="5" s="1"/>
  <c r="BH56" i="5" s="1"/>
  <c r="BG57" i="5" s="1"/>
  <c r="BH57" i="5" s="1"/>
  <c r="BG58" i="5" s="1"/>
  <c r="BH58" i="5" s="1"/>
  <c r="BG59" i="5" s="1"/>
  <c r="BH59" i="5" s="1"/>
  <c r="BG60" i="5" s="1"/>
  <c r="BH60" i="5" s="1"/>
  <c r="BG61" i="5" s="1"/>
  <c r="BH61" i="5" s="1"/>
  <c r="BG62" i="5" s="1"/>
  <c r="BH62" i="5" s="1"/>
  <c r="BG63" i="5" s="1"/>
  <c r="BH63" i="5" s="1"/>
  <c r="BG64" i="5" s="1"/>
  <c r="BH64" i="5" s="1"/>
  <c r="BG65" i="5" s="1"/>
  <c r="BH65" i="5" s="1"/>
  <c r="BG66" i="5" s="1"/>
  <c r="BH66" i="5" s="1"/>
  <c r="BG67" i="5" s="1"/>
  <c r="BH67" i="5" s="1"/>
  <c r="BG68" i="5" s="1"/>
  <c r="BH68" i="5" s="1"/>
  <c r="BG69" i="5" s="1"/>
  <c r="BH69" i="5" s="1"/>
  <c r="BG70" i="5" s="1"/>
  <c r="BH70" i="5" s="1"/>
  <c r="BG71" i="5" s="1"/>
  <c r="BH71" i="5" s="1"/>
  <c r="BG72" i="5" s="1"/>
  <c r="BH72" i="5" s="1"/>
  <c r="BG73" i="5" s="1"/>
  <c r="BH73" i="5" s="1"/>
  <c r="BG74" i="5" s="1"/>
  <c r="BH74" i="5" s="1"/>
  <c r="BG75" i="5" s="1"/>
  <c r="BH75" i="5" s="1"/>
  <c r="BG76" i="5" s="1"/>
  <c r="BH76" i="5" s="1"/>
  <c r="BG77" i="5" s="1"/>
  <c r="BH77" i="5" s="1"/>
  <c r="BG78" i="5" s="1"/>
  <c r="BH78" i="5" s="1"/>
  <c r="BG79" i="5" s="1"/>
  <c r="BH79" i="5" s="1"/>
  <c r="BG80" i="5" s="1"/>
  <c r="BH80" i="5" s="1"/>
  <c r="BG81" i="5" s="1"/>
  <c r="BH81" i="5" s="1"/>
  <c r="BG82" i="5" s="1"/>
  <c r="BH82" i="5" s="1"/>
  <c r="BG83" i="5" s="1"/>
  <c r="BH83" i="5" s="1"/>
  <c r="BG84" i="5" s="1"/>
  <c r="BH84" i="5" s="1"/>
  <c r="BG85" i="5" s="1"/>
  <c r="BH85" i="5" s="1"/>
  <c r="BG86" i="5" s="1"/>
  <c r="BH86" i="5" s="1"/>
  <c r="BG87" i="5" s="1"/>
  <c r="BH87" i="5" s="1"/>
  <c r="BG88" i="5" s="1"/>
  <c r="BH88" i="5" s="1"/>
  <c r="BG89" i="5" s="1"/>
  <c r="BH89" i="5" s="1"/>
  <c r="BG90" i="5" s="1"/>
  <c r="BH90" i="5" s="1"/>
  <c r="BG91" i="5" s="1"/>
  <c r="BH91" i="5" s="1"/>
  <c r="BG92" i="5" s="1"/>
  <c r="BH92" i="5" s="1"/>
  <c r="BG93" i="5" s="1"/>
  <c r="BH93" i="5" s="1"/>
  <c r="BG94" i="5" s="1"/>
  <c r="BH94" i="5" s="1"/>
  <c r="BG95" i="5" s="1"/>
  <c r="BH95" i="5" s="1"/>
  <c r="BG96" i="5" s="1"/>
  <c r="BH96" i="5" s="1"/>
  <c r="BG97" i="5" s="1"/>
  <c r="BH97" i="5" s="1"/>
  <c r="BG98" i="5" s="1"/>
  <c r="BH98" i="5" s="1"/>
  <c r="BG99" i="5" s="1"/>
  <c r="BH99" i="5" s="1"/>
  <c r="BG100" i="5" s="1"/>
  <c r="BH100" i="5" s="1"/>
  <c r="BG101" i="5" s="1"/>
  <c r="BH101" i="5" s="1"/>
  <c r="BG102" i="5" s="1"/>
  <c r="BH102" i="5" s="1"/>
  <c r="AR3" i="5"/>
  <c r="AS3" i="5" s="1"/>
  <c r="AR4" i="5" s="1"/>
  <c r="AS4" i="5" s="1"/>
  <c r="AR5" i="5" s="1"/>
  <c r="AS5" i="5" s="1"/>
  <c r="AR6" i="5" s="1"/>
  <c r="AS6" i="5" s="1"/>
  <c r="AR7" i="5" s="1"/>
  <c r="AS7" i="5" s="1"/>
  <c r="AR8" i="5" s="1"/>
  <c r="AS8" i="5" s="1"/>
  <c r="AR9" i="5" s="1"/>
  <c r="AS9" i="5" s="1"/>
  <c r="AR10" i="5" s="1"/>
  <c r="AS10" i="5" s="1"/>
  <c r="AR11" i="5" s="1"/>
  <c r="AS11" i="5" s="1"/>
  <c r="AR12" i="5" s="1"/>
  <c r="AS12" i="5" s="1"/>
  <c r="AR13" i="5" s="1"/>
  <c r="AS13" i="5" s="1"/>
  <c r="AR14" i="5" s="1"/>
  <c r="AS14" i="5" s="1"/>
  <c r="AR15" i="5" s="1"/>
  <c r="AS15" i="5" s="1"/>
  <c r="AR16" i="5" s="1"/>
  <c r="AS16" i="5" s="1"/>
  <c r="AR17" i="5" s="1"/>
  <c r="AS17" i="5" s="1"/>
  <c r="AR18" i="5" s="1"/>
  <c r="AS18" i="5" s="1"/>
  <c r="AR19" i="5" s="1"/>
  <c r="AS19" i="5" s="1"/>
  <c r="AR20" i="5" s="1"/>
  <c r="AS20" i="5" s="1"/>
  <c r="AR21" i="5" s="1"/>
  <c r="AS21" i="5" s="1"/>
  <c r="AR22" i="5" s="1"/>
  <c r="AS22" i="5" s="1"/>
  <c r="AR23" i="5" s="1"/>
  <c r="AS23" i="5" s="1"/>
  <c r="AR24" i="5" s="1"/>
  <c r="AS24" i="5" s="1"/>
  <c r="AR25" i="5" s="1"/>
  <c r="AS25" i="5" s="1"/>
  <c r="AR26" i="5" s="1"/>
  <c r="AS26" i="5" s="1"/>
  <c r="AR27" i="5" s="1"/>
  <c r="AS27" i="5" s="1"/>
  <c r="AR28" i="5" s="1"/>
  <c r="AS28" i="5" s="1"/>
  <c r="AR29" i="5" s="1"/>
  <c r="AS29" i="5" s="1"/>
  <c r="AR30" i="5" s="1"/>
  <c r="AS30" i="5" s="1"/>
  <c r="AR31" i="5" s="1"/>
  <c r="AS31" i="5" s="1"/>
  <c r="AR32" i="5" s="1"/>
  <c r="AS32" i="5" s="1"/>
  <c r="AR33" i="5" s="1"/>
  <c r="AS33" i="5" s="1"/>
  <c r="AR34" i="5" s="1"/>
  <c r="AS34" i="5" s="1"/>
  <c r="AR35" i="5" s="1"/>
  <c r="AS35" i="5" s="1"/>
  <c r="AR36" i="5" s="1"/>
  <c r="AS36" i="5" s="1"/>
  <c r="AR37" i="5" s="1"/>
  <c r="AS37" i="5" s="1"/>
  <c r="AR38" i="5" s="1"/>
  <c r="AS38" i="5" s="1"/>
  <c r="AR39" i="5" s="1"/>
  <c r="AS39" i="5" s="1"/>
  <c r="AR40" i="5" s="1"/>
  <c r="AS40" i="5" s="1"/>
  <c r="AR41" i="5" s="1"/>
  <c r="AS41" i="5" s="1"/>
  <c r="AR42" i="5" s="1"/>
  <c r="AS42" i="5" s="1"/>
  <c r="AR43" i="5" s="1"/>
  <c r="AS43" i="5" s="1"/>
  <c r="AR44" i="5" s="1"/>
  <c r="AS44" i="5" s="1"/>
  <c r="AR45" i="5" s="1"/>
  <c r="AS45" i="5" s="1"/>
  <c r="AR46" i="5" s="1"/>
  <c r="AS46" i="5" s="1"/>
  <c r="AR47" i="5" s="1"/>
  <c r="AS47" i="5" s="1"/>
  <c r="AR48" i="5" s="1"/>
  <c r="AS48" i="5" s="1"/>
  <c r="AR49" i="5" s="1"/>
  <c r="AS49" i="5" s="1"/>
  <c r="AR50" i="5" s="1"/>
  <c r="AS50" i="5" s="1"/>
  <c r="AR51" i="5" s="1"/>
  <c r="AS51" i="5" s="1"/>
  <c r="AR52" i="5" s="1"/>
  <c r="AS52" i="5" s="1"/>
  <c r="AR53" i="5" s="1"/>
  <c r="AS53" i="5" s="1"/>
  <c r="AR54" i="5" s="1"/>
  <c r="AS54" i="5" s="1"/>
  <c r="AR55" i="5" s="1"/>
  <c r="AS55" i="5" s="1"/>
  <c r="AR56" i="5" s="1"/>
  <c r="AS56" i="5" s="1"/>
  <c r="AR57" i="5" s="1"/>
  <c r="AS57" i="5" s="1"/>
  <c r="AR58" i="5" s="1"/>
  <c r="AS58" i="5" s="1"/>
  <c r="AR59" i="5" s="1"/>
  <c r="AS59" i="5" s="1"/>
  <c r="AR60" i="5" s="1"/>
  <c r="AS60" i="5" s="1"/>
  <c r="AR61" i="5" s="1"/>
  <c r="AS61" i="5" s="1"/>
  <c r="AR62" i="5" s="1"/>
  <c r="AS62" i="5" s="1"/>
  <c r="AR63" i="5" s="1"/>
  <c r="AS63" i="5" s="1"/>
  <c r="AR64" i="5" s="1"/>
  <c r="AS64" i="5" s="1"/>
  <c r="AR65" i="5" s="1"/>
  <c r="AS65" i="5" s="1"/>
  <c r="AR66" i="5" s="1"/>
  <c r="AS66" i="5" s="1"/>
  <c r="AR67" i="5" s="1"/>
  <c r="AS67" i="5" s="1"/>
  <c r="AR68" i="5" s="1"/>
  <c r="AS68" i="5" s="1"/>
  <c r="AR69" i="5" s="1"/>
  <c r="AS69" i="5" s="1"/>
  <c r="AR70" i="5" s="1"/>
  <c r="AS70" i="5" s="1"/>
  <c r="AR71" i="5" s="1"/>
  <c r="AS71" i="5" s="1"/>
  <c r="AR72" i="5" s="1"/>
  <c r="AS72" i="5" s="1"/>
  <c r="AR73" i="5" s="1"/>
  <c r="AS73" i="5" s="1"/>
  <c r="AR74" i="5" s="1"/>
  <c r="AS74" i="5" s="1"/>
  <c r="AR75" i="5" s="1"/>
  <c r="AS75" i="5" s="1"/>
  <c r="AR76" i="5" s="1"/>
  <c r="AS76" i="5" s="1"/>
  <c r="AR77" i="5" s="1"/>
  <c r="AS77" i="5" s="1"/>
  <c r="AR78" i="5" s="1"/>
  <c r="AS78" i="5" s="1"/>
  <c r="AR79" i="5" s="1"/>
  <c r="AS79" i="5" s="1"/>
  <c r="AR80" i="5" s="1"/>
  <c r="AS80" i="5" s="1"/>
  <c r="AR81" i="5" s="1"/>
  <c r="AS81" i="5" s="1"/>
  <c r="AR82" i="5" s="1"/>
  <c r="AS82" i="5" s="1"/>
  <c r="AR83" i="5" s="1"/>
  <c r="AS83" i="5" s="1"/>
  <c r="AR84" i="5" s="1"/>
  <c r="AS84" i="5" s="1"/>
  <c r="AR85" i="5" s="1"/>
  <c r="AS85" i="5" s="1"/>
  <c r="AR86" i="5" s="1"/>
  <c r="AS86" i="5" s="1"/>
  <c r="AR87" i="5" s="1"/>
  <c r="AS87" i="5" s="1"/>
  <c r="AR88" i="5" s="1"/>
  <c r="AS88" i="5" s="1"/>
  <c r="AR89" i="5" s="1"/>
  <c r="AS89" i="5" s="1"/>
  <c r="AR90" i="5" s="1"/>
  <c r="AS90" i="5" s="1"/>
  <c r="AR91" i="5" s="1"/>
  <c r="AS91" i="5" s="1"/>
  <c r="AR92" i="5" s="1"/>
  <c r="AS92" i="5" s="1"/>
  <c r="AR93" i="5" s="1"/>
  <c r="AS93" i="5" s="1"/>
  <c r="AR94" i="5" s="1"/>
  <c r="AS94" i="5" s="1"/>
  <c r="AR95" i="5" s="1"/>
  <c r="AS95" i="5" s="1"/>
  <c r="AR96" i="5" s="1"/>
  <c r="AS96" i="5" s="1"/>
  <c r="AR97" i="5" s="1"/>
  <c r="AS97" i="5" s="1"/>
  <c r="AR98" i="5" s="1"/>
  <c r="AS98" i="5" s="1"/>
  <c r="AR99" i="5" s="1"/>
  <c r="AS99" i="5" s="1"/>
  <c r="AR100" i="5" s="1"/>
  <c r="AS100" i="5" s="1"/>
  <c r="AR101" i="5" s="1"/>
  <c r="AS101" i="5" s="1"/>
  <c r="AR102" i="5" s="1"/>
  <c r="AS102" i="5" s="1"/>
  <c r="E3" i="5"/>
  <c r="F3" i="5" s="1"/>
  <c r="E4" i="5" s="1"/>
  <c r="F4" i="5" s="1"/>
  <c r="E5" i="5" s="1"/>
  <c r="F5" i="5" s="1"/>
  <c r="E6" i="5" s="1"/>
  <c r="F6" i="5" s="1"/>
  <c r="E7" i="5" s="1"/>
  <c r="F7" i="5" s="1"/>
  <c r="E8" i="5" s="1"/>
  <c r="F8" i="5" s="1"/>
  <c r="E9" i="5" s="1"/>
  <c r="F9" i="5" s="1"/>
  <c r="E10" i="5" s="1"/>
  <c r="F10" i="5" s="1"/>
  <c r="E11" i="5" s="1"/>
  <c r="F11" i="5" s="1"/>
  <c r="E12" i="5" s="1"/>
  <c r="F12" i="5" s="1"/>
  <c r="E13" i="5" s="1"/>
  <c r="F13" i="5" s="1"/>
  <c r="E14" i="5" s="1"/>
  <c r="F14" i="5" s="1"/>
  <c r="E15" i="5" s="1"/>
  <c r="F15" i="5" s="1"/>
  <c r="E16" i="5" s="1"/>
  <c r="F16" i="5" s="1"/>
  <c r="E17" i="5" s="1"/>
  <c r="F17" i="5" s="1"/>
  <c r="E18" i="5" s="1"/>
  <c r="F18" i="5" s="1"/>
  <c r="E19" i="5" s="1"/>
  <c r="F19" i="5" s="1"/>
  <c r="E20" i="5" s="1"/>
  <c r="F20" i="5" s="1"/>
  <c r="E21" i="5" s="1"/>
  <c r="F21" i="5" s="1"/>
  <c r="E22" i="5" s="1"/>
  <c r="F22" i="5" s="1"/>
  <c r="E23" i="5" s="1"/>
  <c r="F23" i="5" s="1"/>
  <c r="E24" i="5" s="1"/>
  <c r="F24" i="5" s="1"/>
  <c r="E25" i="5" s="1"/>
  <c r="F25" i="5" s="1"/>
  <c r="E26" i="5" s="1"/>
  <c r="F26" i="5" s="1"/>
  <c r="E27" i="5" s="1"/>
  <c r="F27" i="5" s="1"/>
  <c r="E28" i="5" s="1"/>
  <c r="F28" i="5" s="1"/>
  <c r="E29" i="5" s="1"/>
  <c r="F29" i="5" s="1"/>
  <c r="E30" i="5" s="1"/>
  <c r="F30" i="5" s="1"/>
  <c r="E31" i="5" s="1"/>
  <c r="F31" i="5" s="1"/>
  <c r="E32" i="5" s="1"/>
  <c r="F32" i="5" s="1"/>
  <c r="E33" i="5" s="1"/>
  <c r="F33" i="5" s="1"/>
  <c r="E34" i="5" s="1"/>
  <c r="F34" i="5" s="1"/>
  <c r="E35" i="5" s="1"/>
  <c r="F35" i="5" s="1"/>
  <c r="E36" i="5" s="1"/>
  <c r="F36" i="5" s="1"/>
  <c r="E37" i="5" s="1"/>
  <c r="F37" i="5" s="1"/>
  <c r="E38" i="5" s="1"/>
  <c r="F38" i="5" s="1"/>
  <c r="E39" i="5" s="1"/>
  <c r="F39" i="5" s="1"/>
  <c r="E40" i="5" s="1"/>
  <c r="F40" i="5" s="1"/>
  <c r="E41" i="5" s="1"/>
  <c r="F41" i="5" s="1"/>
  <c r="E42" i="5" s="1"/>
  <c r="F42" i="5" s="1"/>
  <c r="E43" i="5" s="1"/>
  <c r="F43" i="5" s="1"/>
  <c r="E44" i="5" s="1"/>
  <c r="F44" i="5" s="1"/>
  <c r="E45" i="5" s="1"/>
  <c r="F45" i="5" s="1"/>
  <c r="E46" i="5" s="1"/>
  <c r="F46" i="5" s="1"/>
  <c r="E47" i="5" s="1"/>
  <c r="F47" i="5" s="1"/>
  <c r="E48" i="5" s="1"/>
  <c r="F48" i="5" s="1"/>
  <c r="E49" i="5" s="1"/>
  <c r="F49" i="5" s="1"/>
  <c r="E50" i="5" s="1"/>
  <c r="F50" i="5" s="1"/>
  <c r="E51" i="5" s="1"/>
  <c r="F51" i="5" s="1"/>
  <c r="E52" i="5" s="1"/>
  <c r="F52" i="5" s="1"/>
  <c r="E53" i="5" s="1"/>
  <c r="F53" i="5" s="1"/>
  <c r="E54" i="5" s="1"/>
  <c r="F54" i="5" s="1"/>
  <c r="E55" i="5" s="1"/>
  <c r="F55" i="5" s="1"/>
  <c r="E56" i="5" s="1"/>
  <c r="F56" i="5" s="1"/>
  <c r="E57" i="5" s="1"/>
  <c r="F57" i="5" s="1"/>
  <c r="E58" i="5" s="1"/>
  <c r="F58" i="5" s="1"/>
  <c r="E59" i="5" s="1"/>
  <c r="F59" i="5" s="1"/>
  <c r="E60" i="5" s="1"/>
  <c r="F60" i="5" s="1"/>
  <c r="E61" i="5" s="1"/>
  <c r="F61" i="5" s="1"/>
  <c r="E62" i="5" s="1"/>
  <c r="F62" i="5" s="1"/>
  <c r="E63" i="5" s="1"/>
  <c r="F63" i="5" s="1"/>
  <c r="E64" i="5" s="1"/>
  <c r="F64" i="5" s="1"/>
  <c r="E65" i="5" s="1"/>
  <c r="F65" i="5" s="1"/>
  <c r="E66" i="5" s="1"/>
  <c r="F66" i="5" s="1"/>
  <c r="E67" i="5" s="1"/>
  <c r="F67" i="5" s="1"/>
  <c r="E68" i="5" s="1"/>
  <c r="F68" i="5" s="1"/>
  <c r="E69" i="5" s="1"/>
  <c r="F69" i="5" s="1"/>
  <c r="E70" i="5" s="1"/>
  <c r="F70" i="5" s="1"/>
  <c r="E71" i="5" s="1"/>
  <c r="F71" i="5" s="1"/>
  <c r="E72" i="5" s="1"/>
  <c r="F72" i="5" s="1"/>
  <c r="E73" i="5" s="1"/>
  <c r="F73" i="5" s="1"/>
  <c r="E74" i="5" s="1"/>
  <c r="F74" i="5" s="1"/>
  <c r="E75" i="5" s="1"/>
  <c r="F75" i="5" s="1"/>
  <c r="E76" i="5" s="1"/>
  <c r="F76" i="5" s="1"/>
  <c r="E77" i="5" s="1"/>
  <c r="F77" i="5" s="1"/>
  <c r="E78" i="5" s="1"/>
  <c r="F78" i="5" s="1"/>
  <c r="E79" i="5" s="1"/>
  <c r="F79" i="5" s="1"/>
  <c r="E80" i="5" s="1"/>
  <c r="F80" i="5" s="1"/>
  <c r="E81" i="5" s="1"/>
  <c r="F81" i="5" s="1"/>
  <c r="E82" i="5" s="1"/>
  <c r="F82" i="5" s="1"/>
  <c r="E83" i="5" s="1"/>
  <c r="F83" i="5" s="1"/>
  <c r="E84" i="5" s="1"/>
  <c r="F84" i="5" s="1"/>
  <c r="E85" i="5" s="1"/>
  <c r="F85" i="5" s="1"/>
  <c r="E86" i="5" s="1"/>
  <c r="F86" i="5" s="1"/>
  <c r="E87" i="5" s="1"/>
  <c r="F87" i="5" s="1"/>
  <c r="E88" i="5" s="1"/>
  <c r="F88" i="5" s="1"/>
  <c r="E89" i="5" s="1"/>
  <c r="F89" i="5" s="1"/>
  <c r="E90" i="5" s="1"/>
  <c r="F90" i="5" s="1"/>
  <c r="E91" i="5" s="1"/>
  <c r="F91" i="5" s="1"/>
  <c r="E92" i="5" s="1"/>
  <c r="F92" i="5" s="1"/>
  <c r="E93" i="5" s="1"/>
  <c r="F93" i="5" s="1"/>
  <c r="E94" i="5" s="1"/>
  <c r="F94" i="5" s="1"/>
  <c r="E95" i="5" s="1"/>
  <c r="F95" i="5" s="1"/>
  <c r="E96" i="5" s="1"/>
  <c r="F96" i="5" s="1"/>
  <c r="E97" i="5" s="1"/>
  <c r="F97" i="5" s="1"/>
  <c r="E98" i="5" s="1"/>
  <c r="F98" i="5" s="1"/>
  <c r="E99" i="5" s="1"/>
  <c r="F99" i="5" s="1"/>
  <c r="E100" i="5" s="1"/>
  <c r="F100" i="5" s="1"/>
  <c r="E101" i="5" s="1"/>
  <c r="F101" i="5" s="1"/>
  <c r="E102" i="5" s="1"/>
  <c r="F102" i="5" s="1"/>
  <c r="K3" i="5"/>
  <c r="L3" i="5" s="1"/>
  <c r="K4" i="5" s="1"/>
  <c r="L4" i="5" s="1"/>
  <c r="K5" i="5" s="1"/>
  <c r="L5" i="5" s="1"/>
  <c r="K6" i="5" s="1"/>
  <c r="L6" i="5" s="1"/>
  <c r="K7" i="5" s="1"/>
  <c r="L7" i="5" s="1"/>
  <c r="K8" i="5" s="1"/>
  <c r="L8" i="5" s="1"/>
  <c r="K9" i="5" s="1"/>
  <c r="L9" i="5" s="1"/>
  <c r="K10" i="5" s="1"/>
  <c r="L10" i="5" s="1"/>
  <c r="K11" i="5" s="1"/>
  <c r="L11" i="5" s="1"/>
  <c r="K12" i="5" s="1"/>
  <c r="L12" i="5" s="1"/>
  <c r="K13" i="5" s="1"/>
  <c r="L13" i="5" s="1"/>
  <c r="K14" i="5" s="1"/>
  <c r="L14" i="5" s="1"/>
  <c r="K15" i="5" s="1"/>
  <c r="L15" i="5" s="1"/>
  <c r="K16" i="5" s="1"/>
  <c r="L16" i="5" s="1"/>
  <c r="K17" i="5" s="1"/>
  <c r="L17" i="5" s="1"/>
  <c r="K18" i="5" s="1"/>
  <c r="L18" i="5" s="1"/>
  <c r="K19" i="5" s="1"/>
  <c r="L19" i="5" s="1"/>
  <c r="K20" i="5" s="1"/>
  <c r="L20" i="5" s="1"/>
  <c r="K21" i="5" s="1"/>
  <c r="L21" i="5" s="1"/>
  <c r="K22" i="5" s="1"/>
  <c r="L22" i="5" s="1"/>
  <c r="K23" i="5" s="1"/>
  <c r="L23" i="5" s="1"/>
  <c r="K24" i="5" s="1"/>
  <c r="L24" i="5" s="1"/>
  <c r="K25" i="5" s="1"/>
  <c r="L25" i="5" s="1"/>
  <c r="K26" i="5" s="1"/>
  <c r="L26" i="5" s="1"/>
  <c r="K27" i="5" s="1"/>
  <c r="L27" i="5" s="1"/>
  <c r="K28" i="5" s="1"/>
  <c r="L28" i="5" s="1"/>
  <c r="K29" i="5" s="1"/>
  <c r="L29" i="5" s="1"/>
  <c r="K30" i="5" s="1"/>
  <c r="L30" i="5" s="1"/>
  <c r="K31" i="5" s="1"/>
  <c r="L31" i="5" s="1"/>
  <c r="K32" i="5" s="1"/>
  <c r="L32" i="5" s="1"/>
  <c r="K33" i="5" s="1"/>
  <c r="L33" i="5" s="1"/>
  <c r="K34" i="5" s="1"/>
  <c r="L34" i="5" s="1"/>
  <c r="K35" i="5" s="1"/>
  <c r="L35" i="5" s="1"/>
  <c r="K36" i="5" s="1"/>
  <c r="L36" i="5" s="1"/>
  <c r="K37" i="5" s="1"/>
  <c r="L37" i="5" s="1"/>
  <c r="K38" i="5" s="1"/>
  <c r="L38" i="5" s="1"/>
  <c r="K39" i="5" s="1"/>
  <c r="L39" i="5" s="1"/>
  <c r="K40" i="5" s="1"/>
  <c r="L40" i="5" s="1"/>
  <c r="K41" i="5" s="1"/>
  <c r="L41" i="5" s="1"/>
  <c r="K42" i="5" s="1"/>
  <c r="L42" i="5" s="1"/>
  <c r="K43" i="5" s="1"/>
  <c r="L43" i="5" s="1"/>
  <c r="K44" i="5" s="1"/>
  <c r="L44" i="5" s="1"/>
  <c r="K45" i="5" s="1"/>
  <c r="L45" i="5" s="1"/>
  <c r="K46" i="5" s="1"/>
  <c r="L46" i="5" s="1"/>
  <c r="K47" i="5" s="1"/>
  <c r="L47" i="5" s="1"/>
  <c r="K48" i="5" s="1"/>
  <c r="L48" i="5" s="1"/>
  <c r="K49" i="5" s="1"/>
  <c r="L49" i="5" s="1"/>
  <c r="K50" i="5" s="1"/>
  <c r="L50" i="5" s="1"/>
  <c r="K51" i="5" s="1"/>
  <c r="L51" i="5" s="1"/>
  <c r="K52" i="5" s="1"/>
  <c r="L52" i="5" s="1"/>
  <c r="K53" i="5" s="1"/>
  <c r="L53" i="5" s="1"/>
  <c r="K54" i="5" s="1"/>
  <c r="L54" i="5" s="1"/>
  <c r="K55" i="5" s="1"/>
  <c r="L55" i="5" s="1"/>
  <c r="K56" i="5" s="1"/>
  <c r="L56" i="5" s="1"/>
  <c r="K57" i="5" s="1"/>
  <c r="L57" i="5" s="1"/>
  <c r="K58" i="5" s="1"/>
  <c r="L58" i="5" s="1"/>
  <c r="K59" i="5" s="1"/>
  <c r="L59" i="5" s="1"/>
  <c r="K60" i="5" s="1"/>
  <c r="L60" i="5" s="1"/>
  <c r="K61" i="5" s="1"/>
  <c r="L61" i="5" s="1"/>
  <c r="K62" i="5" s="1"/>
  <c r="L62" i="5" s="1"/>
  <c r="K63" i="5" s="1"/>
  <c r="L63" i="5" s="1"/>
  <c r="K64" i="5" s="1"/>
  <c r="L64" i="5" s="1"/>
  <c r="K65" i="5" s="1"/>
  <c r="L65" i="5" s="1"/>
  <c r="K66" i="5" s="1"/>
  <c r="L66" i="5" s="1"/>
  <c r="K67" i="5" s="1"/>
  <c r="L67" i="5" s="1"/>
  <c r="K68" i="5" s="1"/>
  <c r="L68" i="5" s="1"/>
  <c r="K69" i="5" s="1"/>
  <c r="L69" i="5" s="1"/>
  <c r="K70" i="5" s="1"/>
  <c r="L70" i="5" s="1"/>
  <c r="K71" i="5" s="1"/>
  <c r="L71" i="5" s="1"/>
  <c r="K72" i="5" s="1"/>
  <c r="L72" i="5" s="1"/>
  <c r="K73" i="5" s="1"/>
  <c r="L73" i="5" s="1"/>
  <c r="K74" i="5" s="1"/>
  <c r="L74" i="5" s="1"/>
  <c r="K75" i="5" s="1"/>
  <c r="L75" i="5" s="1"/>
  <c r="K76" i="5" s="1"/>
  <c r="L76" i="5" s="1"/>
  <c r="K77" i="5" s="1"/>
  <c r="L77" i="5" s="1"/>
  <c r="K78" i="5" s="1"/>
  <c r="L78" i="5" s="1"/>
  <c r="K79" i="5" s="1"/>
  <c r="L79" i="5" s="1"/>
  <c r="K80" i="5" s="1"/>
  <c r="L80" i="5" s="1"/>
  <c r="K81" i="5" s="1"/>
  <c r="L81" i="5" s="1"/>
  <c r="K82" i="5" s="1"/>
  <c r="L82" i="5" s="1"/>
  <c r="K83" i="5" s="1"/>
  <c r="L83" i="5" s="1"/>
  <c r="K84" i="5" s="1"/>
  <c r="L84" i="5" s="1"/>
  <c r="K85" i="5" s="1"/>
  <c r="L85" i="5" s="1"/>
  <c r="K86" i="5" s="1"/>
  <c r="L86" i="5" s="1"/>
  <c r="K87" i="5" s="1"/>
  <c r="L87" i="5" s="1"/>
  <c r="K88" i="5" s="1"/>
  <c r="L88" i="5" s="1"/>
  <c r="K89" i="5" s="1"/>
  <c r="L89" i="5" s="1"/>
  <c r="K90" i="5" s="1"/>
  <c r="L90" i="5" s="1"/>
  <c r="K91" i="5" s="1"/>
  <c r="L91" i="5" s="1"/>
  <c r="K92" i="5" s="1"/>
  <c r="L92" i="5" s="1"/>
  <c r="K93" i="5" s="1"/>
  <c r="L93" i="5" s="1"/>
  <c r="K94" i="5" s="1"/>
  <c r="L94" i="5" s="1"/>
  <c r="K95" i="5" s="1"/>
  <c r="L95" i="5" s="1"/>
  <c r="K96" i="5" s="1"/>
  <c r="L96" i="5" s="1"/>
  <c r="K97" i="5" s="1"/>
  <c r="L97" i="5" s="1"/>
  <c r="K98" i="5" s="1"/>
  <c r="L98" i="5" s="1"/>
  <c r="K99" i="5" s="1"/>
  <c r="L99" i="5" s="1"/>
  <c r="K100" i="5" s="1"/>
  <c r="L100" i="5" s="1"/>
  <c r="K101" i="5" s="1"/>
  <c r="L101" i="5" s="1"/>
  <c r="K102" i="5" s="1"/>
  <c r="L102" i="5" s="1"/>
  <c r="T3" i="5"/>
  <c r="U3" i="5" s="1"/>
  <c r="T4" i="5" s="1"/>
  <c r="U4" i="5" s="1"/>
  <c r="T5" i="5" s="1"/>
  <c r="U5" i="5" s="1"/>
  <c r="T6" i="5" s="1"/>
  <c r="U6" i="5" s="1"/>
  <c r="T7" i="5" s="1"/>
  <c r="U7" i="5" s="1"/>
  <c r="T8" i="5" s="1"/>
  <c r="U8" i="5" s="1"/>
  <c r="T9" i="5" s="1"/>
  <c r="U9" i="5" s="1"/>
  <c r="T10" i="5" s="1"/>
  <c r="U10" i="5" s="1"/>
  <c r="T11" i="5" s="1"/>
  <c r="U11" i="5" s="1"/>
  <c r="T12" i="5" s="1"/>
  <c r="U12" i="5" s="1"/>
  <c r="T13" i="5" s="1"/>
  <c r="U13" i="5" s="1"/>
  <c r="T14" i="5" s="1"/>
  <c r="U14" i="5" s="1"/>
  <c r="T15" i="5" s="1"/>
  <c r="U15" i="5" s="1"/>
  <c r="T16" i="5" s="1"/>
  <c r="U16" i="5" s="1"/>
  <c r="T17" i="5" s="1"/>
  <c r="U17" i="5" s="1"/>
  <c r="T18" i="5" s="1"/>
  <c r="U18" i="5" s="1"/>
  <c r="T19" i="5" s="1"/>
  <c r="U19" i="5" s="1"/>
  <c r="T20" i="5" s="1"/>
  <c r="U20" i="5" s="1"/>
  <c r="T21" i="5" s="1"/>
  <c r="U21" i="5" s="1"/>
  <c r="T22" i="5" s="1"/>
  <c r="U22" i="5" s="1"/>
  <c r="T23" i="5" s="1"/>
  <c r="U23" i="5" s="1"/>
  <c r="T24" i="5" s="1"/>
  <c r="U24" i="5" s="1"/>
  <c r="T25" i="5" s="1"/>
  <c r="U25" i="5" s="1"/>
  <c r="T26" i="5" s="1"/>
  <c r="U26" i="5" s="1"/>
  <c r="T27" i="5" s="1"/>
  <c r="U27" i="5" s="1"/>
  <c r="T28" i="5" s="1"/>
  <c r="U28" i="5" s="1"/>
  <c r="T29" i="5" s="1"/>
  <c r="U29" i="5" s="1"/>
  <c r="T30" i="5" s="1"/>
  <c r="U30" i="5" s="1"/>
  <c r="T31" i="5" s="1"/>
  <c r="U31" i="5" s="1"/>
  <c r="T32" i="5" s="1"/>
  <c r="U32" i="5" s="1"/>
  <c r="T33" i="5" s="1"/>
  <c r="U33" i="5" s="1"/>
  <c r="T34" i="5" s="1"/>
  <c r="U34" i="5" s="1"/>
  <c r="T35" i="5" s="1"/>
  <c r="U35" i="5" s="1"/>
  <c r="T36" i="5" s="1"/>
  <c r="U36" i="5" s="1"/>
  <c r="T37" i="5" s="1"/>
  <c r="U37" i="5" s="1"/>
  <c r="T38" i="5" s="1"/>
  <c r="U38" i="5" s="1"/>
  <c r="T39" i="5" s="1"/>
  <c r="U39" i="5" s="1"/>
  <c r="T40" i="5" s="1"/>
  <c r="U40" i="5" s="1"/>
  <c r="T41" i="5" s="1"/>
  <c r="U41" i="5" s="1"/>
  <c r="T42" i="5" s="1"/>
  <c r="U42" i="5" s="1"/>
  <c r="T43" i="5" s="1"/>
  <c r="U43" i="5" s="1"/>
  <c r="T44" i="5" s="1"/>
  <c r="U44" i="5" s="1"/>
  <c r="T45" i="5" s="1"/>
  <c r="U45" i="5" s="1"/>
  <c r="T46" i="5" s="1"/>
  <c r="U46" i="5" s="1"/>
  <c r="T47" i="5" s="1"/>
  <c r="U47" i="5" s="1"/>
  <c r="T48" i="5" s="1"/>
  <c r="U48" i="5" s="1"/>
  <c r="T49" i="5" s="1"/>
  <c r="U49" i="5" s="1"/>
  <c r="T50" i="5" s="1"/>
  <c r="U50" i="5" s="1"/>
  <c r="T51" i="5" s="1"/>
  <c r="U51" i="5" s="1"/>
  <c r="T52" i="5" s="1"/>
  <c r="U52" i="5" s="1"/>
  <c r="T53" i="5" s="1"/>
  <c r="U53" i="5" s="1"/>
  <c r="T54" i="5" s="1"/>
  <c r="U54" i="5" s="1"/>
  <c r="T55" i="5" s="1"/>
  <c r="U55" i="5" s="1"/>
  <c r="T56" i="5" s="1"/>
  <c r="U56" i="5" s="1"/>
  <c r="T57" i="5" s="1"/>
  <c r="U57" i="5" s="1"/>
  <c r="T58" i="5" s="1"/>
  <c r="U58" i="5" s="1"/>
  <c r="T59" i="5" s="1"/>
  <c r="U59" i="5" s="1"/>
  <c r="T60" i="5" s="1"/>
  <c r="U60" i="5" s="1"/>
  <c r="T61" i="5" s="1"/>
  <c r="U61" i="5" s="1"/>
  <c r="T62" i="5" s="1"/>
  <c r="U62" i="5" s="1"/>
  <c r="T63" i="5" s="1"/>
  <c r="U63" i="5" s="1"/>
  <c r="T64" i="5" s="1"/>
  <c r="U64" i="5" s="1"/>
  <c r="T65" i="5" s="1"/>
  <c r="U65" i="5" s="1"/>
  <c r="T66" i="5" s="1"/>
  <c r="U66" i="5" s="1"/>
  <c r="T67" i="5" s="1"/>
  <c r="U67" i="5" s="1"/>
  <c r="T68" i="5" s="1"/>
  <c r="U68" i="5" s="1"/>
  <c r="T69" i="5" s="1"/>
  <c r="U69" i="5" s="1"/>
  <c r="T70" i="5" s="1"/>
  <c r="U70" i="5" s="1"/>
  <c r="T71" i="5" s="1"/>
  <c r="U71" i="5" s="1"/>
  <c r="T72" i="5" s="1"/>
  <c r="U72" i="5" s="1"/>
  <c r="T73" i="5" s="1"/>
  <c r="U73" i="5" s="1"/>
  <c r="T74" i="5" s="1"/>
  <c r="U74" i="5" s="1"/>
  <c r="T75" i="5" s="1"/>
  <c r="U75" i="5" s="1"/>
  <c r="T76" i="5" s="1"/>
  <c r="U76" i="5" s="1"/>
  <c r="T77" i="5" s="1"/>
  <c r="U77" i="5" s="1"/>
  <c r="T78" i="5" s="1"/>
  <c r="U78" i="5" s="1"/>
  <c r="T79" i="5" s="1"/>
  <c r="U79" i="5" s="1"/>
  <c r="T80" i="5" s="1"/>
  <c r="U80" i="5" s="1"/>
  <c r="T81" i="5" s="1"/>
  <c r="U81" i="5" s="1"/>
  <c r="T82" i="5" s="1"/>
  <c r="U82" i="5" s="1"/>
  <c r="T83" i="5" s="1"/>
  <c r="U83" i="5" s="1"/>
  <c r="T84" i="5" s="1"/>
  <c r="U84" i="5" s="1"/>
  <c r="T85" i="5" s="1"/>
  <c r="U85" i="5" s="1"/>
  <c r="T86" i="5" s="1"/>
  <c r="U86" i="5" s="1"/>
  <c r="T87" i="5" s="1"/>
  <c r="U87" i="5" s="1"/>
  <c r="T88" i="5" s="1"/>
  <c r="U88" i="5" s="1"/>
  <c r="T89" i="5" s="1"/>
  <c r="U89" i="5" s="1"/>
  <c r="T90" i="5" s="1"/>
  <c r="U90" i="5" s="1"/>
  <c r="T91" i="5" s="1"/>
  <c r="U91" i="5" s="1"/>
  <c r="T92" i="5" s="1"/>
  <c r="U92" i="5" s="1"/>
  <c r="T93" i="5" s="1"/>
  <c r="U93" i="5" s="1"/>
  <c r="T94" i="5" s="1"/>
  <c r="U94" i="5" s="1"/>
  <c r="T95" i="5" s="1"/>
  <c r="U95" i="5" s="1"/>
  <c r="T96" i="5" s="1"/>
  <c r="U96" i="5" s="1"/>
  <c r="T97" i="5" s="1"/>
  <c r="U97" i="5" s="1"/>
  <c r="T98" i="5" s="1"/>
  <c r="U98" i="5" s="1"/>
  <c r="T99" i="5" s="1"/>
  <c r="U99" i="5" s="1"/>
  <c r="T100" i="5" s="1"/>
  <c r="U100" i="5" s="1"/>
  <c r="T101" i="5" s="1"/>
  <c r="U101" i="5" s="1"/>
  <c r="T102" i="5" s="1"/>
  <c r="U102" i="5" s="1"/>
  <c r="AF3" i="5"/>
  <c r="AG3" i="5" s="1"/>
  <c r="AF4" i="5" s="1"/>
  <c r="AG4" i="5" s="1"/>
  <c r="AF5" i="5" s="1"/>
  <c r="AG5" i="5" s="1"/>
  <c r="AF6" i="5" s="1"/>
  <c r="AG6" i="5" s="1"/>
  <c r="AF7" i="5" s="1"/>
  <c r="AG7" i="5" s="1"/>
  <c r="AF8" i="5" s="1"/>
  <c r="AG8" i="5" s="1"/>
  <c r="AF9" i="5" s="1"/>
  <c r="AG9" i="5" s="1"/>
  <c r="AF10" i="5" s="1"/>
  <c r="AG10" i="5" s="1"/>
  <c r="AF11" i="5" s="1"/>
  <c r="AG11" i="5" s="1"/>
  <c r="AF12" i="5" s="1"/>
  <c r="AG12" i="5" s="1"/>
  <c r="AF13" i="5" s="1"/>
  <c r="AG13" i="5" s="1"/>
  <c r="AF14" i="5" s="1"/>
  <c r="AG14" i="5" s="1"/>
  <c r="AF15" i="5" s="1"/>
  <c r="AG15" i="5" s="1"/>
  <c r="AF16" i="5" s="1"/>
  <c r="AG16" i="5" s="1"/>
  <c r="AF17" i="5" s="1"/>
  <c r="AG17" i="5" s="1"/>
  <c r="AF18" i="5" s="1"/>
  <c r="AG18" i="5" s="1"/>
  <c r="AF19" i="5" s="1"/>
  <c r="AG19" i="5" s="1"/>
  <c r="AF20" i="5" s="1"/>
  <c r="AG20" i="5" s="1"/>
  <c r="AF21" i="5" s="1"/>
  <c r="AG21" i="5" s="1"/>
  <c r="AF22" i="5" s="1"/>
  <c r="AG22" i="5" s="1"/>
  <c r="AF23" i="5" s="1"/>
  <c r="AG23" i="5" s="1"/>
  <c r="AF24" i="5" s="1"/>
  <c r="AG24" i="5" s="1"/>
  <c r="AF25" i="5" s="1"/>
  <c r="AG25" i="5" s="1"/>
  <c r="AF26" i="5" s="1"/>
  <c r="AG26" i="5" s="1"/>
  <c r="AF27" i="5" s="1"/>
  <c r="AG27" i="5" s="1"/>
  <c r="AF28" i="5" s="1"/>
  <c r="AG28" i="5" s="1"/>
  <c r="AF29" i="5" s="1"/>
  <c r="AG29" i="5" s="1"/>
  <c r="AF30" i="5" s="1"/>
  <c r="AG30" i="5" s="1"/>
  <c r="AF31" i="5" s="1"/>
  <c r="AG31" i="5" s="1"/>
  <c r="AF32" i="5" s="1"/>
  <c r="AG32" i="5" s="1"/>
  <c r="AF33" i="5" s="1"/>
  <c r="AG33" i="5" s="1"/>
  <c r="AF34" i="5" s="1"/>
  <c r="AG34" i="5" s="1"/>
  <c r="AF35" i="5" s="1"/>
  <c r="AG35" i="5" s="1"/>
  <c r="AF36" i="5" s="1"/>
  <c r="AG36" i="5" s="1"/>
  <c r="AF37" i="5" s="1"/>
  <c r="AG37" i="5" s="1"/>
  <c r="AF38" i="5" s="1"/>
  <c r="AG38" i="5" s="1"/>
  <c r="AF39" i="5" s="1"/>
  <c r="AG39" i="5" s="1"/>
  <c r="AF40" i="5" s="1"/>
  <c r="AG40" i="5" s="1"/>
  <c r="AF41" i="5" s="1"/>
  <c r="AG41" i="5" s="1"/>
  <c r="AF42" i="5" s="1"/>
  <c r="AG42" i="5" s="1"/>
  <c r="AF43" i="5" s="1"/>
  <c r="AG43" i="5" s="1"/>
  <c r="AF44" i="5" s="1"/>
  <c r="AG44" i="5" s="1"/>
  <c r="AF45" i="5" s="1"/>
  <c r="AG45" i="5" s="1"/>
  <c r="AF46" i="5" s="1"/>
  <c r="AG46" i="5" s="1"/>
  <c r="AF47" i="5" s="1"/>
  <c r="AG47" i="5" s="1"/>
  <c r="AF48" i="5" s="1"/>
  <c r="AG48" i="5" s="1"/>
  <c r="AF49" i="5" s="1"/>
  <c r="AG49" i="5" s="1"/>
  <c r="AF50" i="5" s="1"/>
  <c r="AG50" i="5" s="1"/>
  <c r="AF51" i="5" s="1"/>
  <c r="AG51" i="5" s="1"/>
  <c r="AF52" i="5" s="1"/>
  <c r="AG52" i="5" s="1"/>
  <c r="AF53" i="5" s="1"/>
  <c r="AG53" i="5" s="1"/>
  <c r="AF54" i="5" s="1"/>
  <c r="AG54" i="5" s="1"/>
  <c r="AF55" i="5" s="1"/>
  <c r="AG55" i="5" s="1"/>
  <c r="AF56" i="5" s="1"/>
  <c r="AG56" i="5" s="1"/>
  <c r="AF57" i="5" s="1"/>
  <c r="AG57" i="5" s="1"/>
  <c r="AF58" i="5" s="1"/>
  <c r="AG58" i="5" s="1"/>
  <c r="AF59" i="5" s="1"/>
  <c r="AG59" i="5" s="1"/>
  <c r="AF60" i="5" s="1"/>
  <c r="AG60" i="5" s="1"/>
  <c r="AF61" i="5" s="1"/>
  <c r="AG61" i="5" s="1"/>
  <c r="AF62" i="5" s="1"/>
  <c r="AG62" i="5" s="1"/>
  <c r="AF63" i="5" s="1"/>
  <c r="AG63" i="5" s="1"/>
  <c r="AF64" i="5" s="1"/>
  <c r="AG64" i="5" s="1"/>
  <c r="AF65" i="5" s="1"/>
  <c r="AG65" i="5" s="1"/>
  <c r="AF66" i="5" s="1"/>
  <c r="AG66" i="5" s="1"/>
  <c r="AF67" i="5" s="1"/>
  <c r="AG67" i="5" s="1"/>
  <c r="AF68" i="5" s="1"/>
  <c r="AG68" i="5" s="1"/>
  <c r="AF69" i="5" s="1"/>
  <c r="AG69" i="5" s="1"/>
  <c r="AF70" i="5" s="1"/>
  <c r="AG70" i="5" s="1"/>
  <c r="AF71" i="5" s="1"/>
  <c r="AG71" i="5" s="1"/>
  <c r="AF72" i="5" s="1"/>
  <c r="AG72" i="5" s="1"/>
  <c r="AF73" i="5" s="1"/>
  <c r="AG73" i="5" s="1"/>
  <c r="AF74" i="5" s="1"/>
  <c r="AG74" i="5" s="1"/>
  <c r="AF75" i="5" s="1"/>
  <c r="AG75" i="5" s="1"/>
  <c r="AF76" i="5" s="1"/>
  <c r="AG76" i="5" s="1"/>
  <c r="AF77" i="5" s="1"/>
  <c r="AG77" i="5" s="1"/>
  <c r="AF78" i="5" s="1"/>
  <c r="AG78" i="5" s="1"/>
  <c r="AF79" i="5" s="1"/>
  <c r="AG79" i="5" s="1"/>
  <c r="AF80" i="5" s="1"/>
  <c r="AG80" i="5" s="1"/>
  <c r="AF81" i="5" s="1"/>
  <c r="AG81" i="5" s="1"/>
  <c r="AF82" i="5" s="1"/>
  <c r="AG82" i="5" s="1"/>
  <c r="AF83" i="5" s="1"/>
  <c r="AG83" i="5" s="1"/>
  <c r="AF84" i="5" s="1"/>
  <c r="AG84" i="5" s="1"/>
  <c r="AF85" i="5" s="1"/>
  <c r="AG85" i="5" s="1"/>
  <c r="AF86" i="5" s="1"/>
  <c r="AG86" i="5" s="1"/>
  <c r="AF87" i="5" s="1"/>
  <c r="AG87" i="5" s="1"/>
  <c r="AF88" i="5" s="1"/>
  <c r="AG88" i="5" s="1"/>
  <c r="AF89" i="5" s="1"/>
  <c r="AG89" i="5" s="1"/>
  <c r="AF90" i="5" s="1"/>
  <c r="AG90" i="5" s="1"/>
  <c r="AF91" i="5" s="1"/>
  <c r="AG91" i="5" s="1"/>
  <c r="AF92" i="5" s="1"/>
  <c r="AG92" i="5" s="1"/>
  <c r="AF93" i="5" s="1"/>
  <c r="AG93" i="5" s="1"/>
  <c r="AF94" i="5" s="1"/>
  <c r="AG94" i="5" s="1"/>
  <c r="AF95" i="5" s="1"/>
  <c r="AG95" i="5" s="1"/>
  <c r="AF96" i="5" s="1"/>
  <c r="AG96" i="5" s="1"/>
  <c r="AF97" i="5" s="1"/>
  <c r="AG97" i="5" s="1"/>
  <c r="AF98" i="5" s="1"/>
  <c r="AG98" i="5" s="1"/>
  <c r="AF99" i="5" s="1"/>
  <c r="AG99" i="5" s="1"/>
  <c r="AF100" i="5" s="1"/>
  <c r="AG100" i="5" s="1"/>
  <c r="AF101" i="5" s="1"/>
  <c r="AG101" i="5" s="1"/>
  <c r="AF102" i="5" s="1"/>
  <c r="AG102" i="5" s="1"/>
  <c r="BS3" i="5"/>
  <c r="BT3" i="5" s="1"/>
  <c r="BS4" i="5" s="1"/>
  <c r="BT4" i="5" s="1"/>
  <c r="BS5" i="5" s="1"/>
  <c r="BT5" i="5" s="1"/>
  <c r="BS6" i="5" s="1"/>
  <c r="BT6" i="5" s="1"/>
  <c r="BS7" i="5" s="1"/>
  <c r="BT7" i="5" s="1"/>
  <c r="BS8" i="5" s="1"/>
  <c r="BT8" i="5" s="1"/>
  <c r="BS9" i="5" s="1"/>
  <c r="BT9" i="5" s="1"/>
  <c r="BS10" i="5" s="1"/>
  <c r="BT10" i="5" s="1"/>
  <c r="BS11" i="5" s="1"/>
  <c r="BT11" i="5" s="1"/>
  <c r="BS12" i="5" s="1"/>
  <c r="BT12" i="5" s="1"/>
  <c r="BS13" i="5" s="1"/>
  <c r="BT13" i="5" s="1"/>
  <c r="BS14" i="5" s="1"/>
  <c r="BT14" i="5" s="1"/>
  <c r="BS15" i="5" s="1"/>
  <c r="BT15" i="5" s="1"/>
  <c r="BS16" i="5" s="1"/>
  <c r="BT16" i="5" s="1"/>
  <c r="BS17" i="5" s="1"/>
  <c r="BT17" i="5" s="1"/>
  <c r="BS18" i="5" s="1"/>
  <c r="BT18" i="5" s="1"/>
  <c r="BS19" i="5" s="1"/>
  <c r="BT19" i="5" s="1"/>
  <c r="BS20" i="5" s="1"/>
  <c r="BT20" i="5" s="1"/>
  <c r="BS21" i="5" s="1"/>
  <c r="BT21" i="5" s="1"/>
  <c r="BS22" i="5" s="1"/>
  <c r="BT22" i="5" s="1"/>
  <c r="BS23" i="5" s="1"/>
  <c r="BT23" i="5" s="1"/>
  <c r="BS24" i="5" s="1"/>
  <c r="BT24" i="5" s="1"/>
  <c r="BS25" i="5" s="1"/>
  <c r="BT25" i="5" s="1"/>
  <c r="BS26" i="5" s="1"/>
  <c r="BT26" i="5" s="1"/>
  <c r="BS27" i="5" s="1"/>
  <c r="BT27" i="5" s="1"/>
  <c r="BS28" i="5" s="1"/>
  <c r="BT28" i="5" s="1"/>
  <c r="BS29" i="5" s="1"/>
  <c r="BT29" i="5" s="1"/>
  <c r="BS30" i="5" s="1"/>
  <c r="BT30" i="5" s="1"/>
  <c r="BS31" i="5" s="1"/>
  <c r="BT31" i="5" s="1"/>
  <c r="BS32" i="5" s="1"/>
  <c r="BT32" i="5" s="1"/>
  <c r="BS33" i="5" s="1"/>
  <c r="BT33" i="5" s="1"/>
  <c r="BS34" i="5" s="1"/>
  <c r="BT34" i="5" s="1"/>
  <c r="BS35" i="5" s="1"/>
  <c r="BT35" i="5" s="1"/>
  <c r="BS36" i="5" s="1"/>
  <c r="BT36" i="5" s="1"/>
  <c r="BS37" i="5" s="1"/>
  <c r="BT37" i="5" s="1"/>
  <c r="BS38" i="5" s="1"/>
  <c r="BT38" i="5" s="1"/>
  <c r="BS39" i="5" s="1"/>
  <c r="BT39" i="5" s="1"/>
  <c r="BS40" i="5" s="1"/>
  <c r="BT40" i="5" s="1"/>
  <c r="BS41" i="5" s="1"/>
  <c r="BT41" i="5" s="1"/>
  <c r="BS42" i="5" s="1"/>
  <c r="BT42" i="5" s="1"/>
  <c r="BS43" i="5" s="1"/>
  <c r="BT43" i="5" s="1"/>
  <c r="BS44" i="5" s="1"/>
  <c r="BT44" i="5" s="1"/>
  <c r="BS45" i="5" s="1"/>
  <c r="BT45" i="5" s="1"/>
  <c r="BS46" i="5" s="1"/>
  <c r="BT46" i="5" s="1"/>
  <c r="BS47" i="5" s="1"/>
  <c r="BT47" i="5" s="1"/>
  <c r="BS48" i="5" s="1"/>
  <c r="BT48" i="5" s="1"/>
  <c r="BS49" i="5" s="1"/>
  <c r="BT49" i="5" s="1"/>
  <c r="BS50" i="5" s="1"/>
  <c r="BT50" i="5" s="1"/>
  <c r="BS51" i="5" s="1"/>
  <c r="BT51" i="5" s="1"/>
  <c r="BS52" i="5" s="1"/>
  <c r="BT52" i="5" s="1"/>
  <c r="BS53" i="5" s="1"/>
  <c r="BT53" i="5" s="1"/>
  <c r="BS54" i="5" s="1"/>
  <c r="BT54" i="5" s="1"/>
  <c r="BS55" i="5" s="1"/>
  <c r="BT55" i="5" s="1"/>
  <c r="BS56" i="5" s="1"/>
  <c r="BT56" i="5" s="1"/>
  <c r="BS57" i="5" s="1"/>
  <c r="BT57" i="5" s="1"/>
  <c r="BS58" i="5" s="1"/>
  <c r="BT58" i="5" s="1"/>
  <c r="BS59" i="5" s="1"/>
  <c r="BT59" i="5" s="1"/>
  <c r="BS60" i="5" s="1"/>
  <c r="BT60" i="5" s="1"/>
  <c r="BS61" i="5" s="1"/>
  <c r="BT61" i="5" s="1"/>
  <c r="BS62" i="5" s="1"/>
  <c r="BT62" i="5" s="1"/>
  <c r="BS63" i="5" s="1"/>
  <c r="BT63" i="5" s="1"/>
  <c r="BS64" i="5" s="1"/>
  <c r="BT64" i="5" s="1"/>
  <c r="BS65" i="5" s="1"/>
  <c r="BT65" i="5" s="1"/>
  <c r="BS66" i="5" s="1"/>
  <c r="BT66" i="5" s="1"/>
  <c r="BS67" i="5" s="1"/>
  <c r="BT67" i="5" s="1"/>
  <c r="BS68" i="5" s="1"/>
  <c r="BT68" i="5" s="1"/>
  <c r="BS69" i="5" s="1"/>
  <c r="BT69" i="5" s="1"/>
  <c r="BS70" i="5" s="1"/>
  <c r="BT70" i="5" s="1"/>
  <c r="BS71" i="5" s="1"/>
  <c r="BT71" i="5" s="1"/>
  <c r="BS72" i="5" s="1"/>
  <c r="BT72" i="5" s="1"/>
  <c r="BS73" i="5" s="1"/>
  <c r="BT73" i="5" s="1"/>
  <c r="BS74" i="5" s="1"/>
  <c r="BT74" i="5" s="1"/>
  <c r="BS75" i="5" s="1"/>
  <c r="BT75" i="5" s="1"/>
  <c r="BS76" i="5" s="1"/>
  <c r="BT76" i="5" s="1"/>
  <c r="BS77" i="5" s="1"/>
  <c r="BT77" i="5" s="1"/>
  <c r="BS78" i="5" s="1"/>
  <c r="BT78" i="5" s="1"/>
  <c r="BS79" i="5" s="1"/>
  <c r="BT79" i="5" s="1"/>
  <c r="BS80" i="5" s="1"/>
  <c r="BT80" i="5" s="1"/>
  <c r="BS81" i="5" s="1"/>
  <c r="BT81" i="5" s="1"/>
  <c r="BS82" i="5" s="1"/>
  <c r="BT82" i="5" s="1"/>
  <c r="BS83" i="5" s="1"/>
  <c r="BT83" i="5" s="1"/>
  <c r="BS84" i="5" s="1"/>
  <c r="BT84" i="5" s="1"/>
  <c r="BS85" i="5" s="1"/>
  <c r="BT85" i="5" s="1"/>
  <c r="BS86" i="5" s="1"/>
  <c r="BT86" i="5" s="1"/>
  <c r="BS87" i="5" s="1"/>
  <c r="BT87" i="5" s="1"/>
  <c r="BS88" i="5" s="1"/>
  <c r="BT88" i="5" s="1"/>
  <c r="BS89" i="5" s="1"/>
  <c r="BT89" i="5" s="1"/>
  <c r="BS90" i="5" s="1"/>
  <c r="BT90" i="5" s="1"/>
  <c r="BS91" i="5" s="1"/>
  <c r="BT91" i="5" s="1"/>
  <c r="BS92" i="5" s="1"/>
  <c r="BT92" i="5" s="1"/>
  <c r="BS93" i="5" s="1"/>
  <c r="BT93" i="5" s="1"/>
  <c r="BS94" i="5" s="1"/>
  <c r="BT94" i="5" s="1"/>
  <c r="BS95" i="5" s="1"/>
  <c r="BT95" i="5" s="1"/>
  <c r="BS96" i="5" s="1"/>
  <c r="BT96" i="5" s="1"/>
  <c r="BS97" i="5" s="1"/>
  <c r="BT97" i="5" s="1"/>
  <c r="BS98" i="5" s="1"/>
  <c r="BT98" i="5" s="1"/>
  <c r="BS99" i="5" s="1"/>
  <c r="BT99" i="5" s="1"/>
  <c r="BS100" i="5" s="1"/>
  <c r="BT100" i="5" s="1"/>
  <c r="BS101" i="5" s="1"/>
  <c r="BT101" i="5" s="1"/>
  <c r="BS102" i="5" s="1"/>
  <c r="BT102" i="5" s="1"/>
  <c r="H3" i="5"/>
  <c r="I3" i="5" s="1"/>
  <c r="H4" i="5" s="1"/>
  <c r="I4" i="5" s="1"/>
  <c r="H5" i="5" s="1"/>
  <c r="I5" i="5" s="1"/>
  <c r="H6" i="5" s="1"/>
  <c r="I6" i="5" s="1"/>
  <c r="H7" i="5" s="1"/>
  <c r="I7" i="5" s="1"/>
  <c r="H8" i="5" s="1"/>
  <c r="I8" i="5" s="1"/>
  <c r="H9" i="5" s="1"/>
  <c r="I9" i="5" s="1"/>
  <c r="H10" i="5" s="1"/>
  <c r="I10" i="5" s="1"/>
  <c r="H11" i="5" s="1"/>
  <c r="I11" i="5" s="1"/>
  <c r="H12" i="5" s="1"/>
  <c r="I12" i="5" s="1"/>
  <c r="H13" i="5" s="1"/>
  <c r="I13" i="5" s="1"/>
  <c r="H14" i="5" s="1"/>
  <c r="I14" i="5" s="1"/>
  <c r="H15" i="5" s="1"/>
  <c r="I15" i="5" s="1"/>
  <c r="H16" i="5" s="1"/>
  <c r="I16" i="5" s="1"/>
  <c r="H17" i="5" s="1"/>
  <c r="I17" i="5" s="1"/>
  <c r="H18" i="5" s="1"/>
  <c r="I18" i="5" s="1"/>
  <c r="H19" i="5" s="1"/>
  <c r="I19" i="5" s="1"/>
  <c r="H20" i="5" s="1"/>
  <c r="I20" i="5" s="1"/>
  <c r="H21" i="5" s="1"/>
  <c r="I21" i="5" s="1"/>
  <c r="H22" i="5" s="1"/>
  <c r="I22" i="5" s="1"/>
  <c r="H23" i="5" s="1"/>
  <c r="I23" i="5" s="1"/>
  <c r="H24" i="5" s="1"/>
  <c r="I24" i="5" s="1"/>
  <c r="H25" i="5" s="1"/>
  <c r="I25" i="5" s="1"/>
  <c r="H26" i="5" s="1"/>
  <c r="I26" i="5" s="1"/>
  <c r="H27" i="5" s="1"/>
  <c r="I27" i="5" s="1"/>
  <c r="H28" i="5" s="1"/>
  <c r="I28" i="5" s="1"/>
  <c r="H29" i="5" s="1"/>
  <c r="I29" i="5" s="1"/>
  <c r="H30" i="5" s="1"/>
  <c r="I30" i="5" s="1"/>
  <c r="H31" i="5" s="1"/>
  <c r="I31" i="5" s="1"/>
  <c r="H32" i="5" s="1"/>
  <c r="I32" i="5" s="1"/>
  <c r="H33" i="5" s="1"/>
  <c r="I33" i="5" s="1"/>
  <c r="H34" i="5" s="1"/>
  <c r="I34" i="5" s="1"/>
  <c r="H35" i="5" s="1"/>
  <c r="I35" i="5" s="1"/>
  <c r="H36" i="5" s="1"/>
  <c r="I36" i="5" s="1"/>
  <c r="H37" i="5" s="1"/>
  <c r="I37" i="5" s="1"/>
  <c r="H38" i="5" s="1"/>
  <c r="I38" i="5" s="1"/>
  <c r="H39" i="5" s="1"/>
  <c r="I39" i="5" s="1"/>
  <c r="H40" i="5" s="1"/>
  <c r="I40" i="5" s="1"/>
  <c r="H41" i="5" s="1"/>
  <c r="I41" i="5" s="1"/>
  <c r="H42" i="5" s="1"/>
  <c r="I42" i="5" s="1"/>
  <c r="H43" i="5" s="1"/>
  <c r="I43" i="5" s="1"/>
  <c r="H44" i="5" s="1"/>
  <c r="I44" i="5" s="1"/>
  <c r="H45" i="5" s="1"/>
  <c r="I45" i="5" s="1"/>
  <c r="H46" i="5" s="1"/>
  <c r="I46" i="5" s="1"/>
  <c r="H47" i="5" s="1"/>
  <c r="I47" i="5" s="1"/>
  <c r="H48" i="5" s="1"/>
  <c r="I48" i="5" s="1"/>
  <c r="H49" i="5" s="1"/>
  <c r="I49" i="5" s="1"/>
  <c r="H50" i="5" s="1"/>
  <c r="I50" i="5" s="1"/>
  <c r="H51" i="5" s="1"/>
  <c r="I51" i="5" s="1"/>
  <c r="H52" i="5" s="1"/>
  <c r="I52" i="5" s="1"/>
  <c r="H53" i="5" s="1"/>
  <c r="I53" i="5" s="1"/>
  <c r="H54" i="5" s="1"/>
  <c r="I54" i="5" s="1"/>
  <c r="H55" i="5" s="1"/>
  <c r="I55" i="5" s="1"/>
  <c r="H56" i="5" s="1"/>
  <c r="I56" i="5" s="1"/>
  <c r="H57" i="5" s="1"/>
  <c r="I57" i="5" s="1"/>
  <c r="H58" i="5" s="1"/>
  <c r="I58" i="5" s="1"/>
  <c r="H59" i="5" s="1"/>
  <c r="I59" i="5" s="1"/>
  <c r="H60" i="5" s="1"/>
  <c r="I60" i="5" s="1"/>
  <c r="H61" i="5" s="1"/>
  <c r="I61" i="5" s="1"/>
  <c r="H62" i="5" s="1"/>
  <c r="I62" i="5" s="1"/>
  <c r="H63" i="5" s="1"/>
  <c r="I63" i="5" s="1"/>
  <c r="H64" i="5" s="1"/>
  <c r="I64" i="5" s="1"/>
  <c r="H65" i="5" s="1"/>
  <c r="I65" i="5" s="1"/>
  <c r="H66" i="5" s="1"/>
  <c r="I66" i="5" s="1"/>
  <c r="H67" i="5" s="1"/>
  <c r="I67" i="5" s="1"/>
  <c r="H68" i="5" s="1"/>
  <c r="I68" i="5" s="1"/>
  <c r="H69" i="5" s="1"/>
  <c r="I69" i="5" s="1"/>
  <c r="H70" i="5" s="1"/>
  <c r="I70" i="5" s="1"/>
  <c r="H71" i="5" s="1"/>
  <c r="I71" i="5" s="1"/>
  <c r="H72" i="5" s="1"/>
  <c r="I72" i="5" s="1"/>
  <c r="H73" i="5" s="1"/>
  <c r="I73" i="5" s="1"/>
  <c r="H74" i="5" s="1"/>
  <c r="I74" i="5" s="1"/>
  <c r="H75" i="5" s="1"/>
  <c r="I75" i="5" s="1"/>
  <c r="H76" i="5" s="1"/>
  <c r="I76" i="5" s="1"/>
  <c r="H77" i="5" s="1"/>
  <c r="I77" i="5" s="1"/>
  <c r="H78" i="5" s="1"/>
  <c r="I78" i="5" s="1"/>
  <c r="H79" i="5" s="1"/>
  <c r="I79" i="5" s="1"/>
  <c r="H80" i="5" s="1"/>
  <c r="I80" i="5" s="1"/>
  <c r="H81" i="5" s="1"/>
  <c r="I81" i="5" s="1"/>
  <c r="H82" i="5" s="1"/>
  <c r="I82" i="5" s="1"/>
  <c r="H83" i="5" s="1"/>
  <c r="I83" i="5" s="1"/>
  <c r="H84" i="5" s="1"/>
  <c r="I84" i="5" s="1"/>
  <c r="H85" i="5" s="1"/>
  <c r="I85" i="5" s="1"/>
  <c r="H86" i="5" s="1"/>
  <c r="I86" i="5" s="1"/>
  <c r="H87" i="5" s="1"/>
  <c r="I87" i="5" s="1"/>
  <c r="H88" i="5" s="1"/>
  <c r="I88" i="5" s="1"/>
  <c r="H89" i="5" s="1"/>
  <c r="I89" i="5" s="1"/>
  <c r="H90" i="5" s="1"/>
  <c r="I90" i="5" s="1"/>
  <c r="H91" i="5" s="1"/>
  <c r="I91" i="5" s="1"/>
  <c r="H92" i="5" s="1"/>
  <c r="I92" i="5" s="1"/>
  <c r="H93" i="5" s="1"/>
  <c r="I93" i="5" s="1"/>
  <c r="H94" i="5" s="1"/>
  <c r="I94" i="5" s="1"/>
  <c r="H95" i="5" s="1"/>
  <c r="I95" i="5" s="1"/>
  <c r="H96" i="5" s="1"/>
  <c r="I96" i="5" s="1"/>
  <c r="H97" i="5" s="1"/>
  <c r="I97" i="5" s="1"/>
  <c r="H98" i="5" s="1"/>
  <c r="I98" i="5" s="1"/>
  <c r="H99" i="5" s="1"/>
  <c r="I99" i="5" s="1"/>
  <c r="H100" i="5" s="1"/>
  <c r="I100" i="5" s="1"/>
  <c r="H101" i="5" s="1"/>
  <c r="I101" i="5" s="1"/>
  <c r="H102" i="5" s="1"/>
  <c r="I102" i="5" s="1"/>
  <c r="BD3" i="5"/>
  <c r="BE3" i="5" s="1"/>
  <c r="BD4" i="5" s="1"/>
  <c r="BE4" i="5" s="1"/>
  <c r="BD5" i="5" s="1"/>
  <c r="BE5" i="5" s="1"/>
  <c r="BD6" i="5" s="1"/>
  <c r="BE6" i="5" s="1"/>
  <c r="BD7" i="5" s="1"/>
  <c r="BE7" i="5" s="1"/>
  <c r="BD8" i="5" s="1"/>
  <c r="BE8" i="5" s="1"/>
  <c r="BD9" i="5" s="1"/>
  <c r="BE9" i="5" s="1"/>
  <c r="BD10" i="5" s="1"/>
  <c r="BE10" i="5" s="1"/>
  <c r="BD11" i="5" s="1"/>
  <c r="BE11" i="5" s="1"/>
  <c r="BD12" i="5" s="1"/>
  <c r="BE12" i="5" s="1"/>
  <c r="BD13" i="5" s="1"/>
  <c r="BE13" i="5" s="1"/>
  <c r="BD14" i="5" s="1"/>
  <c r="BE14" i="5" s="1"/>
  <c r="BD15" i="5" s="1"/>
  <c r="BE15" i="5" s="1"/>
  <c r="BD16" i="5" s="1"/>
  <c r="BE16" i="5" s="1"/>
  <c r="BD17" i="5" s="1"/>
  <c r="BE17" i="5" s="1"/>
  <c r="BD18" i="5" s="1"/>
  <c r="BE18" i="5" s="1"/>
  <c r="BD19" i="5" s="1"/>
  <c r="BE19" i="5" s="1"/>
  <c r="BD20" i="5" s="1"/>
  <c r="BE20" i="5" s="1"/>
  <c r="BD21" i="5" s="1"/>
  <c r="BE21" i="5" s="1"/>
  <c r="BD22" i="5" s="1"/>
  <c r="BE22" i="5" s="1"/>
  <c r="BD23" i="5" s="1"/>
  <c r="BE23" i="5" s="1"/>
  <c r="BD24" i="5" s="1"/>
  <c r="BE24" i="5" s="1"/>
  <c r="BD25" i="5" s="1"/>
  <c r="BE25" i="5" s="1"/>
  <c r="BD26" i="5" s="1"/>
  <c r="BE26" i="5" s="1"/>
  <c r="BD27" i="5" s="1"/>
  <c r="BE27" i="5" s="1"/>
  <c r="BD28" i="5" s="1"/>
  <c r="BE28" i="5" s="1"/>
  <c r="BD29" i="5" s="1"/>
  <c r="BE29" i="5" s="1"/>
  <c r="BD30" i="5" s="1"/>
  <c r="BE30" i="5" s="1"/>
  <c r="BD31" i="5" s="1"/>
  <c r="BE31" i="5" s="1"/>
  <c r="BD32" i="5" s="1"/>
  <c r="BE32" i="5" s="1"/>
  <c r="BD33" i="5" s="1"/>
  <c r="BE33" i="5" s="1"/>
  <c r="BD34" i="5" s="1"/>
  <c r="BE34" i="5" s="1"/>
  <c r="BD35" i="5" s="1"/>
  <c r="BE35" i="5" s="1"/>
  <c r="BD36" i="5" s="1"/>
  <c r="BE36" i="5" s="1"/>
  <c r="BD37" i="5" s="1"/>
  <c r="BE37" i="5" s="1"/>
  <c r="BD38" i="5" s="1"/>
  <c r="BE38" i="5" s="1"/>
  <c r="BD39" i="5" s="1"/>
  <c r="BE39" i="5" s="1"/>
  <c r="BD40" i="5" s="1"/>
  <c r="BE40" i="5" s="1"/>
  <c r="BD41" i="5" s="1"/>
  <c r="BE41" i="5" s="1"/>
  <c r="BD42" i="5" s="1"/>
  <c r="BE42" i="5" s="1"/>
  <c r="BD43" i="5" s="1"/>
  <c r="BE43" i="5" s="1"/>
  <c r="BD44" i="5" s="1"/>
  <c r="BE44" i="5" s="1"/>
  <c r="BD45" i="5" s="1"/>
  <c r="BE45" i="5" s="1"/>
  <c r="BD46" i="5" s="1"/>
  <c r="BE46" i="5" s="1"/>
  <c r="BD47" i="5" s="1"/>
  <c r="BE47" i="5" s="1"/>
  <c r="BD48" i="5" s="1"/>
  <c r="BE48" i="5" s="1"/>
  <c r="BD49" i="5" s="1"/>
  <c r="BE49" i="5" s="1"/>
  <c r="BD50" i="5" s="1"/>
  <c r="BE50" i="5" s="1"/>
  <c r="BD51" i="5" s="1"/>
  <c r="BE51" i="5" s="1"/>
  <c r="BD52" i="5" s="1"/>
  <c r="BE52" i="5" s="1"/>
  <c r="BD53" i="5" s="1"/>
  <c r="BE53" i="5" s="1"/>
  <c r="BD54" i="5" s="1"/>
  <c r="BE54" i="5" s="1"/>
  <c r="BD55" i="5" s="1"/>
  <c r="BE55" i="5" s="1"/>
  <c r="BD56" i="5" s="1"/>
  <c r="BE56" i="5" s="1"/>
  <c r="BD57" i="5" s="1"/>
  <c r="BE57" i="5" s="1"/>
  <c r="BD58" i="5" s="1"/>
  <c r="BE58" i="5" s="1"/>
  <c r="BD59" i="5" s="1"/>
  <c r="BE59" i="5" s="1"/>
  <c r="BD60" i="5" s="1"/>
  <c r="BE60" i="5" s="1"/>
  <c r="BD61" i="5" s="1"/>
  <c r="BE61" i="5" s="1"/>
  <c r="BD62" i="5" s="1"/>
  <c r="BE62" i="5" s="1"/>
  <c r="BD63" i="5" s="1"/>
  <c r="BE63" i="5" s="1"/>
  <c r="BD64" i="5" s="1"/>
  <c r="BE64" i="5" s="1"/>
  <c r="BD65" i="5" s="1"/>
  <c r="BE65" i="5" s="1"/>
  <c r="BD66" i="5" s="1"/>
  <c r="BE66" i="5" s="1"/>
  <c r="BD67" i="5" s="1"/>
  <c r="BE67" i="5" s="1"/>
  <c r="BD68" i="5" s="1"/>
  <c r="BE68" i="5" s="1"/>
  <c r="BD69" i="5" s="1"/>
  <c r="BE69" i="5" s="1"/>
  <c r="BD70" i="5" s="1"/>
  <c r="BE70" i="5" s="1"/>
  <c r="BD71" i="5" s="1"/>
  <c r="BE71" i="5" s="1"/>
  <c r="BD72" i="5" s="1"/>
  <c r="BE72" i="5" s="1"/>
  <c r="BD73" i="5" s="1"/>
  <c r="BE73" i="5" s="1"/>
  <c r="BD74" i="5" s="1"/>
  <c r="BE74" i="5" s="1"/>
  <c r="BD75" i="5" s="1"/>
  <c r="BE75" i="5" s="1"/>
  <c r="BD76" i="5" s="1"/>
  <c r="BE76" i="5" s="1"/>
  <c r="BD77" i="5" s="1"/>
  <c r="BE77" i="5" s="1"/>
  <c r="BD78" i="5" s="1"/>
  <c r="BE78" i="5" s="1"/>
  <c r="BD79" i="5" s="1"/>
  <c r="BE79" i="5" s="1"/>
  <c r="BD80" i="5" s="1"/>
  <c r="BE80" i="5" s="1"/>
  <c r="BD81" i="5" s="1"/>
  <c r="BE81" i="5" s="1"/>
  <c r="BD82" i="5" s="1"/>
  <c r="BE82" i="5" s="1"/>
  <c r="BD83" i="5" s="1"/>
  <c r="BE83" i="5" s="1"/>
  <c r="BD84" i="5" s="1"/>
  <c r="BE84" i="5" s="1"/>
  <c r="BD85" i="5" s="1"/>
  <c r="BE85" i="5" s="1"/>
  <c r="BD86" i="5" s="1"/>
  <c r="BE86" i="5" s="1"/>
  <c r="BD87" i="5" s="1"/>
  <c r="BE87" i="5" s="1"/>
  <c r="BD88" i="5" s="1"/>
  <c r="BE88" i="5" s="1"/>
  <c r="BD89" i="5" s="1"/>
  <c r="BE89" i="5" s="1"/>
  <c r="BD90" i="5" s="1"/>
  <c r="BE90" i="5" s="1"/>
  <c r="BD91" i="5" s="1"/>
  <c r="BE91" i="5" s="1"/>
  <c r="BD92" i="5" s="1"/>
  <c r="BE92" i="5" s="1"/>
  <c r="BD93" i="5" s="1"/>
  <c r="BE93" i="5" s="1"/>
  <c r="BD94" i="5" s="1"/>
  <c r="BE94" i="5" s="1"/>
  <c r="BD95" i="5" s="1"/>
  <c r="BE95" i="5" s="1"/>
  <c r="BD96" i="5" s="1"/>
  <c r="BE96" i="5" s="1"/>
  <c r="BD97" i="5" s="1"/>
  <c r="BE97" i="5" s="1"/>
  <c r="BD98" i="5" s="1"/>
  <c r="BE98" i="5" s="1"/>
  <c r="BD99" i="5" s="1"/>
  <c r="BE99" i="5" s="1"/>
  <c r="BD100" i="5" s="1"/>
  <c r="BE100" i="5" s="1"/>
  <c r="BD101" i="5" s="1"/>
  <c r="BE101" i="5" s="1"/>
  <c r="BD102" i="5" s="1"/>
  <c r="BE102" i="5" s="1"/>
  <c r="J27" i="10" l="1"/>
  <c r="N27" i="10" s="1"/>
  <c r="K26" i="10"/>
  <c r="J28" i="10"/>
  <c r="N28" i="10" s="1"/>
  <c r="Q33" i="4"/>
  <c r="K24" i="10"/>
  <c r="N24" i="10"/>
  <c r="CP30" i="7"/>
  <c r="CO31" i="7" s="1"/>
  <c r="CM29" i="7"/>
  <c r="CL30" i="7" s="1"/>
  <c r="CJ28" i="7"/>
  <c r="CI29" i="7" s="1"/>
  <c r="CG30" i="7"/>
  <c r="CF31" i="7" s="1"/>
  <c r="CC31" i="7"/>
  <c r="CD31" i="7" s="1"/>
  <c r="BX30" i="7"/>
  <c r="BW31" i="7" s="1"/>
  <c r="BT29" i="7"/>
  <c r="BU29" i="7" s="1"/>
  <c r="BR29" i="7"/>
  <c r="BQ30" i="7" s="1"/>
  <c r="BN31" i="7"/>
  <c r="BO31" i="7" s="1"/>
  <c r="BK31" i="7"/>
  <c r="BL31" i="7" s="1"/>
  <c r="BH30" i="7"/>
  <c r="BI30" i="7" s="1"/>
  <c r="BB31" i="7"/>
  <c r="BC31" i="7" s="1"/>
  <c r="AZ30" i="7"/>
  <c r="AY31" i="7" s="1"/>
  <c r="BF29" i="7"/>
  <c r="BE30" i="7" s="1"/>
  <c r="CR32" i="7"/>
  <c r="CS32" i="7" s="1"/>
  <c r="GN30" i="7"/>
  <c r="GM31" i="7" s="1"/>
  <c r="GK30" i="7"/>
  <c r="GJ31" i="7" s="1"/>
  <c r="GG30" i="7"/>
  <c r="GH30" i="7" s="1"/>
  <c r="GE31" i="7"/>
  <c r="GD32" i="7" s="1"/>
  <c r="GB31" i="7"/>
  <c r="GA32" i="7" s="1"/>
  <c r="FX31" i="7"/>
  <c r="FY31" i="7" s="1"/>
  <c r="FV32" i="7"/>
  <c r="FU33" i="7" s="1"/>
  <c r="FR31" i="7"/>
  <c r="FS31" i="7" s="1"/>
  <c r="FO30" i="7"/>
  <c r="FP30" i="7" s="1"/>
  <c r="FL30" i="7"/>
  <c r="FM30" i="7" s="1"/>
  <c r="FJ31" i="7"/>
  <c r="FI32" i="7" s="1"/>
  <c r="FF30" i="7"/>
  <c r="FG30" i="7" s="1"/>
  <c r="FD30" i="7"/>
  <c r="FC31" i="7" s="1"/>
  <c r="FA31" i="7"/>
  <c r="EZ32" i="7" s="1"/>
  <c r="EX30" i="7"/>
  <c r="EW31" i="7" s="1"/>
  <c r="EU31" i="7"/>
  <c r="ET32" i="7" s="1"/>
  <c r="ER29" i="7"/>
  <c r="EQ30" i="7" s="1"/>
  <c r="EO30" i="7"/>
  <c r="EN31" i="7" s="1"/>
  <c r="EL30" i="7"/>
  <c r="EK31" i="7" s="1"/>
  <c r="EI31" i="7"/>
  <c r="EH32" i="7" s="1"/>
  <c r="EF30" i="7"/>
  <c r="EE31" i="7" s="1"/>
  <c r="EC31" i="7"/>
  <c r="EB32" i="7" s="1"/>
  <c r="DY31" i="7"/>
  <c r="DZ31" i="7" s="1"/>
  <c r="DT31" i="7"/>
  <c r="DS32" i="7" s="1"/>
  <c r="DQ30" i="7"/>
  <c r="DP31" i="7" s="1"/>
  <c r="DN31" i="7"/>
  <c r="DM32" i="7" s="1"/>
  <c r="DH30" i="7"/>
  <c r="DG31" i="7" s="1"/>
  <c r="CX31" i="7"/>
  <c r="CY31" i="7" s="1"/>
  <c r="C32" i="7"/>
  <c r="D32" i="7" s="1"/>
  <c r="CA34" i="7"/>
  <c r="BZ35" i="7" s="1"/>
  <c r="O34" i="7"/>
  <c r="P34" i="7" s="1"/>
  <c r="E34" i="6"/>
  <c r="F34" i="6" s="1"/>
  <c r="B59" i="6"/>
  <c r="C59" i="6" s="1"/>
  <c r="B60" i="6" s="1"/>
  <c r="C60" i="6" s="1"/>
  <c r="W3" i="5"/>
  <c r="X3" i="5" s="1"/>
  <c r="W4" i="5" s="1"/>
  <c r="X4" i="5" s="1"/>
  <c r="W5" i="5" s="1"/>
  <c r="X5" i="5" s="1"/>
  <c r="W6" i="5" s="1"/>
  <c r="X6" i="5" s="1"/>
  <c r="W7" i="5" s="1"/>
  <c r="X7" i="5" s="1"/>
  <c r="W8" i="5" s="1"/>
  <c r="X8" i="5" s="1"/>
  <c r="W9" i="5" s="1"/>
  <c r="X9" i="5" s="1"/>
  <c r="W10" i="5" s="1"/>
  <c r="X10" i="5" s="1"/>
  <c r="W11" i="5" s="1"/>
  <c r="X11" i="5" s="1"/>
  <c r="W12" i="5" s="1"/>
  <c r="X12" i="5" s="1"/>
  <c r="W13" i="5" s="1"/>
  <c r="X13" i="5" s="1"/>
  <c r="W14" i="5" s="1"/>
  <c r="X14" i="5" s="1"/>
  <c r="W15" i="5" s="1"/>
  <c r="X15" i="5" s="1"/>
  <c r="W16" i="5" s="1"/>
  <c r="X16" i="5" s="1"/>
  <c r="W17" i="5" s="1"/>
  <c r="X17" i="5" s="1"/>
  <c r="W18" i="5" s="1"/>
  <c r="X18" i="5" s="1"/>
  <c r="W19" i="5" s="1"/>
  <c r="X19" i="5" s="1"/>
  <c r="W20" i="5" s="1"/>
  <c r="X20" i="5" s="1"/>
  <c r="W21" i="5" s="1"/>
  <c r="X21" i="5" s="1"/>
  <c r="W22" i="5" s="1"/>
  <c r="X22" i="5" s="1"/>
  <c r="W23" i="5" s="1"/>
  <c r="X23" i="5" s="1"/>
  <c r="W24" i="5" s="1"/>
  <c r="X24" i="5" s="1"/>
  <c r="W25" i="5" s="1"/>
  <c r="X25" i="5" s="1"/>
  <c r="W26" i="5" s="1"/>
  <c r="X26" i="5" s="1"/>
  <c r="W27" i="5" s="1"/>
  <c r="X27" i="5" s="1"/>
  <c r="W28" i="5" s="1"/>
  <c r="X28" i="5" s="1"/>
  <c r="W29" i="5" s="1"/>
  <c r="X29" i="5" s="1"/>
  <c r="W30" i="5" s="1"/>
  <c r="X30" i="5" s="1"/>
  <c r="W31" i="5" s="1"/>
  <c r="X31" i="5" s="1"/>
  <c r="W32" i="5" s="1"/>
  <c r="X32" i="5" s="1"/>
  <c r="W33" i="5" s="1"/>
  <c r="X33" i="5" s="1"/>
  <c r="W34" i="5" s="1"/>
  <c r="X34" i="5" s="1"/>
  <c r="W35" i="5" s="1"/>
  <c r="X35" i="5" s="1"/>
  <c r="W36" i="5" s="1"/>
  <c r="X36" i="5" s="1"/>
  <c r="W37" i="5" s="1"/>
  <c r="X37" i="5" s="1"/>
  <c r="W38" i="5" s="1"/>
  <c r="X38" i="5" s="1"/>
  <c r="W39" i="5" s="1"/>
  <c r="X39" i="5" s="1"/>
  <c r="W40" i="5" s="1"/>
  <c r="X40" i="5" s="1"/>
  <c r="W41" i="5" s="1"/>
  <c r="X41" i="5" s="1"/>
  <c r="W42" i="5" s="1"/>
  <c r="X42" i="5" s="1"/>
  <c r="W43" i="5" s="1"/>
  <c r="X43" i="5" s="1"/>
  <c r="W44" i="5" s="1"/>
  <c r="X44" i="5" s="1"/>
  <c r="W45" i="5" s="1"/>
  <c r="X45" i="5" s="1"/>
  <c r="W46" i="5" s="1"/>
  <c r="X46" i="5" s="1"/>
  <c r="W47" i="5" s="1"/>
  <c r="X47" i="5" s="1"/>
  <c r="W48" i="5" s="1"/>
  <c r="X48" i="5" s="1"/>
  <c r="W49" i="5" s="1"/>
  <c r="X49" i="5" s="1"/>
  <c r="W50" i="5" s="1"/>
  <c r="X50" i="5" s="1"/>
  <c r="W51" i="5" s="1"/>
  <c r="X51" i="5" s="1"/>
  <c r="W52" i="5" s="1"/>
  <c r="X52" i="5" s="1"/>
  <c r="W53" i="5" s="1"/>
  <c r="X53" i="5" s="1"/>
  <c r="W54" i="5" s="1"/>
  <c r="X54" i="5" s="1"/>
  <c r="W55" i="5" s="1"/>
  <c r="X55" i="5" s="1"/>
  <c r="W56" i="5" s="1"/>
  <c r="X56" i="5" s="1"/>
  <c r="W57" i="5" s="1"/>
  <c r="X57" i="5" s="1"/>
  <c r="W58" i="5" s="1"/>
  <c r="X58" i="5" s="1"/>
  <c r="W59" i="5" s="1"/>
  <c r="X59" i="5" s="1"/>
  <c r="W60" i="5" s="1"/>
  <c r="X60" i="5" s="1"/>
  <c r="W61" i="5" s="1"/>
  <c r="X61" i="5" s="1"/>
  <c r="W62" i="5" s="1"/>
  <c r="X62" i="5" s="1"/>
  <c r="W63" i="5" s="1"/>
  <c r="X63" i="5" s="1"/>
  <c r="W64" i="5" s="1"/>
  <c r="X64" i="5" s="1"/>
  <c r="W65" i="5" s="1"/>
  <c r="X65" i="5" s="1"/>
  <c r="W66" i="5" s="1"/>
  <c r="X66" i="5" s="1"/>
  <c r="W67" i="5" s="1"/>
  <c r="X67" i="5" s="1"/>
  <c r="W68" i="5" s="1"/>
  <c r="X68" i="5" s="1"/>
  <c r="W69" i="5" s="1"/>
  <c r="X69" i="5" s="1"/>
  <c r="W70" i="5" s="1"/>
  <c r="X70" i="5" s="1"/>
  <c r="W71" i="5" s="1"/>
  <c r="X71" i="5" s="1"/>
  <c r="W72" i="5" s="1"/>
  <c r="X72" i="5" s="1"/>
  <c r="W73" i="5" s="1"/>
  <c r="X73" i="5" s="1"/>
  <c r="W74" i="5" s="1"/>
  <c r="X74" i="5" s="1"/>
  <c r="W75" i="5" s="1"/>
  <c r="X75" i="5" s="1"/>
  <c r="W76" i="5" s="1"/>
  <c r="X76" i="5" s="1"/>
  <c r="W77" i="5" s="1"/>
  <c r="X77" i="5" s="1"/>
  <c r="W78" i="5" s="1"/>
  <c r="X78" i="5" s="1"/>
  <c r="W79" i="5" s="1"/>
  <c r="X79" i="5" s="1"/>
  <c r="W80" i="5" s="1"/>
  <c r="X80" i="5" s="1"/>
  <c r="W81" i="5" s="1"/>
  <c r="X81" i="5" s="1"/>
  <c r="W82" i="5" s="1"/>
  <c r="X82" i="5" s="1"/>
  <c r="W83" i="5" s="1"/>
  <c r="X83" i="5" s="1"/>
  <c r="W84" i="5" s="1"/>
  <c r="X84" i="5" s="1"/>
  <c r="W85" i="5" s="1"/>
  <c r="X85" i="5" s="1"/>
  <c r="W86" i="5" s="1"/>
  <c r="X86" i="5" s="1"/>
  <c r="W87" i="5" s="1"/>
  <c r="X87" i="5" s="1"/>
  <c r="W88" i="5" s="1"/>
  <c r="X88" i="5" s="1"/>
  <c r="W89" i="5" s="1"/>
  <c r="X89" i="5" s="1"/>
  <c r="W90" i="5" s="1"/>
  <c r="X90" i="5" s="1"/>
  <c r="W91" i="5" s="1"/>
  <c r="X91" i="5" s="1"/>
  <c r="W92" i="5" s="1"/>
  <c r="X92" i="5" s="1"/>
  <c r="W93" i="5" s="1"/>
  <c r="X93" i="5" s="1"/>
  <c r="W94" i="5" s="1"/>
  <c r="X94" i="5" s="1"/>
  <c r="W95" i="5" s="1"/>
  <c r="X95" i="5" s="1"/>
  <c r="W96" i="5" s="1"/>
  <c r="X96" i="5" s="1"/>
  <c r="W97" i="5" s="1"/>
  <c r="X97" i="5" s="1"/>
  <c r="W98" i="5" s="1"/>
  <c r="X98" i="5" s="1"/>
  <c r="W99" i="5" s="1"/>
  <c r="X99" i="5" s="1"/>
  <c r="W100" i="5" s="1"/>
  <c r="X100" i="5" s="1"/>
  <c r="W101" i="5" s="1"/>
  <c r="X101" i="5" s="1"/>
  <c r="W102" i="5" s="1"/>
  <c r="X102" i="5" s="1"/>
  <c r="AI3" i="5"/>
  <c r="AJ3" i="5" s="1"/>
  <c r="AI4" i="5" s="1"/>
  <c r="AJ4" i="5" s="1"/>
  <c r="AI5" i="5" s="1"/>
  <c r="AJ5" i="5" s="1"/>
  <c r="AI6" i="5" s="1"/>
  <c r="AJ6" i="5" s="1"/>
  <c r="AI7" i="5" s="1"/>
  <c r="AJ7" i="5" s="1"/>
  <c r="AI8" i="5" s="1"/>
  <c r="AJ8" i="5" s="1"/>
  <c r="AI9" i="5" s="1"/>
  <c r="AJ9" i="5" s="1"/>
  <c r="AI10" i="5" s="1"/>
  <c r="AJ10" i="5" s="1"/>
  <c r="AI11" i="5" s="1"/>
  <c r="AJ11" i="5" s="1"/>
  <c r="AI12" i="5" s="1"/>
  <c r="AJ12" i="5" s="1"/>
  <c r="AI13" i="5" s="1"/>
  <c r="AJ13" i="5" s="1"/>
  <c r="AI14" i="5" s="1"/>
  <c r="AJ14" i="5" s="1"/>
  <c r="AI15" i="5" s="1"/>
  <c r="AJ15" i="5" s="1"/>
  <c r="AI16" i="5" s="1"/>
  <c r="AJ16" i="5" s="1"/>
  <c r="AI17" i="5" s="1"/>
  <c r="AJ17" i="5" s="1"/>
  <c r="AI18" i="5" s="1"/>
  <c r="AJ18" i="5" s="1"/>
  <c r="AI19" i="5" s="1"/>
  <c r="AJ19" i="5" s="1"/>
  <c r="AI20" i="5" s="1"/>
  <c r="AJ20" i="5" s="1"/>
  <c r="AI21" i="5" s="1"/>
  <c r="AJ21" i="5" s="1"/>
  <c r="AI22" i="5" s="1"/>
  <c r="AJ22" i="5" s="1"/>
  <c r="AI23" i="5" s="1"/>
  <c r="AJ23" i="5" s="1"/>
  <c r="AI24" i="5" s="1"/>
  <c r="AJ24" i="5" s="1"/>
  <c r="AI25" i="5" s="1"/>
  <c r="AJ25" i="5" s="1"/>
  <c r="AI26" i="5" s="1"/>
  <c r="AJ26" i="5" s="1"/>
  <c r="AI27" i="5" s="1"/>
  <c r="AJ27" i="5" s="1"/>
  <c r="AI28" i="5" s="1"/>
  <c r="AJ28" i="5" s="1"/>
  <c r="AI29" i="5" s="1"/>
  <c r="AJ29" i="5" s="1"/>
  <c r="AI30" i="5" s="1"/>
  <c r="AJ30" i="5" s="1"/>
  <c r="AI31" i="5" s="1"/>
  <c r="AJ31" i="5" s="1"/>
  <c r="AI32" i="5" s="1"/>
  <c r="AJ32" i="5" s="1"/>
  <c r="AI33" i="5" s="1"/>
  <c r="AJ33" i="5" s="1"/>
  <c r="AI34" i="5" s="1"/>
  <c r="AJ34" i="5" s="1"/>
  <c r="AI35" i="5" s="1"/>
  <c r="AJ35" i="5" s="1"/>
  <c r="AI36" i="5" s="1"/>
  <c r="AJ36" i="5" s="1"/>
  <c r="AI37" i="5" s="1"/>
  <c r="AJ37" i="5" s="1"/>
  <c r="AI38" i="5" s="1"/>
  <c r="AJ38" i="5" s="1"/>
  <c r="AI39" i="5" s="1"/>
  <c r="AJ39" i="5" s="1"/>
  <c r="AI40" i="5" s="1"/>
  <c r="AJ40" i="5" s="1"/>
  <c r="AI41" i="5" s="1"/>
  <c r="AJ41" i="5" s="1"/>
  <c r="AI42" i="5" s="1"/>
  <c r="AJ42" i="5" s="1"/>
  <c r="AI43" i="5" s="1"/>
  <c r="AJ43" i="5" s="1"/>
  <c r="AI44" i="5" s="1"/>
  <c r="AJ44" i="5" s="1"/>
  <c r="AI45" i="5" s="1"/>
  <c r="AJ45" i="5" s="1"/>
  <c r="AI46" i="5" s="1"/>
  <c r="AJ46" i="5" s="1"/>
  <c r="AI47" i="5" s="1"/>
  <c r="AJ47" i="5" s="1"/>
  <c r="AI48" i="5" s="1"/>
  <c r="AJ48" i="5" s="1"/>
  <c r="AI49" i="5" s="1"/>
  <c r="AJ49" i="5" s="1"/>
  <c r="AI50" i="5" s="1"/>
  <c r="AJ50" i="5" s="1"/>
  <c r="AI51" i="5" s="1"/>
  <c r="AJ51" i="5" s="1"/>
  <c r="AI52" i="5" s="1"/>
  <c r="AJ52" i="5" s="1"/>
  <c r="AI53" i="5" s="1"/>
  <c r="AJ53" i="5" s="1"/>
  <c r="AI54" i="5" s="1"/>
  <c r="AJ54" i="5" s="1"/>
  <c r="AI55" i="5" s="1"/>
  <c r="AJ55" i="5" s="1"/>
  <c r="AI56" i="5" s="1"/>
  <c r="AJ56" i="5" s="1"/>
  <c r="AI57" i="5" s="1"/>
  <c r="AJ57" i="5" s="1"/>
  <c r="AI58" i="5" s="1"/>
  <c r="AJ58" i="5" s="1"/>
  <c r="AI59" i="5" s="1"/>
  <c r="AJ59" i="5" s="1"/>
  <c r="AI60" i="5" s="1"/>
  <c r="AJ60" i="5" s="1"/>
  <c r="AI61" i="5" s="1"/>
  <c r="AJ61" i="5" s="1"/>
  <c r="AI62" i="5" s="1"/>
  <c r="AJ62" i="5" s="1"/>
  <c r="AI63" i="5" s="1"/>
  <c r="AJ63" i="5" s="1"/>
  <c r="AI64" i="5" s="1"/>
  <c r="AJ64" i="5" s="1"/>
  <c r="AI65" i="5" s="1"/>
  <c r="AJ65" i="5" s="1"/>
  <c r="AI66" i="5" s="1"/>
  <c r="AJ66" i="5" s="1"/>
  <c r="AI67" i="5" s="1"/>
  <c r="AJ67" i="5" s="1"/>
  <c r="AI68" i="5" s="1"/>
  <c r="AJ68" i="5" s="1"/>
  <c r="AI69" i="5" s="1"/>
  <c r="AJ69" i="5" s="1"/>
  <c r="AI70" i="5" s="1"/>
  <c r="AJ70" i="5" s="1"/>
  <c r="AI71" i="5" s="1"/>
  <c r="AJ71" i="5" s="1"/>
  <c r="AI72" i="5" s="1"/>
  <c r="AJ72" i="5" s="1"/>
  <c r="AI73" i="5" s="1"/>
  <c r="AJ73" i="5" s="1"/>
  <c r="AI74" i="5" s="1"/>
  <c r="AJ74" i="5" s="1"/>
  <c r="AI75" i="5" s="1"/>
  <c r="AJ75" i="5" s="1"/>
  <c r="AI76" i="5" s="1"/>
  <c r="AJ76" i="5" s="1"/>
  <c r="AI77" i="5" s="1"/>
  <c r="AJ77" i="5" s="1"/>
  <c r="AI78" i="5" s="1"/>
  <c r="AJ78" i="5" s="1"/>
  <c r="AI79" i="5" s="1"/>
  <c r="AJ79" i="5" s="1"/>
  <c r="AI80" i="5" s="1"/>
  <c r="AJ80" i="5" s="1"/>
  <c r="AI81" i="5" s="1"/>
  <c r="AJ81" i="5" s="1"/>
  <c r="AI82" i="5" s="1"/>
  <c r="AJ82" i="5" s="1"/>
  <c r="AI83" i="5" s="1"/>
  <c r="AJ83" i="5" s="1"/>
  <c r="AI84" i="5" s="1"/>
  <c r="AJ84" i="5" s="1"/>
  <c r="AI85" i="5" s="1"/>
  <c r="AJ85" i="5" s="1"/>
  <c r="AI86" i="5" s="1"/>
  <c r="AJ86" i="5" s="1"/>
  <c r="AI87" i="5" s="1"/>
  <c r="AJ87" i="5" s="1"/>
  <c r="AI88" i="5" s="1"/>
  <c r="AJ88" i="5" s="1"/>
  <c r="AI89" i="5" s="1"/>
  <c r="AJ89" i="5" s="1"/>
  <c r="AI90" i="5" s="1"/>
  <c r="AJ90" i="5" s="1"/>
  <c r="AI91" i="5" s="1"/>
  <c r="AJ91" i="5" s="1"/>
  <c r="AI92" i="5" s="1"/>
  <c r="AJ92" i="5" s="1"/>
  <c r="AI93" i="5" s="1"/>
  <c r="AJ93" i="5" s="1"/>
  <c r="AI94" i="5" s="1"/>
  <c r="AJ94" i="5" s="1"/>
  <c r="AI95" i="5" s="1"/>
  <c r="AJ95" i="5" s="1"/>
  <c r="AI96" i="5" s="1"/>
  <c r="AJ96" i="5" s="1"/>
  <c r="AI97" i="5" s="1"/>
  <c r="AJ97" i="5" s="1"/>
  <c r="AI98" i="5" s="1"/>
  <c r="AJ98" i="5" s="1"/>
  <c r="AI99" i="5" s="1"/>
  <c r="AJ99" i="5" s="1"/>
  <c r="AI100" i="5" s="1"/>
  <c r="AJ100" i="5" s="1"/>
  <c r="AI101" i="5" s="1"/>
  <c r="AJ101" i="5" s="1"/>
  <c r="AI102" i="5" s="1"/>
  <c r="AJ102" i="5" s="1"/>
  <c r="AU3" i="5"/>
  <c r="AV3" i="5" s="1"/>
  <c r="AU4" i="5" s="1"/>
  <c r="AV4" i="5" s="1"/>
  <c r="AU5" i="5" s="1"/>
  <c r="AV5" i="5" s="1"/>
  <c r="AU6" i="5" s="1"/>
  <c r="AV6" i="5" s="1"/>
  <c r="AU7" i="5" s="1"/>
  <c r="AV7" i="5" s="1"/>
  <c r="AU8" i="5" s="1"/>
  <c r="AV8" i="5" s="1"/>
  <c r="AU9" i="5" s="1"/>
  <c r="AV9" i="5" s="1"/>
  <c r="AU10" i="5" s="1"/>
  <c r="AV10" i="5" s="1"/>
  <c r="AU11" i="5" s="1"/>
  <c r="AV11" i="5" s="1"/>
  <c r="AU12" i="5" s="1"/>
  <c r="AV12" i="5" s="1"/>
  <c r="AU13" i="5" s="1"/>
  <c r="AV13" i="5" s="1"/>
  <c r="AU14" i="5" s="1"/>
  <c r="AV14" i="5" s="1"/>
  <c r="AU15" i="5" s="1"/>
  <c r="AV15" i="5" s="1"/>
  <c r="AU16" i="5" s="1"/>
  <c r="AV16" i="5" s="1"/>
  <c r="AU17" i="5" s="1"/>
  <c r="AV17" i="5" s="1"/>
  <c r="AU18" i="5" s="1"/>
  <c r="AV18" i="5" s="1"/>
  <c r="AU19" i="5" s="1"/>
  <c r="AV19" i="5" s="1"/>
  <c r="AU20" i="5" s="1"/>
  <c r="AV20" i="5" s="1"/>
  <c r="AU21" i="5" s="1"/>
  <c r="AV21" i="5" s="1"/>
  <c r="AU22" i="5" s="1"/>
  <c r="AV22" i="5" s="1"/>
  <c r="AU23" i="5" s="1"/>
  <c r="AV23" i="5" s="1"/>
  <c r="AU24" i="5" s="1"/>
  <c r="AV24" i="5" s="1"/>
  <c r="AU25" i="5" s="1"/>
  <c r="AV25" i="5" s="1"/>
  <c r="AU26" i="5" s="1"/>
  <c r="AV26" i="5" s="1"/>
  <c r="AU27" i="5" s="1"/>
  <c r="AV27" i="5" s="1"/>
  <c r="AU28" i="5" s="1"/>
  <c r="AV28" i="5" s="1"/>
  <c r="AU29" i="5" s="1"/>
  <c r="AV29" i="5" s="1"/>
  <c r="AU30" i="5" s="1"/>
  <c r="AV30" i="5" s="1"/>
  <c r="AU31" i="5" s="1"/>
  <c r="AV31" i="5" s="1"/>
  <c r="AU32" i="5" s="1"/>
  <c r="AV32" i="5" s="1"/>
  <c r="AU33" i="5" s="1"/>
  <c r="AV33" i="5" s="1"/>
  <c r="AU34" i="5" s="1"/>
  <c r="AV34" i="5" s="1"/>
  <c r="AU35" i="5" s="1"/>
  <c r="AV35" i="5" s="1"/>
  <c r="AU36" i="5" s="1"/>
  <c r="AV36" i="5" s="1"/>
  <c r="AU37" i="5" s="1"/>
  <c r="AV37" i="5" s="1"/>
  <c r="AU38" i="5" s="1"/>
  <c r="AV38" i="5" s="1"/>
  <c r="AU39" i="5" s="1"/>
  <c r="AV39" i="5" s="1"/>
  <c r="AU40" i="5" s="1"/>
  <c r="AV40" i="5" s="1"/>
  <c r="AU41" i="5" s="1"/>
  <c r="AV41" i="5" s="1"/>
  <c r="AU42" i="5" s="1"/>
  <c r="AV42" i="5" s="1"/>
  <c r="AU43" i="5" s="1"/>
  <c r="AV43" i="5" s="1"/>
  <c r="AU44" i="5" s="1"/>
  <c r="AV44" i="5" s="1"/>
  <c r="AU45" i="5" s="1"/>
  <c r="AV45" i="5" s="1"/>
  <c r="AU46" i="5" s="1"/>
  <c r="AV46" i="5" s="1"/>
  <c r="AU47" i="5" s="1"/>
  <c r="AV47" i="5" s="1"/>
  <c r="AU48" i="5" s="1"/>
  <c r="AV48" i="5" s="1"/>
  <c r="AU49" i="5" s="1"/>
  <c r="AV49" i="5" s="1"/>
  <c r="AU50" i="5" s="1"/>
  <c r="AV50" i="5" s="1"/>
  <c r="AU51" i="5" s="1"/>
  <c r="AV51" i="5" s="1"/>
  <c r="AU52" i="5" s="1"/>
  <c r="AV52" i="5" s="1"/>
  <c r="AU53" i="5" s="1"/>
  <c r="AV53" i="5" s="1"/>
  <c r="AU54" i="5" s="1"/>
  <c r="AV54" i="5" s="1"/>
  <c r="AU55" i="5" s="1"/>
  <c r="AV55" i="5" s="1"/>
  <c r="AU56" i="5" s="1"/>
  <c r="AV56" i="5" s="1"/>
  <c r="AU57" i="5" s="1"/>
  <c r="AV57" i="5" s="1"/>
  <c r="AU58" i="5" s="1"/>
  <c r="AV58" i="5" s="1"/>
  <c r="AU59" i="5" s="1"/>
  <c r="AV59" i="5" s="1"/>
  <c r="AU60" i="5" s="1"/>
  <c r="AV60" i="5" s="1"/>
  <c r="AU61" i="5" s="1"/>
  <c r="AV61" i="5" s="1"/>
  <c r="AU62" i="5" s="1"/>
  <c r="AV62" i="5" s="1"/>
  <c r="AU63" i="5" s="1"/>
  <c r="AV63" i="5" s="1"/>
  <c r="AU64" i="5" s="1"/>
  <c r="AV64" i="5" s="1"/>
  <c r="AU65" i="5" s="1"/>
  <c r="AV65" i="5" s="1"/>
  <c r="AU66" i="5" s="1"/>
  <c r="AV66" i="5" s="1"/>
  <c r="AU67" i="5" s="1"/>
  <c r="AV67" i="5" s="1"/>
  <c r="AU68" i="5" s="1"/>
  <c r="AV68" i="5" s="1"/>
  <c r="AU69" i="5" s="1"/>
  <c r="AV69" i="5" s="1"/>
  <c r="AU70" i="5" s="1"/>
  <c r="AV70" i="5" s="1"/>
  <c r="AU71" i="5" s="1"/>
  <c r="AV71" i="5" s="1"/>
  <c r="AU72" i="5" s="1"/>
  <c r="AV72" i="5" s="1"/>
  <c r="AU73" i="5" s="1"/>
  <c r="AV73" i="5" s="1"/>
  <c r="AU74" i="5" s="1"/>
  <c r="AV74" i="5" s="1"/>
  <c r="AU75" i="5" s="1"/>
  <c r="AV75" i="5" s="1"/>
  <c r="AU76" i="5" s="1"/>
  <c r="AV76" i="5" s="1"/>
  <c r="AU77" i="5" s="1"/>
  <c r="AV77" i="5" s="1"/>
  <c r="AU78" i="5" s="1"/>
  <c r="AV78" i="5" s="1"/>
  <c r="AU79" i="5" s="1"/>
  <c r="AV79" i="5" s="1"/>
  <c r="AU80" i="5" s="1"/>
  <c r="AV80" i="5" s="1"/>
  <c r="AU81" i="5" s="1"/>
  <c r="AV81" i="5" s="1"/>
  <c r="AU82" i="5" s="1"/>
  <c r="AV82" i="5" s="1"/>
  <c r="AU83" i="5" s="1"/>
  <c r="AV83" i="5" s="1"/>
  <c r="AU84" i="5" s="1"/>
  <c r="AV84" i="5" s="1"/>
  <c r="AU85" i="5" s="1"/>
  <c r="AV85" i="5" s="1"/>
  <c r="AU86" i="5" s="1"/>
  <c r="AV86" i="5" s="1"/>
  <c r="AU87" i="5" s="1"/>
  <c r="AV87" i="5" s="1"/>
  <c r="AU88" i="5" s="1"/>
  <c r="AV88" i="5" s="1"/>
  <c r="AU89" i="5" s="1"/>
  <c r="AV89" i="5" s="1"/>
  <c r="AU90" i="5" s="1"/>
  <c r="AV90" i="5" s="1"/>
  <c r="AU91" i="5" s="1"/>
  <c r="AV91" i="5" s="1"/>
  <c r="AU92" i="5" s="1"/>
  <c r="AV92" i="5" s="1"/>
  <c r="AU93" i="5" s="1"/>
  <c r="AV93" i="5" s="1"/>
  <c r="AU94" i="5" s="1"/>
  <c r="AV94" i="5" s="1"/>
  <c r="AU95" i="5" s="1"/>
  <c r="AV95" i="5" s="1"/>
  <c r="AU96" i="5" s="1"/>
  <c r="AV96" i="5" s="1"/>
  <c r="AU97" i="5" s="1"/>
  <c r="AV97" i="5" s="1"/>
  <c r="AU98" i="5" s="1"/>
  <c r="AV98" i="5" s="1"/>
  <c r="AU99" i="5" s="1"/>
  <c r="AV99" i="5" s="1"/>
  <c r="AU100" i="5" s="1"/>
  <c r="AV100" i="5" s="1"/>
  <c r="AU101" i="5" s="1"/>
  <c r="AV101" i="5" s="1"/>
  <c r="AU102" i="5" s="1"/>
  <c r="AV102" i="5" s="1"/>
  <c r="K27" i="10" l="1"/>
  <c r="K28" i="10"/>
  <c r="Q34" i="4"/>
  <c r="Q30" i="4"/>
  <c r="Q32" i="4"/>
  <c r="J22" i="10"/>
  <c r="K22" i="10" s="1"/>
  <c r="CP31" i="7"/>
  <c r="CO32" i="7" s="1"/>
  <c r="CM30" i="7"/>
  <c r="CL31" i="7" s="1"/>
  <c r="CJ29" i="7"/>
  <c r="CI30" i="7" s="1"/>
  <c r="CG31" i="7"/>
  <c r="CF32" i="7" s="1"/>
  <c r="CC32" i="7"/>
  <c r="CD32" i="7" s="1"/>
  <c r="BX31" i="7"/>
  <c r="BW32" i="7" s="1"/>
  <c r="BT30" i="7"/>
  <c r="BU30" i="7" s="1"/>
  <c r="BR30" i="7"/>
  <c r="BQ31" i="7" s="1"/>
  <c r="BN32" i="7"/>
  <c r="BO32" i="7" s="1"/>
  <c r="BK32" i="7"/>
  <c r="BL32" i="7" s="1"/>
  <c r="BH31" i="7"/>
  <c r="BI31" i="7" s="1"/>
  <c r="BB32" i="7"/>
  <c r="BC32" i="7" s="1"/>
  <c r="AZ31" i="7"/>
  <c r="AY32" i="7" s="1"/>
  <c r="BF30" i="7"/>
  <c r="BE31" i="7" s="1"/>
  <c r="CR33" i="7"/>
  <c r="CS33" i="7" s="1"/>
  <c r="GN31" i="7"/>
  <c r="GM32" i="7" s="1"/>
  <c r="GK31" i="7"/>
  <c r="GJ32" i="7" s="1"/>
  <c r="GG31" i="7"/>
  <c r="GH31" i="7" s="1"/>
  <c r="GE32" i="7"/>
  <c r="GD33" i="7" s="1"/>
  <c r="GB32" i="7"/>
  <c r="GA33" i="7" s="1"/>
  <c r="FX32" i="7"/>
  <c r="FY32" i="7" s="1"/>
  <c r="FV33" i="7"/>
  <c r="FU34" i="7" s="1"/>
  <c r="FR32" i="7"/>
  <c r="FS32" i="7" s="1"/>
  <c r="FO31" i="7"/>
  <c r="FP31" i="7" s="1"/>
  <c r="FL31" i="7"/>
  <c r="FM31" i="7" s="1"/>
  <c r="FJ32" i="7"/>
  <c r="FI33" i="7" s="1"/>
  <c r="FF31" i="7"/>
  <c r="FG31" i="7" s="1"/>
  <c r="FD31" i="7"/>
  <c r="FC32" i="7" s="1"/>
  <c r="FA32" i="7"/>
  <c r="EZ33" i="7" s="1"/>
  <c r="EX31" i="7"/>
  <c r="EW32" i="7" s="1"/>
  <c r="EU32" i="7"/>
  <c r="ET33" i="7" s="1"/>
  <c r="ER30" i="7"/>
  <c r="EQ31" i="7" s="1"/>
  <c r="EO31" i="7"/>
  <c r="EN32" i="7" s="1"/>
  <c r="EL31" i="7"/>
  <c r="EK32" i="7" s="1"/>
  <c r="EI32" i="7"/>
  <c r="EH33" i="7" s="1"/>
  <c r="EF31" i="7"/>
  <c r="EE32" i="7" s="1"/>
  <c r="EC32" i="7"/>
  <c r="EB33" i="7" s="1"/>
  <c r="DY32" i="7"/>
  <c r="DZ32" i="7" s="1"/>
  <c r="DT32" i="7"/>
  <c r="DS33" i="7" s="1"/>
  <c r="DQ31" i="7"/>
  <c r="DP32" i="7" s="1"/>
  <c r="DN32" i="7"/>
  <c r="DM33" i="7" s="1"/>
  <c r="DH31" i="7"/>
  <c r="DG32" i="7" s="1"/>
  <c r="CX32" i="7"/>
  <c r="CY32" i="7" s="1"/>
  <c r="C33" i="7"/>
  <c r="D33" i="7" s="1"/>
  <c r="CA35" i="7"/>
  <c r="BZ36" i="7" s="1"/>
  <c r="O35" i="7"/>
  <c r="P35" i="7" s="1"/>
  <c r="E35" i="6"/>
  <c r="F35" i="6" s="1"/>
  <c r="B61" i="6"/>
  <c r="C61" i="6" s="1"/>
  <c r="B62" i="6" s="1"/>
  <c r="C62" i="6" s="1"/>
  <c r="J29" i="10" l="1"/>
  <c r="K29" i="10" s="1"/>
  <c r="J25" i="10"/>
  <c r="K25" i="10" s="1"/>
  <c r="N22" i="10"/>
  <c r="J23" i="10"/>
  <c r="K23" i="10" s="1"/>
  <c r="CP32" i="7"/>
  <c r="CO33" i="7" s="1"/>
  <c r="CM31" i="7"/>
  <c r="CL32" i="7" s="1"/>
  <c r="CJ30" i="7"/>
  <c r="CI31" i="7" s="1"/>
  <c r="CG32" i="7"/>
  <c r="CF33" i="7" s="1"/>
  <c r="CC33" i="7"/>
  <c r="CD33" i="7" s="1"/>
  <c r="BX32" i="7"/>
  <c r="BW33" i="7" s="1"/>
  <c r="BT31" i="7"/>
  <c r="BU31" i="7" s="1"/>
  <c r="BR31" i="7"/>
  <c r="BQ32" i="7" s="1"/>
  <c r="BN33" i="7"/>
  <c r="BO33" i="7" s="1"/>
  <c r="BK33" i="7"/>
  <c r="BL33" i="7" s="1"/>
  <c r="BH32" i="7"/>
  <c r="BI32" i="7" s="1"/>
  <c r="BB33" i="7"/>
  <c r="BC33" i="7" s="1"/>
  <c r="AZ32" i="7"/>
  <c r="AY33" i="7" s="1"/>
  <c r="BF31" i="7"/>
  <c r="BE32" i="7" s="1"/>
  <c r="CR34" i="7"/>
  <c r="CS34" i="7" s="1"/>
  <c r="GN32" i="7"/>
  <c r="GM33" i="7" s="1"/>
  <c r="GK32" i="7"/>
  <c r="GJ33" i="7" s="1"/>
  <c r="GG32" i="7"/>
  <c r="GH32" i="7" s="1"/>
  <c r="GE33" i="7"/>
  <c r="GD34" i="7" s="1"/>
  <c r="GB33" i="7"/>
  <c r="GA34" i="7" s="1"/>
  <c r="FX33" i="7"/>
  <c r="FY33" i="7" s="1"/>
  <c r="FV34" i="7"/>
  <c r="FU35" i="7" s="1"/>
  <c r="FR33" i="7"/>
  <c r="FS33" i="7" s="1"/>
  <c r="FO32" i="7"/>
  <c r="FP32" i="7" s="1"/>
  <c r="FL32" i="7"/>
  <c r="FM32" i="7" s="1"/>
  <c r="FJ33" i="7"/>
  <c r="FI34" i="7" s="1"/>
  <c r="FF32" i="7"/>
  <c r="FG32" i="7" s="1"/>
  <c r="FD32" i="7"/>
  <c r="FC33" i="7" s="1"/>
  <c r="FA33" i="7"/>
  <c r="EZ34" i="7" s="1"/>
  <c r="EX32" i="7"/>
  <c r="EW33" i="7" s="1"/>
  <c r="EU33" i="7"/>
  <c r="ET34" i="7" s="1"/>
  <c r="ER31" i="7"/>
  <c r="EQ32" i="7" s="1"/>
  <c r="EO32" i="7"/>
  <c r="EN33" i="7" s="1"/>
  <c r="EL32" i="7"/>
  <c r="EK33" i="7" s="1"/>
  <c r="EI33" i="7"/>
  <c r="EH34" i="7" s="1"/>
  <c r="EF32" i="7"/>
  <c r="EE33" i="7" s="1"/>
  <c r="EC33" i="7"/>
  <c r="EB34" i="7" s="1"/>
  <c r="DY33" i="7"/>
  <c r="DZ33" i="7" s="1"/>
  <c r="DT33" i="7"/>
  <c r="DS34" i="7" s="1"/>
  <c r="DQ32" i="7"/>
  <c r="DP33" i="7" s="1"/>
  <c r="DN33" i="7"/>
  <c r="DM34" i="7" s="1"/>
  <c r="DH32" i="7"/>
  <c r="DG33" i="7" s="1"/>
  <c r="CX33" i="7"/>
  <c r="CY33" i="7" s="1"/>
  <c r="C34" i="7"/>
  <c r="D34" i="7" s="1"/>
  <c r="CA36" i="7"/>
  <c r="BZ37" i="7" s="1"/>
  <c r="O36" i="7"/>
  <c r="P36" i="7" s="1"/>
  <c r="E36" i="6"/>
  <c r="F36" i="6" s="1"/>
  <c r="B63" i="6"/>
  <c r="C63" i="6" s="1"/>
  <c r="B64" i="6" s="1"/>
  <c r="C64" i="6" s="1"/>
  <c r="N29" i="10" l="1"/>
  <c r="N25" i="10"/>
  <c r="N23" i="10"/>
  <c r="CP33" i="7"/>
  <c r="CO34" i="7" s="1"/>
  <c r="CM32" i="7"/>
  <c r="CL33" i="7" s="1"/>
  <c r="CJ31" i="7"/>
  <c r="CI32" i="7" s="1"/>
  <c r="CG33" i="7"/>
  <c r="CF34" i="7" s="1"/>
  <c r="CC34" i="7"/>
  <c r="CD34" i="7" s="1"/>
  <c r="BX33" i="7"/>
  <c r="BW34" i="7" s="1"/>
  <c r="BT32" i="7"/>
  <c r="BU32" i="7" s="1"/>
  <c r="BR32" i="7"/>
  <c r="BQ33" i="7" s="1"/>
  <c r="BN34" i="7"/>
  <c r="BO34" i="7" s="1"/>
  <c r="BK34" i="7"/>
  <c r="BL34" i="7" s="1"/>
  <c r="BH33" i="7"/>
  <c r="BI33" i="7" s="1"/>
  <c r="BB34" i="7"/>
  <c r="BC34" i="7" s="1"/>
  <c r="AZ33" i="7"/>
  <c r="AY34" i="7" s="1"/>
  <c r="BF32" i="7"/>
  <c r="BE33" i="7" s="1"/>
  <c r="CR35" i="7"/>
  <c r="CS35" i="7" s="1"/>
  <c r="GN33" i="7"/>
  <c r="GM34" i="7" s="1"/>
  <c r="GK33" i="7"/>
  <c r="GJ34" i="7" s="1"/>
  <c r="GG33" i="7"/>
  <c r="GH33" i="7" s="1"/>
  <c r="GE34" i="7"/>
  <c r="GD35" i="7" s="1"/>
  <c r="GB34" i="7"/>
  <c r="GA35" i="7" s="1"/>
  <c r="FX34" i="7"/>
  <c r="FY34" i="7" s="1"/>
  <c r="FV35" i="7"/>
  <c r="FU36" i="7" s="1"/>
  <c r="FR34" i="7"/>
  <c r="FS34" i="7" s="1"/>
  <c r="FO33" i="7"/>
  <c r="FP33" i="7" s="1"/>
  <c r="FL33" i="7"/>
  <c r="FM33" i="7" s="1"/>
  <c r="FJ34" i="7"/>
  <c r="FI35" i="7" s="1"/>
  <c r="FF33" i="7"/>
  <c r="FG33" i="7" s="1"/>
  <c r="FD33" i="7"/>
  <c r="FC34" i="7" s="1"/>
  <c r="FA34" i="7"/>
  <c r="EZ35" i="7" s="1"/>
  <c r="EX33" i="7"/>
  <c r="EW34" i="7" s="1"/>
  <c r="EU34" i="7"/>
  <c r="ET35" i="7" s="1"/>
  <c r="ER32" i="7"/>
  <c r="EQ33" i="7" s="1"/>
  <c r="EO33" i="7"/>
  <c r="EN34" i="7" s="1"/>
  <c r="EL33" i="7"/>
  <c r="EK34" i="7" s="1"/>
  <c r="EI34" i="7"/>
  <c r="EH35" i="7" s="1"/>
  <c r="EF33" i="7"/>
  <c r="EE34" i="7" s="1"/>
  <c r="EC34" i="7"/>
  <c r="EB35" i="7" s="1"/>
  <c r="DY34" i="7"/>
  <c r="DZ34" i="7" s="1"/>
  <c r="DT34" i="7"/>
  <c r="DS35" i="7" s="1"/>
  <c r="DQ33" i="7"/>
  <c r="DP34" i="7" s="1"/>
  <c r="DN34" i="7"/>
  <c r="DM35" i="7" s="1"/>
  <c r="DH33" i="7"/>
  <c r="DG34" i="7" s="1"/>
  <c r="CX34" i="7"/>
  <c r="CY34" i="7" s="1"/>
  <c r="C35" i="7"/>
  <c r="D35" i="7" s="1"/>
  <c r="CA37" i="7"/>
  <c r="BZ38" i="7" s="1"/>
  <c r="O37" i="7"/>
  <c r="P37" i="7" s="1"/>
  <c r="E37" i="6"/>
  <c r="F37" i="6" s="1"/>
  <c r="B65" i="6"/>
  <c r="C65" i="6" s="1"/>
  <c r="B66" i="6" s="1"/>
  <c r="C66" i="6" s="1"/>
  <c r="CP34" i="7" l="1"/>
  <c r="CO35" i="7" s="1"/>
  <c r="CM33" i="7"/>
  <c r="CL34" i="7" s="1"/>
  <c r="CJ32" i="7"/>
  <c r="CI33" i="7" s="1"/>
  <c r="CG34" i="7"/>
  <c r="CF35" i="7" s="1"/>
  <c r="CC35" i="7"/>
  <c r="CD35" i="7" s="1"/>
  <c r="BX34" i="7"/>
  <c r="BW35" i="7" s="1"/>
  <c r="BT33" i="7"/>
  <c r="BU33" i="7" s="1"/>
  <c r="BR33" i="7"/>
  <c r="BQ34" i="7" s="1"/>
  <c r="BN35" i="7"/>
  <c r="BO35" i="7" s="1"/>
  <c r="BK35" i="7"/>
  <c r="BL35" i="7" s="1"/>
  <c r="BH34" i="7"/>
  <c r="BI34" i="7" s="1"/>
  <c r="BB35" i="7"/>
  <c r="BC35" i="7" s="1"/>
  <c r="AZ34" i="7"/>
  <c r="AY35" i="7" s="1"/>
  <c r="BF33" i="7"/>
  <c r="BE34" i="7" s="1"/>
  <c r="CR36" i="7"/>
  <c r="CS36" i="7" s="1"/>
  <c r="GN34" i="7"/>
  <c r="GM35" i="7" s="1"/>
  <c r="GK34" i="7"/>
  <c r="GJ35" i="7" s="1"/>
  <c r="GG34" i="7"/>
  <c r="GH34" i="7" s="1"/>
  <c r="GE35" i="7"/>
  <c r="GD36" i="7" s="1"/>
  <c r="GB35" i="7"/>
  <c r="GA36" i="7" s="1"/>
  <c r="FX35" i="7"/>
  <c r="FY35" i="7" s="1"/>
  <c r="FV36" i="7"/>
  <c r="FU37" i="7" s="1"/>
  <c r="FR35" i="7"/>
  <c r="FS35" i="7" s="1"/>
  <c r="FO34" i="7"/>
  <c r="FP34" i="7" s="1"/>
  <c r="FL34" i="7"/>
  <c r="FM34" i="7" s="1"/>
  <c r="FJ35" i="7"/>
  <c r="FI36" i="7" s="1"/>
  <c r="FF34" i="7"/>
  <c r="FG34" i="7" s="1"/>
  <c r="FD34" i="7"/>
  <c r="FC35" i="7" s="1"/>
  <c r="FA35" i="7"/>
  <c r="EZ36" i="7" s="1"/>
  <c r="EX34" i="7"/>
  <c r="EW35" i="7" s="1"/>
  <c r="EU35" i="7"/>
  <c r="ET36" i="7" s="1"/>
  <c r="ER33" i="7"/>
  <c r="EQ34" i="7" s="1"/>
  <c r="EO34" i="7"/>
  <c r="EN35" i="7" s="1"/>
  <c r="EL34" i="7"/>
  <c r="EK35" i="7" s="1"/>
  <c r="EI35" i="7"/>
  <c r="EH36" i="7" s="1"/>
  <c r="EF34" i="7"/>
  <c r="EE35" i="7" s="1"/>
  <c r="EC35" i="7"/>
  <c r="EB36" i="7" s="1"/>
  <c r="DY35" i="7"/>
  <c r="DZ35" i="7" s="1"/>
  <c r="DT35" i="7"/>
  <c r="DS36" i="7" s="1"/>
  <c r="DQ34" i="7"/>
  <c r="DP35" i="7" s="1"/>
  <c r="DN35" i="7"/>
  <c r="DM36" i="7" s="1"/>
  <c r="DH34" i="7"/>
  <c r="DG35" i="7" s="1"/>
  <c r="CX35" i="7"/>
  <c r="CY35" i="7" s="1"/>
  <c r="C36" i="7"/>
  <c r="D36" i="7" s="1"/>
  <c r="CA38" i="7"/>
  <c r="BZ39" i="7" s="1"/>
  <c r="O38" i="7"/>
  <c r="P38" i="7" s="1"/>
  <c r="E38" i="6"/>
  <c r="F38" i="6" s="1"/>
  <c r="B67" i="6"/>
  <c r="C67" i="6" s="1"/>
  <c r="B68" i="6" s="1"/>
  <c r="C68" i="6" s="1"/>
  <c r="CP35" i="7" l="1"/>
  <c r="CO36" i="7" s="1"/>
  <c r="CM34" i="7"/>
  <c r="CL35" i="7" s="1"/>
  <c r="CJ33" i="7"/>
  <c r="CI34" i="7" s="1"/>
  <c r="CG35" i="7"/>
  <c r="CF36" i="7" s="1"/>
  <c r="CC36" i="7"/>
  <c r="CD36" i="7" s="1"/>
  <c r="BX35" i="7"/>
  <c r="BW36" i="7" s="1"/>
  <c r="BT34" i="7"/>
  <c r="BU34" i="7" s="1"/>
  <c r="BR34" i="7"/>
  <c r="BQ35" i="7" s="1"/>
  <c r="BN36" i="7"/>
  <c r="BO36" i="7" s="1"/>
  <c r="BK36" i="7"/>
  <c r="BL36" i="7" s="1"/>
  <c r="BH35" i="7"/>
  <c r="BI35" i="7" s="1"/>
  <c r="BB36" i="7"/>
  <c r="BC36" i="7" s="1"/>
  <c r="AZ35" i="7"/>
  <c r="AY36" i="7" s="1"/>
  <c r="BF34" i="7"/>
  <c r="BE35" i="7" s="1"/>
  <c r="CR37" i="7"/>
  <c r="CS37" i="7" s="1"/>
  <c r="GN35" i="7"/>
  <c r="GM36" i="7" s="1"/>
  <c r="GK35" i="7"/>
  <c r="GJ36" i="7" s="1"/>
  <c r="GG35" i="7"/>
  <c r="GH35" i="7" s="1"/>
  <c r="GE36" i="7"/>
  <c r="GD37" i="7" s="1"/>
  <c r="GB36" i="7"/>
  <c r="GA37" i="7" s="1"/>
  <c r="FX36" i="7"/>
  <c r="FY36" i="7" s="1"/>
  <c r="FV37" i="7"/>
  <c r="FU38" i="7" s="1"/>
  <c r="FR36" i="7"/>
  <c r="FS36" i="7" s="1"/>
  <c r="FO35" i="7"/>
  <c r="FP35" i="7" s="1"/>
  <c r="FL35" i="7"/>
  <c r="FM35" i="7" s="1"/>
  <c r="FJ36" i="7"/>
  <c r="FI37" i="7" s="1"/>
  <c r="FF35" i="7"/>
  <c r="FG35" i="7" s="1"/>
  <c r="FD35" i="7"/>
  <c r="FC36" i="7" s="1"/>
  <c r="FA36" i="7"/>
  <c r="EZ37" i="7" s="1"/>
  <c r="EX35" i="7"/>
  <c r="EW36" i="7" s="1"/>
  <c r="EU36" i="7"/>
  <c r="ET37" i="7" s="1"/>
  <c r="ER34" i="7"/>
  <c r="EQ35" i="7" s="1"/>
  <c r="EO35" i="7"/>
  <c r="EN36" i="7" s="1"/>
  <c r="EL35" i="7"/>
  <c r="EK36" i="7" s="1"/>
  <c r="EI36" i="7"/>
  <c r="EH37" i="7" s="1"/>
  <c r="EF35" i="7"/>
  <c r="EE36" i="7" s="1"/>
  <c r="EC36" i="7"/>
  <c r="EB37" i="7" s="1"/>
  <c r="DY36" i="7"/>
  <c r="DZ36" i="7" s="1"/>
  <c r="DT36" i="7"/>
  <c r="DS37" i="7" s="1"/>
  <c r="DQ35" i="7"/>
  <c r="DP36" i="7" s="1"/>
  <c r="DN36" i="7"/>
  <c r="DM37" i="7" s="1"/>
  <c r="DH35" i="7"/>
  <c r="DG36" i="7" s="1"/>
  <c r="CX36" i="7"/>
  <c r="CY36" i="7" s="1"/>
  <c r="C37" i="7"/>
  <c r="D37" i="7" s="1"/>
  <c r="CA39" i="7"/>
  <c r="BZ40" i="7" s="1"/>
  <c r="O39" i="7"/>
  <c r="P39" i="7" s="1"/>
  <c r="E39" i="6"/>
  <c r="F39" i="6" s="1"/>
  <c r="B69" i="6"/>
  <c r="C69" i="6" s="1"/>
  <c r="B70" i="6" s="1"/>
  <c r="C70" i="6" s="1"/>
  <c r="CP36" i="7" l="1"/>
  <c r="CO37" i="7" s="1"/>
  <c r="CM35" i="7"/>
  <c r="CL36" i="7" s="1"/>
  <c r="CJ34" i="7"/>
  <c r="CI35" i="7" s="1"/>
  <c r="CG36" i="7"/>
  <c r="CF37" i="7" s="1"/>
  <c r="CC37" i="7"/>
  <c r="CD37" i="7" s="1"/>
  <c r="BX36" i="7"/>
  <c r="BW37" i="7" s="1"/>
  <c r="BT35" i="7"/>
  <c r="BU35" i="7" s="1"/>
  <c r="BR35" i="7"/>
  <c r="BQ36" i="7" s="1"/>
  <c r="BN37" i="7"/>
  <c r="BO37" i="7" s="1"/>
  <c r="BK37" i="7"/>
  <c r="BL37" i="7" s="1"/>
  <c r="BH36" i="7"/>
  <c r="BI36" i="7" s="1"/>
  <c r="BB37" i="7"/>
  <c r="BC37" i="7" s="1"/>
  <c r="AZ36" i="7"/>
  <c r="AY37" i="7" s="1"/>
  <c r="BF35" i="7"/>
  <c r="BE36" i="7" s="1"/>
  <c r="CR38" i="7"/>
  <c r="CS38" i="7" s="1"/>
  <c r="GN36" i="7"/>
  <c r="GM37" i="7" s="1"/>
  <c r="GK36" i="7"/>
  <c r="GJ37" i="7" s="1"/>
  <c r="GG36" i="7"/>
  <c r="GH36" i="7" s="1"/>
  <c r="GE37" i="7"/>
  <c r="GD38" i="7" s="1"/>
  <c r="GB37" i="7"/>
  <c r="GA38" i="7" s="1"/>
  <c r="FX37" i="7"/>
  <c r="FY37" i="7" s="1"/>
  <c r="FV38" i="7"/>
  <c r="FU39" i="7" s="1"/>
  <c r="FR37" i="7"/>
  <c r="FS37" i="7" s="1"/>
  <c r="FO36" i="7"/>
  <c r="FP36" i="7" s="1"/>
  <c r="FL36" i="7"/>
  <c r="FM36" i="7" s="1"/>
  <c r="FJ37" i="7"/>
  <c r="FI38" i="7" s="1"/>
  <c r="FF36" i="7"/>
  <c r="FG36" i="7" s="1"/>
  <c r="FD36" i="7"/>
  <c r="FC37" i="7" s="1"/>
  <c r="FA37" i="7"/>
  <c r="EZ38" i="7" s="1"/>
  <c r="EX36" i="7"/>
  <c r="EW37" i="7" s="1"/>
  <c r="EU37" i="7"/>
  <c r="ET38" i="7" s="1"/>
  <c r="ER35" i="7"/>
  <c r="EQ36" i="7" s="1"/>
  <c r="EO36" i="7"/>
  <c r="EN37" i="7" s="1"/>
  <c r="EL36" i="7"/>
  <c r="EK37" i="7" s="1"/>
  <c r="EI37" i="7"/>
  <c r="EH38" i="7" s="1"/>
  <c r="EF36" i="7"/>
  <c r="EE37" i="7" s="1"/>
  <c r="EC37" i="7"/>
  <c r="EB38" i="7" s="1"/>
  <c r="DY37" i="7"/>
  <c r="DZ37" i="7" s="1"/>
  <c r="DT37" i="7"/>
  <c r="DS38" i="7" s="1"/>
  <c r="DQ36" i="7"/>
  <c r="DP37" i="7" s="1"/>
  <c r="DN37" i="7"/>
  <c r="DM38" i="7" s="1"/>
  <c r="DH36" i="7"/>
  <c r="DG37" i="7" s="1"/>
  <c r="CX37" i="7"/>
  <c r="CY37" i="7" s="1"/>
  <c r="C38" i="7"/>
  <c r="D38" i="7" s="1"/>
  <c r="CA40" i="7"/>
  <c r="BZ41" i="7" s="1"/>
  <c r="O40" i="7"/>
  <c r="P40" i="7" s="1"/>
  <c r="E40" i="6"/>
  <c r="F40" i="6" s="1"/>
  <c r="B71" i="6"/>
  <c r="C71" i="6" s="1"/>
  <c r="B72" i="6" s="1"/>
  <c r="C72" i="6" s="1"/>
  <c r="CP37" i="7" l="1"/>
  <c r="CO38" i="7" s="1"/>
  <c r="CM36" i="7"/>
  <c r="CL37" i="7" s="1"/>
  <c r="CJ35" i="7"/>
  <c r="CI36" i="7" s="1"/>
  <c r="CG37" i="7"/>
  <c r="CF38" i="7" s="1"/>
  <c r="CC38" i="7"/>
  <c r="CD38" i="7" s="1"/>
  <c r="BX37" i="7"/>
  <c r="BW38" i="7" s="1"/>
  <c r="BT36" i="7"/>
  <c r="BU36" i="7" s="1"/>
  <c r="BR36" i="7"/>
  <c r="BQ37" i="7" s="1"/>
  <c r="BN38" i="7"/>
  <c r="BO38" i="7" s="1"/>
  <c r="BK38" i="7"/>
  <c r="BL38" i="7" s="1"/>
  <c r="BH37" i="7"/>
  <c r="BI37" i="7" s="1"/>
  <c r="BB38" i="7"/>
  <c r="BC38" i="7" s="1"/>
  <c r="AZ37" i="7"/>
  <c r="AY38" i="7" s="1"/>
  <c r="BF36" i="7"/>
  <c r="BE37" i="7" s="1"/>
  <c r="CR39" i="7"/>
  <c r="CS39" i="7" s="1"/>
  <c r="GN37" i="7"/>
  <c r="GM38" i="7" s="1"/>
  <c r="GK37" i="7"/>
  <c r="GJ38" i="7" s="1"/>
  <c r="GG37" i="7"/>
  <c r="GH37" i="7" s="1"/>
  <c r="GE38" i="7"/>
  <c r="GD39" i="7" s="1"/>
  <c r="GB38" i="7"/>
  <c r="GA39" i="7" s="1"/>
  <c r="FX38" i="7"/>
  <c r="FY38" i="7" s="1"/>
  <c r="FV39" i="7"/>
  <c r="FU40" i="7" s="1"/>
  <c r="FR38" i="7"/>
  <c r="FS38" i="7" s="1"/>
  <c r="FO37" i="7"/>
  <c r="FP37" i="7" s="1"/>
  <c r="FL37" i="7"/>
  <c r="FM37" i="7" s="1"/>
  <c r="FJ38" i="7"/>
  <c r="FI39" i="7" s="1"/>
  <c r="FF37" i="7"/>
  <c r="FG37" i="7" s="1"/>
  <c r="FD37" i="7"/>
  <c r="FC38" i="7" s="1"/>
  <c r="FA38" i="7"/>
  <c r="EZ39" i="7" s="1"/>
  <c r="EX37" i="7"/>
  <c r="EW38" i="7" s="1"/>
  <c r="EU38" i="7"/>
  <c r="ET39" i="7" s="1"/>
  <c r="ER36" i="7"/>
  <c r="EQ37" i="7" s="1"/>
  <c r="EO37" i="7"/>
  <c r="EN38" i="7" s="1"/>
  <c r="EL37" i="7"/>
  <c r="EK38" i="7" s="1"/>
  <c r="EI38" i="7"/>
  <c r="EH39" i="7" s="1"/>
  <c r="EF37" i="7"/>
  <c r="EE38" i="7" s="1"/>
  <c r="EC38" i="7"/>
  <c r="EB39" i="7" s="1"/>
  <c r="DY38" i="7"/>
  <c r="DZ38" i="7" s="1"/>
  <c r="DT38" i="7"/>
  <c r="DS39" i="7" s="1"/>
  <c r="DQ37" i="7"/>
  <c r="DP38" i="7" s="1"/>
  <c r="DN38" i="7"/>
  <c r="DM39" i="7" s="1"/>
  <c r="DH37" i="7"/>
  <c r="DG38" i="7" s="1"/>
  <c r="CX38" i="7"/>
  <c r="CY38" i="7" s="1"/>
  <c r="C39" i="7"/>
  <c r="D39" i="7" s="1"/>
  <c r="CA41" i="7"/>
  <c r="BZ42" i="7" s="1"/>
  <c r="O41" i="7"/>
  <c r="P41" i="7" s="1"/>
  <c r="E41" i="6"/>
  <c r="F41" i="6" s="1"/>
  <c r="B73" i="6"/>
  <c r="C73" i="6" s="1"/>
  <c r="B74" i="6" s="1"/>
  <c r="C74" i="6" s="1"/>
  <c r="CP38" i="7" l="1"/>
  <c r="CO39" i="7" s="1"/>
  <c r="CM37" i="7"/>
  <c r="CL38" i="7" s="1"/>
  <c r="CJ36" i="7"/>
  <c r="CI37" i="7" s="1"/>
  <c r="CG38" i="7"/>
  <c r="CF39" i="7" s="1"/>
  <c r="CC39" i="7"/>
  <c r="CD39" i="7" s="1"/>
  <c r="BX38" i="7"/>
  <c r="BW39" i="7" s="1"/>
  <c r="BT37" i="7"/>
  <c r="BU37" i="7" s="1"/>
  <c r="BR37" i="7"/>
  <c r="BQ38" i="7" s="1"/>
  <c r="BN39" i="7"/>
  <c r="BO39" i="7" s="1"/>
  <c r="BK39" i="7"/>
  <c r="BL39" i="7" s="1"/>
  <c r="BH38" i="7"/>
  <c r="BI38" i="7" s="1"/>
  <c r="BB39" i="7"/>
  <c r="BC39" i="7" s="1"/>
  <c r="AZ38" i="7"/>
  <c r="AY39" i="7" s="1"/>
  <c r="BF37" i="7"/>
  <c r="BE38" i="7" s="1"/>
  <c r="CR40" i="7"/>
  <c r="CS40" i="7" s="1"/>
  <c r="GN38" i="7"/>
  <c r="GM39" i="7" s="1"/>
  <c r="GK38" i="7"/>
  <c r="GJ39" i="7" s="1"/>
  <c r="GG38" i="7"/>
  <c r="GH38" i="7" s="1"/>
  <c r="GE39" i="7"/>
  <c r="GD40" i="7" s="1"/>
  <c r="GB39" i="7"/>
  <c r="GA40" i="7" s="1"/>
  <c r="FX39" i="7"/>
  <c r="FY39" i="7" s="1"/>
  <c r="FV40" i="7"/>
  <c r="FU41" i="7" s="1"/>
  <c r="FR39" i="7"/>
  <c r="FS39" i="7" s="1"/>
  <c r="FO38" i="7"/>
  <c r="FP38" i="7" s="1"/>
  <c r="FL38" i="7"/>
  <c r="FM38" i="7" s="1"/>
  <c r="FJ39" i="7"/>
  <c r="FI40" i="7" s="1"/>
  <c r="FF38" i="7"/>
  <c r="FG38" i="7" s="1"/>
  <c r="FD38" i="7"/>
  <c r="FC39" i="7" s="1"/>
  <c r="FA39" i="7"/>
  <c r="EZ40" i="7" s="1"/>
  <c r="EX38" i="7"/>
  <c r="EW39" i="7" s="1"/>
  <c r="EU39" i="7"/>
  <c r="ET40" i="7" s="1"/>
  <c r="ER37" i="7"/>
  <c r="EQ38" i="7" s="1"/>
  <c r="EO38" i="7"/>
  <c r="EN39" i="7" s="1"/>
  <c r="EL38" i="7"/>
  <c r="EK39" i="7" s="1"/>
  <c r="EI39" i="7"/>
  <c r="EH40" i="7" s="1"/>
  <c r="EF38" i="7"/>
  <c r="EE39" i="7" s="1"/>
  <c r="EC39" i="7"/>
  <c r="EB40" i="7" s="1"/>
  <c r="DY39" i="7"/>
  <c r="DZ39" i="7" s="1"/>
  <c r="DT39" i="7"/>
  <c r="DS40" i="7" s="1"/>
  <c r="DQ38" i="7"/>
  <c r="DP39" i="7" s="1"/>
  <c r="DN39" i="7"/>
  <c r="DM40" i="7" s="1"/>
  <c r="DH38" i="7"/>
  <c r="DG39" i="7" s="1"/>
  <c r="CX39" i="7"/>
  <c r="CY39" i="7" s="1"/>
  <c r="C40" i="7"/>
  <c r="D40" i="7" s="1"/>
  <c r="CA42" i="7"/>
  <c r="BZ43" i="7" s="1"/>
  <c r="O42" i="7"/>
  <c r="P42" i="7" s="1"/>
  <c r="E42" i="6"/>
  <c r="F42" i="6" s="1"/>
  <c r="B75" i="6"/>
  <c r="C75" i="6" s="1"/>
  <c r="B76" i="6" s="1"/>
  <c r="C76" i="6" s="1"/>
  <c r="CP39" i="7" l="1"/>
  <c r="CO40" i="7" s="1"/>
  <c r="CM38" i="7"/>
  <c r="CL39" i="7" s="1"/>
  <c r="CJ37" i="7"/>
  <c r="CI38" i="7" s="1"/>
  <c r="CG39" i="7"/>
  <c r="CF40" i="7" s="1"/>
  <c r="CC40" i="7"/>
  <c r="CD40" i="7" s="1"/>
  <c r="BX39" i="7"/>
  <c r="BW40" i="7" s="1"/>
  <c r="BT38" i="7"/>
  <c r="BU38" i="7" s="1"/>
  <c r="BR38" i="7"/>
  <c r="BQ39" i="7" s="1"/>
  <c r="BN40" i="7"/>
  <c r="BO40" i="7" s="1"/>
  <c r="BK40" i="7"/>
  <c r="BL40" i="7" s="1"/>
  <c r="BH39" i="7"/>
  <c r="BI39" i="7" s="1"/>
  <c r="BB40" i="7"/>
  <c r="BC40" i="7" s="1"/>
  <c r="AZ39" i="7"/>
  <c r="AY40" i="7" s="1"/>
  <c r="BF38" i="7"/>
  <c r="BE39" i="7" s="1"/>
  <c r="CR41" i="7"/>
  <c r="CS41" i="7" s="1"/>
  <c r="GN39" i="7"/>
  <c r="GM40" i="7" s="1"/>
  <c r="GK39" i="7"/>
  <c r="GJ40" i="7" s="1"/>
  <c r="GG39" i="7"/>
  <c r="GH39" i="7" s="1"/>
  <c r="GE40" i="7"/>
  <c r="GD41" i="7" s="1"/>
  <c r="GB40" i="7"/>
  <c r="GA41" i="7" s="1"/>
  <c r="FX40" i="7"/>
  <c r="FY40" i="7" s="1"/>
  <c r="FV41" i="7"/>
  <c r="FU42" i="7" s="1"/>
  <c r="FR40" i="7"/>
  <c r="FS40" i="7" s="1"/>
  <c r="FO39" i="7"/>
  <c r="FP39" i="7" s="1"/>
  <c r="FL39" i="7"/>
  <c r="FM39" i="7" s="1"/>
  <c r="FJ40" i="7"/>
  <c r="FI41" i="7" s="1"/>
  <c r="FF39" i="7"/>
  <c r="FG39" i="7" s="1"/>
  <c r="FD39" i="7"/>
  <c r="FC40" i="7" s="1"/>
  <c r="FA40" i="7"/>
  <c r="EZ41" i="7" s="1"/>
  <c r="EX39" i="7"/>
  <c r="EW40" i="7" s="1"/>
  <c r="EU40" i="7"/>
  <c r="ET41" i="7" s="1"/>
  <c r="ER38" i="7"/>
  <c r="EQ39" i="7" s="1"/>
  <c r="EO39" i="7"/>
  <c r="EN40" i="7" s="1"/>
  <c r="EL39" i="7"/>
  <c r="EK40" i="7" s="1"/>
  <c r="EI40" i="7"/>
  <c r="EH41" i="7" s="1"/>
  <c r="EF39" i="7"/>
  <c r="EE40" i="7" s="1"/>
  <c r="EC40" i="7"/>
  <c r="EB41" i="7" s="1"/>
  <c r="DY40" i="7"/>
  <c r="DZ40" i="7" s="1"/>
  <c r="DT40" i="7"/>
  <c r="DS41" i="7" s="1"/>
  <c r="DQ39" i="7"/>
  <c r="DP40" i="7" s="1"/>
  <c r="DN40" i="7"/>
  <c r="DM41" i="7" s="1"/>
  <c r="DH39" i="7"/>
  <c r="DG40" i="7" s="1"/>
  <c r="CX40" i="7"/>
  <c r="CY40" i="7" s="1"/>
  <c r="C41" i="7"/>
  <c r="D41" i="7" s="1"/>
  <c r="CA43" i="7"/>
  <c r="BZ44" i="7" s="1"/>
  <c r="O43" i="7"/>
  <c r="P43" i="7" s="1"/>
  <c r="E43" i="6"/>
  <c r="F43" i="6" s="1"/>
  <c r="B77" i="6"/>
  <c r="C77" i="6" s="1"/>
  <c r="B78" i="6" s="1"/>
  <c r="C78" i="6" s="1"/>
  <c r="CP40" i="7" l="1"/>
  <c r="CO41" i="7" s="1"/>
  <c r="CM39" i="7"/>
  <c r="CL40" i="7" s="1"/>
  <c r="CJ38" i="7"/>
  <c r="CI39" i="7" s="1"/>
  <c r="CG40" i="7"/>
  <c r="CF41" i="7" s="1"/>
  <c r="CC41" i="7"/>
  <c r="CD41" i="7" s="1"/>
  <c r="BX40" i="7"/>
  <c r="BW41" i="7" s="1"/>
  <c r="BT39" i="7"/>
  <c r="BU39" i="7" s="1"/>
  <c r="BR39" i="7"/>
  <c r="BQ40" i="7" s="1"/>
  <c r="BN41" i="7"/>
  <c r="BO41" i="7" s="1"/>
  <c r="BK41" i="7"/>
  <c r="BL41" i="7" s="1"/>
  <c r="BH40" i="7"/>
  <c r="BI40" i="7" s="1"/>
  <c r="BB41" i="7"/>
  <c r="BC41" i="7" s="1"/>
  <c r="AZ40" i="7"/>
  <c r="AY41" i="7" s="1"/>
  <c r="BF39" i="7"/>
  <c r="BE40" i="7" s="1"/>
  <c r="CR42" i="7"/>
  <c r="CS42" i="7" s="1"/>
  <c r="GN40" i="7"/>
  <c r="GM41" i="7" s="1"/>
  <c r="GK40" i="7"/>
  <c r="GJ41" i="7" s="1"/>
  <c r="GG40" i="7"/>
  <c r="GH40" i="7" s="1"/>
  <c r="GE41" i="7"/>
  <c r="GD42" i="7" s="1"/>
  <c r="GB41" i="7"/>
  <c r="GA42" i="7" s="1"/>
  <c r="FX41" i="7"/>
  <c r="FY41" i="7" s="1"/>
  <c r="FV42" i="7"/>
  <c r="FU43" i="7" s="1"/>
  <c r="FR41" i="7"/>
  <c r="FS41" i="7" s="1"/>
  <c r="FO40" i="7"/>
  <c r="FP40" i="7" s="1"/>
  <c r="FL40" i="7"/>
  <c r="FM40" i="7" s="1"/>
  <c r="FJ41" i="7"/>
  <c r="FI42" i="7" s="1"/>
  <c r="FF40" i="7"/>
  <c r="FG40" i="7" s="1"/>
  <c r="FD40" i="7"/>
  <c r="FC41" i="7" s="1"/>
  <c r="FA41" i="7"/>
  <c r="EZ42" i="7" s="1"/>
  <c r="EX40" i="7"/>
  <c r="EW41" i="7" s="1"/>
  <c r="EU41" i="7"/>
  <c r="ET42" i="7" s="1"/>
  <c r="ER39" i="7"/>
  <c r="EQ40" i="7" s="1"/>
  <c r="EO40" i="7"/>
  <c r="EN41" i="7" s="1"/>
  <c r="EL40" i="7"/>
  <c r="EK41" i="7" s="1"/>
  <c r="EI41" i="7"/>
  <c r="EH42" i="7" s="1"/>
  <c r="EF40" i="7"/>
  <c r="EE41" i="7" s="1"/>
  <c r="EC41" i="7"/>
  <c r="EB42" i="7" s="1"/>
  <c r="DY41" i="7"/>
  <c r="DZ41" i="7" s="1"/>
  <c r="DT41" i="7"/>
  <c r="DS42" i="7" s="1"/>
  <c r="DQ40" i="7"/>
  <c r="DP41" i="7" s="1"/>
  <c r="DN41" i="7"/>
  <c r="DM42" i="7" s="1"/>
  <c r="DH40" i="7"/>
  <c r="DG41" i="7" s="1"/>
  <c r="CX41" i="7"/>
  <c r="CY41" i="7" s="1"/>
  <c r="C42" i="7"/>
  <c r="D42" i="7" s="1"/>
  <c r="CA44" i="7"/>
  <c r="BZ45" i="7" s="1"/>
  <c r="O44" i="7"/>
  <c r="P44" i="7" s="1"/>
  <c r="E44" i="6"/>
  <c r="F44" i="6" s="1"/>
  <c r="B79" i="6"/>
  <c r="C79" i="6" s="1"/>
  <c r="B80" i="6" s="1"/>
  <c r="C80" i="6" s="1"/>
  <c r="CP41" i="7" l="1"/>
  <c r="CO42" i="7" s="1"/>
  <c r="CM40" i="7"/>
  <c r="CL41" i="7" s="1"/>
  <c r="CJ39" i="7"/>
  <c r="CI40" i="7" s="1"/>
  <c r="CG41" i="7"/>
  <c r="CF42" i="7" s="1"/>
  <c r="CC42" i="7"/>
  <c r="CD42" i="7" s="1"/>
  <c r="BX41" i="7"/>
  <c r="BW42" i="7" s="1"/>
  <c r="BT40" i="7"/>
  <c r="BU40" i="7" s="1"/>
  <c r="BR40" i="7"/>
  <c r="BQ41" i="7" s="1"/>
  <c r="BN42" i="7"/>
  <c r="BO42" i="7" s="1"/>
  <c r="BK42" i="7"/>
  <c r="BL42" i="7" s="1"/>
  <c r="BH41" i="7"/>
  <c r="BI41" i="7" s="1"/>
  <c r="BB42" i="7"/>
  <c r="BC42" i="7" s="1"/>
  <c r="AZ41" i="7"/>
  <c r="AY42" i="7" s="1"/>
  <c r="BF40" i="7"/>
  <c r="BE41" i="7" s="1"/>
  <c r="CR43" i="7"/>
  <c r="CS43" i="7" s="1"/>
  <c r="GN41" i="7"/>
  <c r="GM42" i="7" s="1"/>
  <c r="GK41" i="7"/>
  <c r="GJ42" i="7" s="1"/>
  <c r="GG41" i="7"/>
  <c r="GH41" i="7" s="1"/>
  <c r="GE42" i="7"/>
  <c r="GD43" i="7" s="1"/>
  <c r="GB42" i="7"/>
  <c r="GA43" i="7" s="1"/>
  <c r="FX42" i="7"/>
  <c r="FY42" i="7" s="1"/>
  <c r="FV43" i="7"/>
  <c r="FU44" i="7" s="1"/>
  <c r="FR42" i="7"/>
  <c r="FS42" i="7" s="1"/>
  <c r="FO41" i="7"/>
  <c r="FP41" i="7" s="1"/>
  <c r="FL41" i="7"/>
  <c r="FM41" i="7" s="1"/>
  <c r="FJ42" i="7"/>
  <c r="FI43" i="7" s="1"/>
  <c r="FF41" i="7"/>
  <c r="FG41" i="7" s="1"/>
  <c r="FD41" i="7"/>
  <c r="FC42" i="7" s="1"/>
  <c r="FA42" i="7"/>
  <c r="EZ43" i="7" s="1"/>
  <c r="EX41" i="7"/>
  <c r="EW42" i="7" s="1"/>
  <c r="EU42" i="7"/>
  <c r="ET43" i="7" s="1"/>
  <c r="ER40" i="7"/>
  <c r="EQ41" i="7" s="1"/>
  <c r="EO41" i="7"/>
  <c r="EN42" i="7" s="1"/>
  <c r="EL41" i="7"/>
  <c r="EK42" i="7" s="1"/>
  <c r="EI42" i="7"/>
  <c r="EH43" i="7" s="1"/>
  <c r="EF41" i="7"/>
  <c r="EE42" i="7" s="1"/>
  <c r="EC42" i="7"/>
  <c r="EB43" i="7" s="1"/>
  <c r="DY42" i="7"/>
  <c r="DZ42" i="7" s="1"/>
  <c r="DT42" i="7"/>
  <c r="DS43" i="7" s="1"/>
  <c r="DQ41" i="7"/>
  <c r="DP42" i="7" s="1"/>
  <c r="DN42" i="7"/>
  <c r="DM43" i="7" s="1"/>
  <c r="DH41" i="7"/>
  <c r="DG42" i="7" s="1"/>
  <c r="CX42" i="7"/>
  <c r="CY42" i="7" s="1"/>
  <c r="C43" i="7"/>
  <c r="D43" i="7" s="1"/>
  <c r="CA45" i="7"/>
  <c r="BZ46" i="7" s="1"/>
  <c r="O45" i="7"/>
  <c r="P45" i="7" s="1"/>
  <c r="E45" i="6"/>
  <c r="F45" i="6" s="1"/>
  <c r="B81" i="6"/>
  <c r="C81" i="6" s="1"/>
  <c r="B82" i="6" s="1"/>
  <c r="C82" i="6" s="1"/>
  <c r="CP42" i="7" l="1"/>
  <c r="CO43" i="7" s="1"/>
  <c r="CM41" i="7"/>
  <c r="CL42" i="7" s="1"/>
  <c r="CJ40" i="7"/>
  <c r="CI41" i="7" s="1"/>
  <c r="CG42" i="7"/>
  <c r="CF43" i="7" s="1"/>
  <c r="CC43" i="7"/>
  <c r="CD43" i="7" s="1"/>
  <c r="BX42" i="7"/>
  <c r="BW43" i="7" s="1"/>
  <c r="BT41" i="7"/>
  <c r="BU41" i="7" s="1"/>
  <c r="BR41" i="7"/>
  <c r="BQ42" i="7" s="1"/>
  <c r="BN43" i="7"/>
  <c r="BO43" i="7" s="1"/>
  <c r="BK43" i="7"/>
  <c r="BL43" i="7" s="1"/>
  <c r="BH42" i="7"/>
  <c r="BI42" i="7" s="1"/>
  <c r="BB43" i="7"/>
  <c r="BC43" i="7" s="1"/>
  <c r="AZ42" i="7"/>
  <c r="AY43" i="7" s="1"/>
  <c r="BF41" i="7"/>
  <c r="BE42" i="7" s="1"/>
  <c r="CR44" i="7"/>
  <c r="CS44" i="7" s="1"/>
  <c r="GN42" i="7"/>
  <c r="GM43" i="7" s="1"/>
  <c r="GK42" i="7"/>
  <c r="GJ43" i="7" s="1"/>
  <c r="GG42" i="7"/>
  <c r="GH42" i="7" s="1"/>
  <c r="GE43" i="7"/>
  <c r="GD44" i="7" s="1"/>
  <c r="GB43" i="7"/>
  <c r="GA44" i="7" s="1"/>
  <c r="FX43" i="7"/>
  <c r="FY43" i="7" s="1"/>
  <c r="FV44" i="7"/>
  <c r="FU45" i="7" s="1"/>
  <c r="FR43" i="7"/>
  <c r="FS43" i="7" s="1"/>
  <c r="FO42" i="7"/>
  <c r="FP42" i="7" s="1"/>
  <c r="FL42" i="7"/>
  <c r="FM42" i="7" s="1"/>
  <c r="FJ43" i="7"/>
  <c r="FI44" i="7" s="1"/>
  <c r="FF42" i="7"/>
  <c r="FG42" i="7" s="1"/>
  <c r="FD42" i="7"/>
  <c r="FC43" i="7" s="1"/>
  <c r="FA43" i="7"/>
  <c r="EZ44" i="7" s="1"/>
  <c r="EX42" i="7"/>
  <c r="EW43" i="7" s="1"/>
  <c r="EU43" i="7"/>
  <c r="ET44" i="7" s="1"/>
  <c r="ER41" i="7"/>
  <c r="EQ42" i="7" s="1"/>
  <c r="EO42" i="7"/>
  <c r="EN43" i="7" s="1"/>
  <c r="EL42" i="7"/>
  <c r="EK43" i="7" s="1"/>
  <c r="EI43" i="7"/>
  <c r="EH44" i="7" s="1"/>
  <c r="EF42" i="7"/>
  <c r="EE43" i="7" s="1"/>
  <c r="EC43" i="7"/>
  <c r="EB44" i="7" s="1"/>
  <c r="DY43" i="7"/>
  <c r="DZ43" i="7" s="1"/>
  <c r="DT43" i="7"/>
  <c r="DS44" i="7" s="1"/>
  <c r="DQ42" i="7"/>
  <c r="DP43" i="7" s="1"/>
  <c r="DN43" i="7"/>
  <c r="DM44" i="7" s="1"/>
  <c r="DH42" i="7"/>
  <c r="DG43" i="7" s="1"/>
  <c r="CX43" i="7"/>
  <c r="CY43" i="7" s="1"/>
  <c r="C44" i="7"/>
  <c r="D44" i="7" s="1"/>
  <c r="CA46" i="7"/>
  <c r="BZ47" i="7" s="1"/>
  <c r="O46" i="7"/>
  <c r="P46" i="7" s="1"/>
  <c r="E46" i="6"/>
  <c r="F46" i="6" s="1"/>
  <c r="B83" i="6"/>
  <c r="C83" i="6" s="1"/>
  <c r="B84" i="6" s="1"/>
  <c r="C84" i="6" s="1"/>
  <c r="CP43" i="7" l="1"/>
  <c r="CO44" i="7" s="1"/>
  <c r="CM42" i="7"/>
  <c r="CL43" i="7" s="1"/>
  <c r="CJ41" i="7"/>
  <c r="CI42" i="7" s="1"/>
  <c r="CG43" i="7"/>
  <c r="CF44" i="7" s="1"/>
  <c r="CC44" i="7"/>
  <c r="CD44" i="7" s="1"/>
  <c r="BX43" i="7"/>
  <c r="BW44" i="7" s="1"/>
  <c r="BT42" i="7"/>
  <c r="BU42" i="7" s="1"/>
  <c r="BR42" i="7"/>
  <c r="BQ43" i="7" s="1"/>
  <c r="BN44" i="7"/>
  <c r="BO44" i="7" s="1"/>
  <c r="BK44" i="7"/>
  <c r="BL44" i="7" s="1"/>
  <c r="BH43" i="7"/>
  <c r="BI43" i="7" s="1"/>
  <c r="BB44" i="7"/>
  <c r="BC44" i="7" s="1"/>
  <c r="AZ43" i="7"/>
  <c r="AY44" i="7" s="1"/>
  <c r="BF42" i="7"/>
  <c r="BE43" i="7" s="1"/>
  <c r="CR45" i="7"/>
  <c r="CS45" i="7" s="1"/>
  <c r="GN43" i="7"/>
  <c r="GM44" i="7" s="1"/>
  <c r="GK43" i="7"/>
  <c r="GJ44" i="7" s="1"/>
  <c r="GG43" i="7"/>
  <c r="GH43" i="7" s="1"/>
  <c r="GE44" i="7"/>
  <c r="GD45" i="7" s="1"/>
  <c r="GB44" i="7"/>
  <c r="GA45" i="7" s="1"/>
  <c r="FX44" i="7"/>
  <c r="FY44" i="7" s="1"/>
  <c r="FV45" i="7"/>
  <c r="FU46" i="7" s="1"/>
  <c r="FR44" i="7"/>
  <c r="FS44" i="7" s="1"/>
  <c r="FO43" i="7"/>
  <c r="FP43" i="7" s="1"/>
  <c r="FL43" i="7"/>
  <c r="FM43" i="7" s="1"/>
  <c r="FJ44" i="7"/>
  <c r="FI45" i="7" s="1"/>
  <c r="FF43" i="7"/>
  <c r="FG43" i="7" s="1"/>
  <c r="FD43" i="7"/>
  <c r="FC44" i="7" s="1"/>
  <c r="FA44" i="7"/>
  <c r="EZ45" i="7" s="1"/>
  <c r="EX43" i="7"/>
  <c r="EW44" i="7" s="1"/>
  <c r="EU44" i="7"/>
  <c r="ET45" i="7" s="1"/>
  <c r="ER42" i="7"/>
  <c r="EQ43" i="7" s="1"/>
  <c r="EO43" i="7"/>
  <c r="EN44" i="7" s="1"/>
  <c r="EL43" i="7"/>
  <c r="EK44" i="7" s="1"/>
  <c r="EI44" i="7"/>
  <c r="EH45" i="7" s="1"/>
  <c r="EF43" i="7"/>
  <c r="EE44" i="7" s="1"/>
  <c r="EC44" i="7"/>
  <c r="EB45" i="7" s="1"/>
  <c r="DY44" i="7"/>
  <c r="DZ44" i="7" s="1"/>
  <c r="DT44" i="7"/>
  <c r="DS45" i="7" s="1"/>
  <c r="DQ43" i="7"/>
  <c r="DP44" i="7" s="1"/>
  <c r="DN44" i="7"/>
  <c r="DM45" i="7" s="1"/>
  <c r="DH43" i="7"/>
  <c r="DG44" i="7" s="1"/>
  <c r="CX44" i="7"/>
  <c r="CY44" i="7" s="1"/>
  <c r="C45" i="7"/>
  <c r="D45" i="7" s="1"/>
  <c r="CA47" i="7"/>
  <c r="BZ48" i="7" s="1"/>
  <c r="O47" i="7"/>
  <c r="P47" i="7" s="1"/>
  <c r="E47" i="6"/>
  <c r="F47" i="6" s="1"/>
  <c r="B85" i="6"/>
  <c r="C85" i="6" s="1"/>
  <c r="B86" i="6" s="1"/>
  <c r="C86" i="6" s="1"/>
  <c r="CP44" i="7" l="1"/>
  <c r="CO45" i="7" s="1"/>
  <c r="CM43" i="7"/>
  <c r="CL44" i="7" s="1"/>
  <c r="CJ42" i="7"/>
  <c r="CI43" i="7" s="1"/>
  <c r="CG44" i="7"/>
  <c r="CF45" i="7" s="1"/>
  <c r="CC45" i="7"/>
  <c r="CD45" i="7" s="1"/>
  <c r="BX44" i="7"/>
  <c r="BW45" i="7" s="1"/>
  <c r="BT43" i="7"/>
  <c r="BU43" i="7" s="1"/>
  <c r="BR43" i="7"/>
  <c r="BQ44" i="7" s="1"/>
  <c r="BN45" i="7"/>
  <c r="BO45" i="7" s="1"/>
  <c r="BK45" i="7"/>
  <c r="BL45" i="7" s="1"/>
  <c r="BH44" i="7"/>
  <c r="BI44" i="7" s="1"/>
  <c r="BB45" i="7"/>
  <c r="BC45" i="7" s="1"/>
  <c r="AZ44" i="7"/>
  <c r="AY45" i="7" s="1"/>
  <c r="BF43" i="7"/>
  <c r="BE44" i="7" s="1"/>
  <c r="CR46" i="7"/>
  <c r="CS46" i="7" s="1"/>
  <c r="GN44" i="7"/>
  <c r="GM45" i="7" s="1"/>
  <c r="GK44" i="7"/>
  <c r="GJ45" i="7" s="1"/>
  <c r="GG44" i="7"/>
  <c r="GH44" i="7" s="1"/>
  <c r="GE45" i="7"/>
  <c r="GD46" i="7" s="1"/>
  <c r="GB45" i="7"/>
  <c r="GA46" i="7" s="1"/>
  <c r="FX45" i="7"/>
  <c r="FY45" i="7" s="1"/>
  <c r="FV46" i="7"/>
  <c r="FU47" i="7" s="1"/>
  <c r="FR45" i="7"/>
  <c r="FS45" i="7" s="1"/>
  <c r="FO44" i="7"/>
  <c r="FP44" i="7" s="1"/>
  <c r="FL44" i="7"/>
  <c r="FM44" i="7" s="1"/>
  <c r="FJ45" i="7"/>
  <c r="FI46" i="7" s="1"/>
  <c r="FF44" i="7"/>
  <c r="FG44" i="7" s="1"/>
  <c r="FD44" i="7"/>
  <c r="FC45" i="7" s="1"/>
  <c r="FA45" i="7"/>
  <c r="EZ46" i="7" s="1"/>
  <c r="EX44" i="7"/>
  <c r="EW45" i="7" s="1"/>
  <c r="EU45" i="7"/>
  <c r="ET46" i="7" s="1"/>
  <c r="ER43" i="7"/>
  <c r="EQ44" i="7" s="1"/>
  <c r="EO44" i="7"/>
  <c r="EN45" i="7" s="1"/>
  <c r="EL44" i="7"/>
  <c r="EK45" i="7" s="1"/>
  <c r="EI45" i="7"/>
  <c r="EH46" i="7" s="1"/>
  <c r="EF44" i="7"/>
  <c r="EE45" i="7" s="1"/>
  <c r="EC45" i="7"/>
  <c r="EB46" i="7" s="1"/>
  <c r="DY45" i="7"/>
  <c r="DZ45" i="7" s="1"/>
  <c r="DT45" i="7"/>
  <c r="DS46" i="7" s="1"/>
  <c r="DQ44" i="7"/>
  <c r="DP45" i="7" s="1"/>
  <c r="DN45" i="7"/>
  <c r="DM46" i="7" s="1"/>
  <c r="DH44" i="7"/>
  <c r="DG45" i="7" s="1"/>
  <c r="CX45" i="7"/>
  <c r="CY45" i="7" s="1"/>
  <c r="C46" i="7"/>
  <c r="D46" i="7" s="1"/>
  <c r="CA48" i="7"/>
  <c r="BZ49" i="7" s="1"/>
  <c r="O48" i="7"/>
  <c r="P48" i="7" s="1"/>
  <c r="E48" i="6"/>
  <c r="F48" i="6" s="1"/>
  <c r="B87" i="6"/>
  <c r="C87" i="6" s="1"/>
  <c r="B88" i="6" s="1"/>
  <c r="C88" i="6" s="1"/>
  <c r="CP45" i="7" l="1"/>
  <c r="CO46" i="7" s="1"/>
  <c r="CM44" i="7"/>
  <c r="CL45" i="7" s="1"/>
  <c r="CJ43" i="7"/>
  <c r="CI44" i="7" s="1"/>
  <c r="CG45" i="7"/>
  <c r="CF46" i="7" s="1"/>
  <c r="CC46" i="7"/>
  <c r="CD46" i="7" s="1"/>
  <c r="BX45" i="7"/>
  <c r="BW46" i="7" s="1"/>
  <c r="BT44" i="7"/>
  <c r="BU44" i="7" s="1"/>
  <c r="BR44" i="7"/>
  <c r="BQ45" i="7" s="1"/>
  <c r="BN46" i="7"/>
  <c r="BO46" i="7" s="1"/>
  <c r="BK46" i="7"/>
  <c r="BL46" i="7" s="1"/>
  <c r="BH45" i="7"/>
  <c r="BI45" i="7" s="1"/>
  <c r="BB46" i="7"/>
  <c r="BC46" i="7" s="1"/>
  <c r="AZ45" i="7"/>
  <c r="AY46" i="7" s="1"/>
  <c r="BF44" i="7"/>
  <c r="BE45" i="7" s="1"/>
  <c r="CR47" i="7"/>
  <c r="CS47" i="7" s="1"/>
  <c r="GN45" i="7"/>
  <c r="GM46" i="7" s="1"/>
  <c r="GK45" i="7"/>
  <c r="GJ46" i="7" s="1"/>
  <c r="GG45" i="7"/>
  <c r="GH45" i="7" s="1"/>
  <c r="GE46" i="7"/>
  <c r="GD47" i="7" s="1"/>
  <c r="GB46" i="7"/>
  <c r="GA47" i="7" s="1"/>
  <c r="FX46" i="7"/>
  <c r="FY46" i="7" s="1"/>
  <c r="FV47" i="7"/>
  <c r="FU48" i="7" s="1"/>
  <c r="FR46" i="7"/>
  <c r="FS46" i="7" s="1"/>
  <c r="FO45" i="7"/>
  <c r="FP45" i="7" s="1"/>
  <c r="FL45" i="7"/>
  <c r="FM45" i="7" s="1"/>
  <c r="FJ46" i="7"/>
  <c r="FI47" i="7" s="1"/>
  <c r="FF45" i="7"/>
  <c r="FG45" i="7" s="1"/>
  <c r="FD45" i="7"/>
  <c r="FC46" i="7" s="1"/>
  <c r="FA46" i="7"/>
  <c r="EZ47" i="7" s="1"/>
  <c r="EX45" i="7"/>
  <c r="EW46" i="7" s="1"/>
  <c r="EU46" i="7"/>
  <c r="ET47" i="7" s="1"/>
  <c r="ER44" i="7"/>
  <c r="EQ45" i="7" s="1"/>
  <c r="EO45" i="7"/>
  <c r="EN46" i="7" s="1"/>
  <c r="EL45" i="7"/>
  <c r="EK46" i="7" s="1"/>
  <c r="EI46" i="7"/>
  <c r="EH47" i="7" s="1"/>
  <c r="EF45" i="7"/>
  <c r="EE46" i="7" s="1"/>
  <c r="EC46" i="7"/>
  <c r="EB47" i="7" s="1"/>
  <c r="DY46" i="7"/>
  <c r="DZ46" i="7" s="1"/>
  <c r="DT46" i="7"/>
  <c r="DS47" i="7" s="1"/>
  <c r="DQ45" i="7"/>
  <c r="DP46" i="7" s="1"/>
  <c r="DN46" i="7"/>
  <c r="DM47" i="7" s="1"/>
  <c r="DH45" i="7"/>
  <c r="DG46" i="7" s="1"/>
  <c r="CX46" i="7"/>
  <c r="CY46" i="7" s="1"/>
  <c r="C47" i="7"/>
  <c r="D47" i="7" s="1"/>
  <c r="CA49" i="7"/>
  <c r="BZ50" i="7" s="1"/>
  <c r="O49" i="7"/>
  <c r="P49" i="7" s="1"/>
  <c r="E49" i="6"/>
  <c r="F49" i="6" s="1"/>
  <c r="B89" i="6"/>
  <c r="C89" i="6" s="1"/>
  <c r="B90" i="6" s="1"/>
  <c r="C90" i="6" s="1"/>
  <c r="CP46" i="7" l="1"/>
  <c r="CO47" i="7" s="1"/>
  <c r="CM45" i="7"/>
  <c r="CL46" i="7" s="1"/>
  <c r="CJ44" i="7"/>
  <c r="CI45" i="7" s="1"/>
  <c r="CG46" i="7"/>
  <c r="CF47" i="7" s="1"/>
  <c r="CC47" i="7"/>
  <c r="CD47" i="7" s="1"/>
  <c r="BX46" i="7"/>
  <c r="BW47" i="7" s="1"/>
  <c r="BT45" i="7"/>
  <c r="BU45" i="7" s="1"/>
  <c r="BR45" i="7"/>
  <c r="BQ46" i="7" s="1"/>
  <c r="BN47" i="7"/>
  <c r="BO47" i="7" s="1"/>
  <c r="BK47" i="7"/>
  <c r="BL47" i="7" s="1"/>
  <c r="BH46" i="7"/>
  <c r="BI46" i="7" s="1"/>
  <c r="BB47" i="7"/>
  <c r="BC47" i="7" s="1"/>
  <c r="AZ46" i="7"/>
  <c r="AY47" i="7" s="1"/>
  <c r="BF45" i="7"/>
  <c r="BE46" i="7" s="1"/>
  <c r="CR48" i="7"/>
  <c r="CS48" i="7" s="1"/>
  <c r="GN46" i="7"/>
  <c r="GM47" i="7" s="1"/>
  <c r="GK46" i="7"/>
  <c r="GJ47" i="7" s="1"/>
  <c r="GG46" i="7"/>
  <c r="GH46" i="7" s="1"/>
  <c r="GE47" i="7"/>
  <c r="GD48" i="7" s="1"/>
  <c r="GB47" i="7"/>
  <c r="GA48" i="7" s="1"/>
  <c r="FX47" i="7"/>
  <c r="FY47" i="7" s="1"/>
  <c r="FV48" i="7"/>
  <c r="FU49" i="7" s="1"/>
  <c r="FR47" i="7"/>
  <c r="FS47" i="7" s="1"/>
  <c r="FO46" i="7"/>
  <c r="FP46" i="7" s="1"/>
  <c r="FL46" i="7"/>
  <c r="FM46" i="7" s="1"/>
  <c r="FJ47" i="7"/>
  <c r="FI48" i="7" s="1"/>
  <c r="FF46" i="7"/>
  <c r="FG46" i="7" s="1"/>
  <c r="FD46" i="7"/>
  <c r="FC47" i="7" s="1"/>
  <c r="FA47" i="7"/>
  <c r="EZ48" i="7" s="1"/>
  <c r="EX46" i="7"/>
  <c r="EW47" i="7" s="1"/>
  <c r="EU47" i="7"/>
  <c r="ET48" i="7" s="1"/>
  <c r="ER45" i="7"/>
  <c r="EQ46" i="7" s="1"/>
  <c r="EO46" i="7"/>
  <c r="EN47" i="7" s="1"/>
  <c r="EL46" i="7"/>
  <c r="EK47" i="7" s="1"/>
  <c r="EI47" i="7"/>
  <c r="EH48" i="7" s="1"/>
  <c r="EF46" i="7"/>
  <c r="EE47" i="7" s="1"/>
  <c r="EC47" i="7"/>
  <c r="EB48" i="7" s="1"/>
  <c r="DY47" i="7"/>
  <c r="DZ47" i="7" s="1"/>
  <c r="DT47" i="7"/>
  <c r="DS48" i="7" s="1"/>
  <c r="DQ46" i="7"/>
  <c r="DP47" i="7" s="1"/>
  <c r="DN47" i="7"/>
  <c r="DM48" i="7" s="1"/>
  <c r="DH46" i="7"/>
  <c r="DG47" i="7" s="1"/>
  <c r="CX47" i="7"/>
  <c r="CY47" i="7" s="1"/>
  <c r="C48" i="7"/>
  <c r="D48" i="7" s="1"/>
  <c r="CA50" i="7"/>
  <c r="BZ51" i="7" s="1"/>
  <c r="O50" i="7"/>
  <c r="P50" i="7" s="1"/>
  <c r="E50" i="6"/>
  <c r="F50" i="6" s="1"/>
  <c r="B91" i="6"/>
  <c r="C91" i="6" s="1"/>
  <c r="B92" i="6" s="1"/>
  <c r="C92" i="6" s="1"/>
  <c r="CP47" i="7" l="1"/>
  <c r="CO48" i="7" s="1"/>
  <c r="CM46" i="7"/>
  <c r="CL47" i="7" s="1"/>
  <c r="CJ45" i="7"/>
  <c r="CI46" i="7" s="1"/>
  <c r="CG47" i="7"/>
  <c r="CF48" i="7" s="1"/>
  <c r="CC48" i="7"/>
  <c r="CD48" i="7" s="1"/>
  <c r="BX47" i="7"/>
  <c r="BW48" i="7" s="1"/>
  <c r="BT46" i="7"/>
  <c r="BU46" i="7" s="1"/>
  <c r="BR46" i="7"/>
  <c r="BQ47" i="7" s="1"/>
  <c r="BN48" i="7"/>
  <c r="BO48" i="7" s="1"/>
  <c r="BK48" i="7"/>
  <c r="BL48" i="7" s="1"/>
  <c r="BH47" i="7"/>
  <c r="BI47" i="7" s="1"/>
  <c r="BB48" i="7"/>
  <c r="BC48" i="7" s="1"/>
  <c r="AZ47" i="7"/>
  <c r="AY48" i="7" s="1"/>
  <c r="BF46" i="7"/>
  <c r="BE47" i="7" s="1"/>
  <c r="CR49" i="7"/>
  <c r="CS49" i="7" s="1"/>
  <c r="GN47" i="7"/>
  <c r="GM48" i="7" s="1"/>
  <c r="GK47" i="7"/>
  <c r="GJ48" i="7" s="1"/>
  <c r="GG47" i="7"/>
  <c r="GH47" i="7" s="1"/>
  <c r="GE48" i="7"/>
  <c r="GD49" i="7" s="1"/>
  <c r="GB48" i="7"/>
  <c r="GA49" i="7" s="1"/>
  <c r="FX48" i="7"/>
  <c r="FY48" i="7" s="1"/>
  <c r="FV49" i="7"/>
  <c r="FU50" i="7" s="1"/>
  <c r="FR48" i="7"/>
  <c r="FS48" i="7" s="1"/>
  <c r="FO47" i="7"/>
  <c r="FP47" i="7" s="1"/>
  <c r="FL47" i="7"/>
  <c r="FM47" i="7" s="1"/>
  <c r="FJ48" i="7"/>
  <c r="FI49" i="7" s="1"/>
  <c r="FF47" i="7"/>
  <c r="FG47" i="7" s="1"/>
  <c r="FD47" i="7"/>
  <c r="FC48" i="7" s="1"/>
  <c r="FA48" i="7"/>
  <c r="EZ49" i="7" s="1"/>
  <c r="EX47" i="7"/>
  <c r="EW48" i="7" s="1"/>
  <c r="EU48" i="7"/>
  <c r="ET49" i="7" s="1"/>
  <c r="ER46" i="7"/>
  <c r="EQ47" i="7" s="1"/>
  <c r="EO47" i="7"/>
  <c r="EN48" i="7" s="1"/>
  <c r="EL47" i="7"/>
  <c r="EK48" i="7" s="1"/>
  <c r="EI48" i="7"/>
  <c r="EH49" i="7" s="1"/>
  <c r="EF47" i="7"/>
  <c r="EE48" i="7" s="1"/>
  <c r="EC48" i="7"/>
  <c r="EB49" i="7" s="1"/>
  <c r="DY48" i="7"/>
  <c r="DZ48" i="7" s="1"/>
  <c r="DT48" i="7"/>
  <c r="DS49" i="7" s="1"/>
  <c r="DQ47" i="7"/>
  <c r="DP48" i="7" s="1"/>
  <c r="DN48" i="7"/>
  <c r="DM49" i="7" s="1"/>
  <c r="DH47" i="7"/>
  <c r="DG48" i="7" s="1"/>
  <c r="CX48" i="7"/>
  <c r="CY48" i="7" s="1"/>
  <c r="C49" i="7"/>
  <c r="D49" i="7" s="1"/>
  <c r="CA51" i="7"/>
  <c r="BZ52" i="7" s="1"/>
  <c r="O51" i="7"/>
  <c r="P51" i="7" s="1"/>
  <c r="E51" i="6"/>
  <c r="F51" i="6" s="1"/>
  <c r="B93" i="6"/>
  <c r="C93" i="6" s="1"/>
  <c r="B94" i="6" s="1"/>
  <c r="C94" i="6" s="1"/>
  <c r="CP48" i="7" l="1"/>
  <c r="CO49" i="7" s="1"/>
  <c r="CM47" i="7"/>
  <c r="CL48" i="7" s="1"/>
  <c r="CJ46" i="7"/>
  <c r="CI47" i="7" s="1"/>
  <c r="CG48" i="7"/>
  <c r="CF49" i="7" s="1"/>
  <c r="CC49" i="7"/>
  <c r="CD49" i="7" s="1"/>
  <c r="BX48" i="7"/>
  <c r="BW49" i="7" s="1"/>
  <c r="BT47" i="7"/>
  <c r="BU47" i="7" s="1"/>
  <c r="BR47" i="7"/>
  <c r="BQ48" i="7" s="1"/>
  <c r="BN49" i="7"/>
  <c r="BO49" i="7" s="1"/>
  <c r="BK49" i="7"/>
  <c r="BL49" i="7" s="1"/>
  <c r="BH48" i="7"/>
  <c r="BI48" i="7" s="1"/>
  <c r="BB49" i="7"/>
  <c r="BC49" i="7" s="1"/>
  <c r="AZ48" i="7"/>
  <c r="AY49" i="7" s="1"/>
  <c r="BF47" i="7"/>
  <c r="BE48" i="7" s="1"/>
  <c r="CR50" i="7"/>
  <c r="CS50" i="7" s="1"/>
  <c r="GN48" i="7"/>
  <c r="GM49" i="7" s="1"/>
  <c r="GK48" i="7"/>
  <c r="GJ49" i="7" s="1"/>
  <c r="GG48" i="7"/>
  <c r="GH48" i="7" s="1"/>
  <c r="GE49" i="7"/>
  <c r="GD50" i="7" s="1"/>
  <c r="GB49" i="7"/>
  <c r="GA50" i="7" s="1"/>
  <c r="FX49" i="7"/>
  <c r="FY49" i="7" s="1"/>
  <c r="FV50" i="7"/>
  <c r="FU51" i="7" s="1"/>
  <c r="FR49" i="7"/>
  <c r="FS49" i="7" s="1"/>
  <c r="FO48" i="7"/>
  <c r="FP48" i="7" s="1"/>
  <c r="FL48" i="7"/>
  <c r="FM48" i="7" s="1"/>
  <c r="FJ49" i="7"/>
  <c r="FI50" i="7" s="1"/>
  <c r="FF48" i="7"/>
  <c r="FG48" i="7" s="1"/>
  <c r="FD48" i="7"/>
  <c r="FC49" i="7" s="1"/>
  <c r="FA49" i="7"/>
  <c r="EZ50" i="7" s="1"/>
  <c r="EX48" i="7"/>
  <c r="EW49" i="7" s="1"/>
  <c r="EU49" i="7"/>
  <c r="ET50" i="7" s="1"/>
  <c r="ER47" i="7"/>
  <c r="EQ48" i="7" s="1"/>
  <c r="EO48" i="7"/>
  <c r="EN49" i="7" s="1"/>
  <c r="EL48" i="7"/>
  <c r="EK49" i="7" s="1"/>
  <c r="EI49" i="7"/>
  <c r="EH50" i="7" s="1"/>
  <c r="EF48" i="7"/>
  <c r="EE49" i="7" s="1"/>
  <c r="EC49" i="7"/>
  <c r="EB50" i="7" s="1"/>
  <c r="DY49" i="7"/>
  <c r="DZ49" i="7" s="1"/>
  <c r="DT49" i="7"/>
  <c r="DS50" i="7" s="1"/>
  <c r="DQ48" i="7"/>
  <c r="DP49" i="7" s="1"/>
  <c r="DN49" i="7"/>
  <c r="DM50" i="7" s="1"/>
  <c r="DH48" i="7"/>
  <c r="DG49" i="7" s="1"/>
  <c r="CX49" i="7"/>
  <c r="CY49" i="7" s="1"/>
  <c r="C50" i="7"/>
  <c r="D50" i="7" s="1"/>
  <c r="CA52" i="7"/>
  <c r="BZ53" i="7" s="1"/>
  <c r="O52" i="7"/>
  <c r="P52" i="7" s="1"/>
  <c r="E52" i="6"/>
  <c r="F52" i="6" s="1"/>
  <c r="B95" i="6"/>
  <c r="C95" i="6" s="1"/>
  <c r="B96" i="6" s="1"/>
  <c r="C96" i="6" s="1"/>
  <c r="CP49" i="7" l="1"/>
  <c r="CO50" i="7" s="1"/>
  <c r="CM48" i="7"/>
  <c r="CL49" i="7" s="1"/>
  <c r="CJ47" i="7"/>
  <c r="CI48" i="7" s="1"/>
  <c r="CG49" i="7"/>
  <c r="CF50" i="7" s="1"/>
  <c r="CC50" i="7"/>
  <c r="CD50" i="7" s="1"/>
  <c r="BX49" i="7"/>
  <c r="BW50" i="7" s="1"/>
  <c r="BT48" i="7"/>
  <c r="BU48" i="7" s="1"/>
  <c r="BR48" i="7"/>
  <c r="BQ49" i="7" s="1"/>
  <c r="BN50" i="7"/>
  <c r="BO50" i="7" s="1"/>
  <c r="BK50" i="7"/>
  <c r="BL50" i="7" s="1"/>
  <c r="BH49" i="7"/>
  <c r="BI49" i="7" s="1"/>
  <c r="BB50" i="7"/>
  <c r="BC50" i="7" s="1"/>
  <c r="AZ49" i="7"/>
  <c r="AY50" i="7" s="1"/>
  <c r="BF48" i="7"/>
  <c r="BE49" i="7" s="1"/>
  <c r="CR51" i="7"/>
  <c r="CS51" i="7" s="1"/>
  <c r="GN49" i="7"/>
  <c r="GM50" i="7" s="1"/>
  <c r="GK49" i="7"/>
  <c r="GJ50" i="7" s="1"/>
  <c r="GG49" i="7"/>
  <c r="GH49" i="7" s="1"/>
  <c r="GE50" i="7"/>
  <c r="GD51" i="7" s="1"/>
  <c r="GB50" i="7"/>
  <c r="GA51" i="7" s="1"/>
  <c r="FX50" i="7"/>
  <c r="FY50" i="7" s="1"/>
  <c r="FV51" i="7"/>
  <c r="FU52" i="7" s="1"/>
  <c r="FR50" i="7"/>
  <c r="FS50" i="7" s="1"/>
  <c r="FO49" i="7"/>
  <c r="FP49" i="7" s="1"/>
  <c r="FL49" i="7"/>
  <c r="FM49" i="7" s="1"/>
  <c r="FJ50" i="7"/>
  <c r="FI51" i="7" s="1"/>
  <c r="FF49" i="7"/>
  <c r="FG49" i="7" s="1"/>
  <c r="FD49" i="7"/>
  <c r="FC50" i="7" s="1"/>
  <c r="FA50" i="7"/>
  <c r="EZ51" i="7" s="1"/>
  <c r="EX49" i="7"/>
  <c r="EW50" i="7" s="1"/>
  <c r="EU50" i="7"/>
  <c r="ET51" i="7" s="1"/>
  <c r="ER48" i="7"/>
  <c r="EQ49" i="7" s="1"/>
  <c r="EO49" i="7"/>
  <c r="EN50" i="7" s="1"/>
  <c r="EL49" i="7"/>
  <c r="EK50" i="7" s="1"/>
  <c r="EI50" i="7"/>
  <c r="EH51" i="7" s="1"/>
  <c r="EF49" i="7"/>
  <c r="EE50" i="7" s="1"/>
  <c r="EC50" i="7"/>
  <c r="EB51" i="7" s="1"/>
  <c r="DY50" i="7"/>
  <c r="DZ50" i="7" s="1"/>
  <c r="DT50" i="7"/>
  <c r="DS51" i="7" s="1"/>
  <c r="DQ49" i="7"/>
  <c r="DP50" i="7" s="1"/>
  <c r="DN50" i="7"/>
  <c r="DM51" i="7" s="1"/>
  <c r="DH49" i="7"/>
  <c r="DG50" i="7" s="1"/>
  <c r="CX50" i="7"/>
  <c r="CY50" i="7" s="1"/>
  <c r="C51" i="7"/>
  <c r="D51" i="7" s="1"/>
  <c r="CA53" i="7"/>
  <c r="BZ54" i="7" s="1"/>
  <c r="O53" i="7"/>
  <c r="P53" i="7" s="1"/>
  <c r="E53" i="6"/>
  <c r="F53" i="6" s="1"/>
  <c r="B97" i="6"/>
  <c r="C97" i="6" s="1"/>
  <c r="B98" i="6" s="1"/>
  <c r="C98" i="6" s="1"/>
  <c r="CP50" i="7" l="1"/>
  <c r="CO51" i="7" s="1"/>
  <c r="CM49" i="7"/>
  <c r="CL50" i="7" s="1"/>
  <c r="CJ48" i="7"/>
  <c r="CI49" i="7" s="1"/>
  <c r="CG50" i="7"/>
  <c r="CF51" i="7" s="1"/>
  <c r="CC51" i="7"/>
  <c r="CD51" i="7" s="1"/>
  <c r="BX50" i="7"/>
  <c r="BW51" i="7" s="1"/>
  <c r="BT49" i="7"/>
  <c r="BU49" i="7" s="1"/>
  <c r="BR49" i="7"/>
  <c r="BQ50" i="7" s="1"/>
  <c r="BN51" i="7"/>
  <c r="BO51" i="7" s="1"/>
  <c r="BK51" i="7"/>
  <c r="BL51" i="7" s="1"/>
  <c r="BH50" i="7"/>
  <c r="BI50" i="7" s="1"/>
  <c r="BB51" i="7"/>
  <c r="BC51" i="7" s="1"/>
  <c r="AZ50" i="7"/>
  <c r="AY51" i="7" s="1"/>
  <c r="BF49" i="7"/>
  <c r="BE50" i="7" s="1"/>
  <c r="CR52" i="7"/>
  <c r="CS52" i="7" s="1"/>
  <c r="GN50" i="7"/>
  <c r="GM51" i="7" s="1"/>
  <c r="GK50" i="7"/>
  <c r="GJ51" i="7" s="1"/>
  <c r="GG50" i="7"/>
  <c r="GH50" i="7" s="1"/>
  <c r="GE51" i="7"/>
  <c r="GD52" i="7" s="1"/>
  <c r="GB51" i="7"/>
  <c r="GA52" i="7" s="1"/>
  <c r="FX51" i="7"/>
  <c r="FY51" i="7" s="1"/>
  <c r="FV52" i="7"/>
  <c r="FU53" i="7" s="1"/>
  <c r="FR51" i="7"/>
  <c r="FS51" i="7" s="1"/>
  <c r="FO50" i="7"/>
  <c r="FP50" i="7" s="1"/>
  <c r="FL50" i="7"/>
  <c r="FM50" i="7" s="1"/>
  <c r="FJ51" i="7"/>
  <c r="FI52" i="7" s="1"/>
  <c r="FF50" i="7"/>
  <c r="FG50" i="7" s="1"/>
  <c r="FD50" i="7"/>
  <c r="FC51" i="7" s="1"/>
  <c r="FA51" i="7"/>
  <c r="EZ52" i="7" s="1"/>
  <c r="EX50" i="7"/>
  <c r="EW51" i="7" s="1"/>
  <c r="EU51" i="7"/>
  <c r="ET52" i="7" s="1"/>
  <c r="ER49" i="7"/>
  <c r="EQ50" i="7" s="1"/>
  <c r="EO50" i="7"/>
  <c r="EN51" i="7" s="1"/>
  <c r="EL50" i="7"/>
  <c r="EK51" i="7" s="1"/>
  <c r="EI51" i="7"/>
  <c r="EH52" i="7" s="1"/>
  <c r="EF50" i="7"/>
  <c r="EE51" i="7" s="1"/>
  <c r="EC51" i="7"/>
  <c r="EB52" i="7" s="1"/>
  <c r="DY51" i="7"/>
  <c r="DZ51" i="7" s="1"/>
  <c r="DT51" i="7"/>
  <c r="DS52" i="7" s="1"/>
  <c r="DQ50" i="7"/>
  <c r="DP51" i="7" s="1"/>
  <c r="DN51" i="7"/>
  <c r="DM52" i="7" s="1"/>
  <c r="DH50" i="7"/>
  <c r="DG51" i="7" s="1"/>
  <c r="CX51" i="7"/>
  <c r="CY51" i="7" s="1"/>
  <c r="C52" i="7"/>
  <c r="D52" i="7" s="1"/>
  <c r="CA54" i="7"/>
  <c r="BZ55" i="7" s="1"/>
  <c r="O54" i="7"/>
  <c r="P54" i="7" s="1"/>
  <c r="E54" i="6"/>
  <c r="F54" i="6" s="1"/>
  <c r="B99" i="6"/>
  <c r="C99" i="6" s="1"/>
  <c r="B100" i="6" s="1"/>
  <c r="C100" i="6" s="1"/>
  <c r="CP51" i="7" l="1"/>
  <c r="CO52" i="7" s="1"/>
  <c r="CM50" i="7"/>
  <c r="CL51" i="7" s="1"/>
  <c r="CJ49" i="7"/>
  <c r="CI50" i="7" s="1"/>
  <c r="CG51" i="7"/>
  <c r="CF52" i="7" s="1"/>
  <c r="CC52" i="7"/>
  <c r="CD52" i="7" s="1"/>
  <c r="BX51" i="7"/>
  <c r="BW52" i="7" s="1"/>
  <c r="BT50" i="7"/>
  <c r="BU50" i="7" s="1"/>
  <c r="BR50" i="7"/>
  <c r="BQ51" i="7" s="1"/>
  <c r="BN52" i="7"/>
  <c r="BO52" i="7" s="1"/>
  <c r="BK52" i="7"/>
  <c r="BL52" i="7" s="1"/>
  <c r="BH51" i="7"/>
  <c r="BI51" i="7" s="1"/>
  <c r="BB52" i="7"/>
  <c r="BC52" i="7" s="1"/>
  <c r="AZ51" i="7"/>
  <c r="AY52" i="7" s="1"/>
  <c r="BF50" i="7"/>
  <c r="BE51" i="7" s="1"/>
  <c r="CR53" i="7"/>
  <c r="CS53" i="7" s="1"/>
  <c r="GN51" i="7"/>
  <c r="GM52" i="7" s="1"/>
  <c r="GK51" i="7"/>
  <c r="GJ52" i="7" s="1"/>
  <c r="GG51" i="7"/>
  <c r="GH51" i="7" s="1"/>
  <c r="GE52" i="7"/>
  <c r="GD53" i="7" s="1"/>
  <c r="GB52" i="7"/>
  <c r="GA53" i="7" s="1"/>
  <c r="FX52" i="7"/>
  <c r="FY52" i="7" s="1"/>
  <c r="FV53" i="7"/>
  <c r="FU54" i="7" s="1"/>
  <c r="FR52" i="7"/>
  <c r="FS52" i="7" s="1"/>
  <c r="FO51" i="7"/>
  <c r="FP51" i="7" s="1"/>
  <c r="FL51" i="7"/>
  <c r="FM51" i="7" s="1"/>
  <c r="FJ52" i="7"/>
  <c r="FI53" i="7" s="1"/>
  <c r="FF51" i="7"/>
  <c r="FG51" i="7" s="1"/>
  <c r="FD51" i="7"/>
  <c r="FC52" i="7" s="1"/>
  <c r="FA52" i="7"/>
  <c r="EZ53" i="7" s="1"/>
  <c r="EX51" i="7"/>
  <c r="EW52" i="7" s="1"/>
  <c r="EU52" i="7"/>
  <c r="ET53" i="7" s="1"/>
  <c r="ER50" i="7"/>
  <c r="EQ51" i="7" s="1"/>
  <c r="EO51" i="7"/>
  <c r="EN52" i="7" s="1"/>
  <c r="EL51" i="7"/>
  <c r="EK52" i="7" s="1"/>
  <c r="EI52" i="7"/>
  <c r="EH53" i="7" s="1"/>
  <c r="EF51" i="7"/>
  <c r="EE52" i="7" s="1"/>
  <c r="EC52" i="7"/>
  <c r="EB53" i="7" s="1"/>
  <c r="DY52" i="7"/>
  <c r="DZ52" i="7" s="1"/>
  <c r="DT52" i="7"/>
  <c r="DS53" i="7" s="1"/>
  <c r="DQ51" i="7"/>
  <c r="DP52" i="7" s="1"/>
  <c r="DN52" i="7"/>
  <c r="DM53" i="7" s="1"/>
  <c r="DH51" i="7"/>
  <c r="DG52" i="7" s="1"/>
  <c r="CX52" i="7"/>
  <c r="CY52" i="7" s="1"/>
  <c r="C53" i="7"/>
  <c r="D53" i="7" s="1"/>
  <c r="CA55" i="7"/>
  <c r="BZ56" i="7" s="1"/>
  <c r="O55" i="7"/>
  <c r="P55" i="7" s="1"/>
  <c r="E55" i="6"/>
  <c r="F55" i="6" s="1"/>
  <c r="B101" i="6"/>
  <c r="C101" i="6" s="1"/>
  <c r="B102" i="6" s="1"/>
  <c r="C102" i="6" s="1"/>
  <c r="CP52" i="7" l="1"/>
  <c r="CO53" i="7" s="1"/>
  <c r="CM51" i="7"/>
  <c r="CL52" i="7" s="1"/>
  <c r="CJ50" i="7"/>
  <c r="CI51" i="7" s="1"/>
  <c r="CG52" i="7"/>
  <c r="CF53" i="7" s="1"/>
  <c r="CC53" i="7"/>
  <c r="CD53" i="7" s="1"/>
  <c r="BX52" i="7"/>
  <c r="BW53" i="7" s="1"/>
  <c r="BT51" i="7"/>
  <c r="BU51" i="7" s="1"/>
  <c r="BR51" i="7"/>
  <c r="BQ52" i="7" s="1"/>
  <c r="BN53" i="7"/>
  <c r="BO53" i="7" s="1"/>
  <c r="BK53" i="7"/>
  <c r="BL53" i="7" s="1"/>
  <c r="BH52" i="7"/>
  <c r="BI52" i="7" s="1"/>
  <c r="BB53" i="7"/>
  <c r="BC53" i="7" s="1"/>
  <c r="AZ52" i="7"/>
  <c r="AY53" i="7" s="1"/>
  <c r="BF51" i="7"/>
  <c r="BE52" i="7" s="1"/>
  <c r="CR54" i="7"/>
  <c r="CS54" i="7" s="1"/>
  <c r="GN52" i="7"/>
  <c r="GM53" i="7" s="1"/>
  <c r="GK52" i="7"/>
  <c r="GJ53" i="7" s="1"/>
  <c r="GG52" i="7"/>
  <c r="GH52" i="7" s="1"/>
  <c r="GE53" i="7"/>
  <c r="GD54" i="7" s="1"/>
  <c r="GB53" i="7"/>
  <c r="GA54" i="7" s="1"/>
  <c r="FX53" i="7"/>
  <c r="FY53" i="7" s="1"/>
  <c r="FV54" i="7"/>
  <c r="FU55" i="7" s="1"/>
  <c r="FR53" i="7"/>
  <c r="FS53" i="7" s="1"/>
  <c r="FO52" i="7"/>
  <c r="FP52" i="7" s="1"/>
  <c r="FL52" i="7"/>
  <c r="FM52" i="7" s="1"/>
  <c r="FJ53" i="7"/>
  <c r="FI54" i="7" s="1"/>
  <c r="FF52" i="7"/>
  <c r="FG52" i="7" s="1"/>
  <c r="FD52" i="7"/>
  <c r="FC53" i="7" s="1"/>
  <c r="FA53" i="7"/>
  <c r="EZ54" i="7" s="1"/>
  <c r="EX52" i="7"/>
  <c r="EW53" i="7" s="1"/>
  <c r="EU53" i="7"/>
  <c r="ET54" i="7" s="1"/>
  <c r="ER51" i="7"/>
  <c r="EQ52" i="7" s="1"/>
  <c r="EO52" i="7"/>
  <c r="EN53" i="7" s="1"/>
  <c r="EL52" i="7"/>
  <c r="EK53" i="7" s="1"/>
  <c r="EI53" i="7"/>
  <c r="EH54" i="7" s="1"/>
  <c r="EF52" i="7"/>
  <c r="EE53" i="7" s="1"/>
  <c r="EC53" i="7"/>
  <c r="EB54" i="7" s="1"/>
  <c r="DY53" i="7"/>
  <c r="DZ53" i="7" s="1"/>
  <c r="DT53" i="7"/>
  <c r="DS54" i="7" s="1"/>
  <c r="DQ52" i="7"/>
  <c r="DP53" i="7" s="1"/>
  <c r="DN53" i="7"/>
  <c r="DM54" i="7" s="1"/>
  <c r="DH52" i="7"/>
  <c r="DG53" i="7" s="1"/>
  <c r="CX53" i="7"/>
  <c r="CY53" i="7" s="1"/>
  <c r="C54" i="7"/>
  <c r="D54" i="7" s="1"/>
  <c r="CA56" i="7"/>
  <c r="BZ57" i="7" s="1"/>
  <c r="O56" i="7"/>
  <c r="P56" i="7" s="1"/>
  <c r="E56" i="6"/>
  <c r="F56" i="6" s="1"/>
  <c r="B103" i="6"/>
  <c r="C103" i="6" s="1"/>
  <c r="C53" i="11" s="1"/>
  <c r="O30" i="11" l="1"/>
  <c r="O32" i="11"/>
  <c r="CP53" i="7"/>
  <c r="CO54" i="7" s="1"/>
  <c r="CM52" i="7"/>
  <c r="CL53" i="7" s="1"/>
  <c r="CJ51" i="7"/>
  <c r="CI52" i="7" s="1"/>
  <c r="CG53" i="7"/>
  <c r="CF54" i="7" s="1"/>
  <c r="CC54" i="7"/>
  <c r="CD54" i="7" s="1"/>
  <c r="BX53" i="7"/>
  <c r="BW54" i="7" s="1"/>
  <c r="BT52" i="7"/>
  <c r="BU52" i="7" s="1"/>
  <c r="BR52" i="7"/>
  <c r="BQ53" i="7" s="1"/>
  <c r="BN54" i="7"/>
  <c r="BO54" i="7" s="1"/>
  <c r="BK54" i="7"/>
  <c r="BL54" i="7" s="1"/>
  <c r="BH53" i="7"/>
  <c r="BI53" i="7" s="1"/>
  <c r="BB54" i="7"/>
  <c r="BC54" i="7" s="1"/>
  <c r="AZ53" i="7"/>
  <c r="AY54" i="7" s="1"/>
  <c r="BF52" i="7"/>
  <c r="BE53" i="7" s="1"/>
  <c r="CR55" i="7"/>
  <c r="CS55" i="7" s="1"/>
  <c r="GN53" i="7"/>
  <c r="GM54" i="7" s="1"/>
  <c r="GK53" i="7"/>
  <c r="GJ54" i="7" s="1"/>
  <c r="GG53" i="7"/>
  <c r="GH53" i="7" s="1"/>
  <c r="GE54" i="7"/>
  <c r="GD55" i="7" s="1"/>
  <c r="GB54" i="7"/>
  <c r="GA55" i="7" s="1"/>
  <c r="FX54" i="7"/>
  <c r="FY54" i="7" s="1"/>
  <c r="FV55" i="7"/>
  <c r="FU56" i="7" s="1"/>
  <c r="FR54" i="7"/>
  <c r="FS54" i="7" s="1"/>
  <c r="FO53" i="7"/>
  <c r="FP53" i="7" s="1"/>
  <c r="FL53" i="7"/>
  <c r="FM53" i="7" s="1"/>
  <c r="FJ54" i="7"/>
  <c r="FI55" i="7" s="1"/>
  <c r="FF53" i="7"/>
  <c r="FG53" i="7" s="1"/>
  <c r="FD53" i="7"/>
  <c r="FC54" i="7" s="1"/>
  <c r="FA54" i="7"/>
  <c r="EZ55" i="7" s="1"/>
  <c r="EX53" i="7"/>
  <c r="EW54" i="7" s="1"/>
  <c r="EU54" i="7"/>
  <c r="ET55" i="7" s="1"/>
  <c r="ER52" i="7"/>
  <c r="EQ53" i="7" s="1"/>
  <c r="EO53" i="7"/>
  <c r="EN54" i="7" s="1"/>
  <c r="EL53" i="7"/>
  <c r="EK54" i="7" s="1"/>
  <c r="EI54" i="7"/>
  <c r="EH55" i="7" s="1"/>
  <c r="EF53" i="7"/>
  <c r="EE54" i="7" s="1"/>
  <c r="EC54" i="7"/>
  <c r="EB55" i="7" s="1"/>
  <c r="DY54" i="7"/>
  <c r="DZ54" i="7" s="1"/>
  <c r="DT54" i="7"/>
  <c r="DS55" i="7" s="1"/>
  <c r="DQ53" i="7"/>
  <c r="DP54" i="7" s="1"/>
  <c r="DN54" i="7"/>
  <c r="DM55" i="7" s="1"/>
  <c r="DH53" i="7"/>
  <c r="DG54" i="7" s="1"/>
  <c r="CX54" i="7"/>
  <c r="CY54" i="7" s="1"/>
  <c r="C55" i="7"/>
  <c r="D55" i="7" s="1"/>
  <c r="CA57" i="7"/>
  <c r="BZ58" i="7" s="1"/>
  <c r="O57" i="7"/>
  <c r="P57" i="7" s="1"/>
  <c r="E57" i="6"/>
  <c r="F57" i="6" s="1"/>
  <c r="O34" i="11" l="1"/>
  <c r="O33" i="11" s="1"/>
  <c r="CP54" i="7"/>
  <c r="CO55" i="7" s="1"/>
  <c r="CM53" i="7"/>
  <c r="CL54" i="7" s="1"/>
  <c r="CJ52" i="7"/>
  <c r="CI53" i="7" s="1"/>
  <c r="CG54" i="7"/>
  <c r="CF55" i="7" s="1"/>
  <c r="CC55" i="7"/>
  <c r="CD55" i="7" s="1"/>
  <c r="BX54" i="7"/>
  <c r="BW55" i="7" s="1"/>
  <c r="BT53" i="7"/>
  <c r="BU53" i="7" s="1"/>
  <c r="BR53" i="7"/>
  <c r="BQ54" i="7" s="1"/>
  <c r="BN55" i="7"/>
  <c r="BO55" i="7" s="1"/>
  <c r="BK55" i="7"/>
  <c r="BL55" i="7" s="1"/>
  <c r="BH54" i="7"/>
  <c r="BI54" i="7" s="1"/>
  <c r="BB55" i="7"/>
  <c r="BC55" i="7" s="1"/>
  <c r="AZ54" i="7"/>
  <c r="AY55" i="7" s="1"/>
  <c r="BF53" i="7"/>
  <c r="BE54" i="7" s="1"/>
  <c r="CR56" i="7"/>
  <c r="CS56" i="7" s="1"/>
  <c r="GN54" i="7"/>
  <c r="GM55" i="7" s="1"/>
  <c r="GK54" i="7"/>
  <c r="GJ55" i="7" s="1"/>
  <c r="GG54" i="7"/>
  <c r="GH54" i="7" s="1"/>
  <c r="GE55" i="7"/>
  <c r="GD56" i="7" s="1"/>
  <c r="GB55" i="7"/>
  <c r="GA56" i="7" s="1"/>
  <c r="FX55" i="7"/>
  <c r="FY55" i="7" s="1"/>
  <c r="FV56" i="7"/>
  <c r="FU57" i="7" s="1"/>
  <c r="FR55" i="7"/>
  <c r="FS55" i="7" s="1"/>
  <c r="FO54" i="7"/>
  <c r="FP54" i="7" s="1"/>
  <c r="FL54" i="7"/>
  <c r="FM54" i="7" s="1"/>
  <c r="FJ55" i="7"/>
  <c r="FI56" i="7" s="1"/>
  <c r="FF54" i="7"/>
  <c r="FG54" i="7" s="1"/>
  <c r="FD54" i="7"/>
  <c r="FC55" i="7" s="1"/>
  <c r="FA55" i="7"/>
  <c r="EZ56" i="7" s="1"/>
  <c r="EX54" i="7"/>
  <c r="EW55" i="7" s="1"/>
  <c r="EU55" i="7"/>
  <c r="ET56" i="7" s="1"/>
  <c r="ER53" i="7"/>
  <c r="EQ54" i="7" s="1"/>
  <c r="EO54" i="7"/>
  <c r="EN55" i="7" s="1"/>
  <c r="EL54" i="7"/>
  <c r="EK55" i="7" s="1"/>
  <c r="EI55" i="7"/>
  <c r="EH56" i="7" s="1"/>
  <c r="EF54" i="7"/>
  <c r="EE55" i="7" s="1"/>
  <c r="EC55" i="7"/>
  <c r="EB56" i="7" s="1"/>
  <c r="DY55" i="7"/>
  <c r="DZ55" i="7" s="1"/>
  <c r="DT55" i="7"/>
  <c r="DS56" i="7" s="1"/>
  <c r="DQ54" i="7"/>
  <c r="DP55" i="7" s="1"/>
  <c r="DN55" i="7"/>
  <c r="DM56" i="7" s="1"/>
  <c r="DH54" i="7"/>
  <c r="DG55" i="7" s="1"/>
  <c r="CX55" i="7"/>
  <c r="CY55" i="7" s="1"/>
  <c r="C56" i="7"/>
  <c r="D56" i="7" s="1"/>
  <c r="CA58" i="7"/>
  <c r="BZ59" i="7" s="1"/>
  <c r="O58" i="7"/>
  <c r="P58" i="7" s="1"/>
  <c r="E58" i="6"/>
  <c r="F58" i="6" s="1"/>
  <c r="O31" i="11" l="1"/>
  <c r="C57" i="11"/>
  <c r="O35" i="11" s="1"/>
  <c r="CP55" i="7"/>
  <c r="CO56" i="7" s="1"/>
  <c r="CM54" i="7"/>
  <c r="CL55" i="7" s="1"/>
  <c r="CJ53" i="7"/>
  <c r="CI54" i="7" s="1"/>
  <c r="CG55" i="7"/>
  <c r="CF56" i="7" s="1"/>
  <c r="CC56" i="7"/>
  <c r="CD56" i="7" s="1"/>
  <c r="BX55" i="7"/>
  <c r="BW56" i="7" s="1"/>
  <c r="BT54" i="7"/>
  <c r="BU54" i="7" s="1"/>
  <c r="BR54" i="7"/>
  <c r="BQ55" i="7" s="1"/>
  <c r="BN56" i="7"/>
  <c r="BO56" i="7" s="1"/>
  <c r="BK56" i="7"/>
  <c r="BL56" i="7" s="1"/>
  <c r="BH55" i="7"/>
  <c r="BI55" i="7" s="1"/>
  <c r="BB56" i="7"/>
  <c r="BC56" i="7" s="1"/>
  <c r="AZ55" i="7"/>
  <c r="AY56" i="7" s="1"/>
  <c r="BF54" i="7"/>
  <c r="BE55" i="7" s="1"/>
  <c r="CR57" i="7"/>
  <c r="CS57" i="7" s="1"/>
  <c r="GN55" i="7"/>
  <c r="GM56" i="7" s="1"/>
  <c r="GK55" i="7"/>
  <c r="GJ56" i="7" s="1"/>
  <c r="GG55" i="7"/>
  <c r="GH55" i="7" s="1"/>
  <c r="GE56" i="7"/>
  <c r="GD57" i="7" s="1"/>
  <c r="GB56" i="7"/>
  <c r="GA57" i="7" s="1"/>
  <c r="FX56" i="7"/>
  <c r="FY56" i="7" s="1"/>
  <c r="FV57" i="7"/>
  <c r="FU58" i="7" s="1"/>
  <c r="FR56" i="7"/>
  <c r="FS56" i="7" s="1"/>
  <c r="FO55" i="7"/>
  <c r="FP55" i="7" s="1"/>
  <c r="FL55" i="7"/>
  <c r="FM55" i="7" s="1"/>
  <c r="FJ56" i="7"/>
  <c r="FI57" i="7" s="1"/>
  <c r="FF55" i="7"/>
  <c r="FG55" i="7" s="1"/>
  <c r="FD55" i="7"/>
  <c r="FC56" i="7" s="1"/>
  <c r="FA56" i="7"/>
  <c r="EZ57" i="7" s="1"/>
  <c r="EX55" i="7"/>
  <c r="EW56" i="7" s="1"/>
  <c r="EU56" i="7"/>
  <c r="ET57" i="7" s="1"/>
  <c r="ER54" i="7"/>
  <c r="EQ55" i="7" s="1"/>
  <c r="EO55" i="7"/>
  <c r="EN56" i="7" s="1"/>
  <c r="EL55" i="7"/>
  <c r="EK56" i="7" s="1"/>
  <c r="EI56" i="7"/>
  <c r="EH57" i="7" s="1"/>
  <c r="EF55" i="7"/>
  <c r="EE56" i="7" s="1"/>
  <c r="EC56" i="7"/>
  <c r="EB57" i="7" s="1"/>
  <c r="DY56" i="7"/>
  <c r="DZ56" i="7" s="1"/>
  <c r="DT56" i="7"/>
  <c r="DS57" i="7" s="1"/>
  <c r="DQ55" i="7"/>
  <c r="DP56" i="7" s="1"/>
  <c r="DN56" i="7"/>
  <c r="DM57" i="7" s="1"/>
  <c r="DH55" i="7"/>
  <c r="DG56" i="7" s="1"/>
  <c r="CX56" i="7"/>
  <c r="CY56" i="7" s="1"/>
  <c r="C57" i="7"/>
  <c r="D57" i="7" s="1"/>
  <c r="CA59" i="7"/>
  <c r="BZ60" i="7" s="1"/>
  <c r="O59" i="7"/>
  <c r="P59" i="7" s="1"/>
  <c r="E59" i="6"/>
  <c r="F59" i="6" s="1"/>
  <c r="CP56" i="7" l="1"/>
  <c r="CO57" i="7" s="1"/>
  <c r="CM55" i="7"/>
  <c r="CL56" i="7" s="1"/>
  <c r="CJ54" i="7"/>
  <c r="CI55" i="7" s="1"/>
  <c r="CG56" i="7"/>
  <c r="CF57" i="7" s="1"/>
  <c r="CC57" i="7"/>
  <c r="CD57" i="7" s="1"/>
  <c r="BX56" i="7"/>
  <c r="BW57" i="7" s="1"/>
  <c r="BT55" i="7"/>
  <c r="BU55" i="7" s="1"/>
  <c r="BR55" i="7"/>
  <c r="BQ56" i="7" s="1"/>
  <c r="BN57" i="7"/>
  <c r="BO57" i="7" s="1"/>
  <c r="BK57" i="7"/>
  <c r="BL57" i="7" s="1"/>
  <c r="BH56" i="7"/>
  <c r="BI56" i="7" s="1"/>
  <c r="BB57" i="7"/>
  <c r="BC57" i="7" s="1"/>
  <c r="AZ56" i="7"/>
  <c r="AY57" i="7" s="1"/>
  <c r="BF55" i="7"/>
  <c r="BE56" i="7" s="1"/>
  <c r="CR58" i="7"/>
  <c r="CS58" i="7" s="1"/>
  <c r="GN56" i="7"/>
  <c r="GM57" i="7" s="1"/>
  <c r="GK56" i="7"/>
  <c r="GJ57" i="7" s="1"/>
  <c r="GG56" i="7"/>
  <c r="GH56" i="7" s="1"/>
  <c r="GE57" i="7"/>
  <c r="GD58" i="7" s="1"/>
  <c r="GB57" i="7"/>
  <c r="GA58" i="7" s="1"/>
  <c r="FX57" i="7"/>
  <c r="FY57" i="7" s="1"/>
  <c r="FV58" i="7"/>
  <c r="FU59" i="7" s="1"/>
  <c r="FR57" i="7"/>
  <c r="FS57" i="7" s="1"/>
  <c r="FO56" i="7"/>
  <c r="FP56" i="7" s="1"/>
  <c r="FL56" i="7"/>
  <c r="FM56" i="7" s="1"/>
  <c r="FJ57" i="7"/>
  <c r="FI58" i="7" s="1"/>
  <c r="FF56" i="7"/>
  <c r="FG56" i="7" s="1"/>
  <c r="FD56" i="7"/>
  <c r="FC57" i="7" s="1"/>
  <c r="FA57" i="7"/>
  <c r="EZ58" i="7" s="1"/>
  <c r="EX56" i="7"/>
  <c r="EW57" i="7" s="1"/>
  <c r="EU57" i="7"/>
  <c r="ET58" i="7" s="1"/>
  <c r="ER55" i="7"/>
  <c r="EQ56" i="7" s="1"/>
  <c r="EO56" i="7"/>
  <c r="EN57" i="7" s="1"/>
  <c r="EL56" i="7"/>
  <c r="EK57" i="7" s="1"/>
  <c r="EI57" i="7"/>
  <c r="EH58" i="7" s="1"/>
  <c r="EF56" i="7"/>
  <c r="EE57" i="7" s="1"/>
  <c r="EC57" i="7"/>
  <c r="EB58" i="7" s="1"/>
  <c r="DY57" i="7"/>
  <c r="DZ57" i="7" s="1"/>
  <c r="DT57" i="7"/>
  <c r="DS58" i="7" s="1"/>
  <c r="DQ56" i="7"/>
  <c r="DP57" i="7" s="1"/>
  <c r="DN57" i="7"/>
  <c r="DM58" i="7" s="1"/>
  <c r="DH56" i="7"/>
  <c r="DG57" i="7" s="1"/>
  <c r="CX57" i="7"/>
  <c r="CY57" i="7" s="1"/>
  <c r="C58" i="7"/>
  <c r="D58" i="7" s="1"/>
  <c r="CA60" i="7"/>
  <c r="BZ61" i="7" s="1"/>
  <c r="O60" i="7"/>
  <c r="P60" i="7" s="1"/>
  <c r="E60" i="6"/>
  <c r="F60" i="6" s="1"/>
  <c r="CP57" i="7" l="1"/>
  <c r="CO58" i="7" s="1"/>
  <c r="CM56" i="7"/>
  <c r="CL57" i="7" s="1"/>
  <c r="CJ55" i="7"/>
  <c r="CI56" i="7" s="1"/>
  <c r="CG57" i="7"/>
  <c r="CF58" i="7" s="1"/>
  <c r="CC58" i="7"/>
  <c r="CD58" i="7" s="1"/>
  <c r="BX57" i="7"/>
  <c r="BW58" i="7" s="1"/>
  <c r="BT56" i="7"/>
  <c r="BU56" i="7" s="1"/>
  <c r="BR56" i="7"/>
  <c r="BQ57" i="7" s="1"/>
  <c r="BN58" i="7"/>
  <c r="BO58" i="7" s="1"/>
  <c r="BK58" i="7"/>
  <c r="BL58" i="7" s="1"/>
  <c r="BH57" i="7"/>
  <c r="BI57" i="7" s="1"/>
  <c r="BB58" i="7"/>
  <c r="BC58" i="7" s="1"/>
  <c r="AZ57" i="7"/>
  <c r="AY58" i="7" s="1"/>
  <c r="BF56" i="7"/>
  <c r="BE57" i="7" s="1"/>
  <c r="CR59" i="7"/>
  <c r="CS59" i="7" s="1"/>
  <c r="GN57" i="7"/>
  <c r="GM58" i="7" s="1"/>
  <c r="GK57" i="7"/>
  <c r="GJ58" i="7" s="1"/>
  <c r="GG57" i="7"/>
  <c r="GH57" i="7" s="1"/>
  <c r="GE58" i="7"/>
  <c r="GD59" i="7" s="1"/>
  <c r="GB58" i="7"/>
  <c r="GA59" i="7" s="1"/>
  <c r="FX58" i="7"/>
  <c r="FY58" i="7" s="1"/>
  <c r="FV59" i="7"/>
  <c r="FU60" i="7" s="1"/>
  <c r="FR58" i="7"/>
  <c r="FS58" i="7" s="1"/>
  <c r="FO57" i="7"/>
  <c r="FP57" i="7" s="1"/>
  <c r="FL57" i="7"/>
  <c r="FM57" i="7" s="1"/>
  <c r="FJ58" i="7"/>
  <c r="FI59" i="7" s="1"/>
  <c r="FF57" i="7"/>
  <c r="FG57" i="7" s="1"/>
  <c r="FD57" i="7"/>
  <c r="FC58" i="7" s="1"/>
  <c r="FA58" i="7"/>
  <c r="EZ59" i="7" s="1"/>
  <c r="EX57" i="7"/>
  <c r="EW58" i="7" s="1"/>
  <c r="EU58" i="7"/>
  <c r="ET59" i="7" s="1"/>
  <c r="ER56" i="7"/>
  <c r="EQ57" i="7" s="1"/>
  <c r="EO57" i="7"/>
  <c r="EN58" i="7" s="1"/>
  <c r="EL57" i="7"/>
  <c r="EK58" i="7" s="1"/>
  <c r="EI58" i="7"/>
  <c r="EH59" i="7" s="1"/>
  <c r="EF57" i="7"/>
  <c r="EE58" i="7" s="1"/>
  <c r="EC58" i="7"/>
  <c r="EB59" i="7" s="1"/>
  <c r="DY58" i="7"/>
  <c r="DZ58" i="7" s="1"/>
  <c r="DT58" i="7"/>
  <c r="DS59" i="7" s="1"/>
  <c r="DQ57" i="7"/>
  <c r="DP58" i="7" s="1"/>
  <c r="DN58" i="7"/>
  <c r="DM59" i="7" s="1"/>
  <c r="DH57" i="7"/>
  <c r="DG58" i="7" s="1"/>
  <c r="CX58" i="7"/>
  <c r="CY58" i="7" s="1"/>
  <c r="C59" i="7"/>
  <c r="D59" i="7" s="1"/>
  <c r="CA61" i="7"/>
  <c r="BZ62" i="7" s="1"/>
  <c r="O61" i="7"/>
  <c r="P61" i="7" s="1"/>
  <c r="E61" i="6"/>
  <c r="F61" i="6" s="1"/>
  <c r="CP58" i="7" l="1"/>
  <c r="CO59" i="7" s="1"/>
  <c r="CM57" i="7"/>
  <c r="CL58" i="7" s="1"/>
  <c r="CJ56" i="7"/>
  <c r="CI57" i="7" s="1"/>
  <c r="CG58" i="7"/>
  <c r="CF59" i="7" s="1"/>
  <c r="CC59" i="7"/>
  <c r="CD59" i="7" s="1"/>
  <c r="BX58" i="7"/>
  <c r="BW59" i="7" s="1"/>
  <c r="BT57" i="7"/>
  <c r="BU57" i="7" s="1"/>
  <c r="BR57" i="7"/>
  <c r="BQ58" i="7" s="1"/>
  <c r="BN59" i="7"/>
  <c r="BO59" i="7" s="1"/>
  <c r="BK59" i="7"/>
  <c r="BL59" i="7" s="1"/>
  <c r="BH58" i="7"/>
  <c r="BI58" i="7" s="1"/>
  <c r="BB59" i="7"/>
  <c r="BC59" i="7" s="1"/>
  <c r="AZ58" i="7"/>
  <c r="AY59" i="7" s="1"/>
  <c r="BF57" i="7"/>
  <c r="BE58" i="7" s="1"/>
  <c r="CR60" i="7"/>
  <c r="CS60" i="7" s="1"/>
  <c r="GN58" i="7"/>
  <c r="GM59" i="7" s="1"/>
  <c r="GK58" i="7"/>
  <c r="GJ59" i="7" s="1"/>
  <c r="GG58" i="7"/>
  <c r="GH58" i="7" s="1"/>
  <c r="GE59" i="7"/>
  <c r="GD60" i="7" s="1"/>
  <c r="GB59" i="7"/>
  <c r="GA60" i="7" s="1"/>
  <c r="FX59" i="7"/>
  <c r="FY59" i="7" s="1"/>
  <c r="FV60" i="7"/>
  <c r="FU61" i="7" s="1"/>
  <c r="FR59" i="7"/>
  <c r="FS59" i="7" s="1"/>
  <c r="FO58" i="7"/>
  <c r="FP58" i="7" s="1"/>
  <c r="FL58" i="7"/>
  <c r="FM58" i="7" s="1"/>
  <c r="FJ59" i="7"/>
  <c r="FI60" i="7" s="1"/>
  <c r="FF58" i="7"/>
  <c r="FG58" i="7" s="1"/>
  <c r="FD58" i="7"/>
  <c r="FC59" i="7" s="1"/>
  <c r="FA59" i="7"/>
  <c r="EZ60" i="7" s="1"/>
  <c r="EX58" i="7"/>
  <c r="EW59" i="7" s="1"/>
  <c r="EU59" i="7"/>
  <c r="ET60" i="7" s="1"/>
  <c r="ER57" i="7"/>
  <c r="EQ58" i="7" s="1"/>
  <c r="EO58" i="7"/>
  <c r="EN59" i="7" s="1"/>
  <c r="EL58" i="7"/>
  <c r="EK59" i="7" s="1"/>
  <c r="EI59" i="7"/>
  <c r="EH60" i="7" s="1"/>
  <c r="EF58" i="7"/>
  <c r="EE59" i="7" s="1"/>
  <c r="EC59" i="7"/>
  <c r="EB60" i="7" s="1"/>
  <c r="DY59" i="7"/>
  <c r="DZ59" i="7" s="1"/>
  <c r="DT59" i="7"/>
  <c r="DS60" i="7" s="1"/>
  <c r="DQ58" i="7"/>
  <c r="DP59" i="7" s="1"/>
  <c r="DN59" i="7"/>
  <c r="DM60" i="7" s="1"/>
  <c r="DH58" i="7"/>
  <c r="DG59" i="7" s="1"/>
  <c r="CX59" i="7"/>
  <c r="CY59" i="7" s="1"/>
  <c r="C60" i="7"/>
  <c r="D60" i="7" s="1"/>
  <c r="CA62" i="7"/>
  <c r="BZ63" i="7" s="1"/>
  <c r="O62" i="7"/>
  <c r="P62" i="7" s="1"/>
  <c r="E62" i="6"/>
  <c r="F62" i="6" s="1"/>
  <c r="CP59" i="7" l="1"/>
  <c r="CO60" i="7" s="1"/>
  <c r="CM58" i="7"/>
  <c r="CL59" i="7" s="1"/>
  <c r="CJ57" i="7"/>
  <c r="CI58" i="7" s="1"/>
  <c r="CG59" i="7"/>
  <c r="CF60" i="7" s="1"/>
  <c r="CC60" i="7"/>
  <c r="CD60" i="7" s="1"/>
  <c r="BX59" i="7"/>
  <c r="BW60" i="7" s="1"/>
  <c r="BT58" i="7"/>
  <c r="BU58" i="7" s="1"/>
  <c r="BR58" i="7"/>
  <c r="BQ59" i="7" s="1"/>
  <c r="BN60" i="7"/>
  <c r="BO60" i="7" s="1"/>
  <c r="BK60" i="7"/>
  <c r="BL60" i="7" s="1"/>
  <c r="BH59" i="7"/>
  <c r="BI59" i="7" s="1"/>
  <c r="BB60" i="7"/>
  <c r="BC60" i="7" s="1"/>
  <c r="AZ59" i="7"/>
  <c r="AY60" i="7" s="1"/>
  <c r="BF58" i="7"/>
  <c r="BE59" i="7" s="1"/>
  <c r="CR61" i="7"/>
  <c r="CS61" i="7" s="1"/>
  <c r="GN59" i="7"/>
  <c r="GM60" i="7" s="1"/>
  <c r="GK59" i="7"/>
  <c r="GJ60" i="7" s="1"/>
  <c r="GG59" i="7"/>
  <c r="GH59" i="7" s="1"/>
  <c r="GE60" i="7"/>
  <c r="GD61" i="7" s="1"/>
  <c r="GB60" i="7"/>
  <c r="GA61" i="7" s="1"/>
  <c r="FX60" i="7"/>
  <c r="FY60" i="7" s="1"/>
  <c r="FV61" i="7"/>
  <c r="FU62" i="7" s="1"/>
  <c r="FR60" i="7"/>
  <c r="FS60" i="7" s="1"/>
  <c r="FO59" i="7"/>
  <c r="FP59" i="7" s="1"/>
  <c r="FL59" i="7"/>
  <c r="FM59" i="7" s="1"/>
  <c r="FJ60" i="7"/>
  <c r="FI61" i="7" s="1"/>
  <c r="FF59" i="7"/>
  <c r="FG59" i="7" s="1"/>
  <c r="FD59" i="7"/>
  <c r="FC60" i="7" s="1"/>
  <c r="FA60" i="7"/>
  <c r="EZ61" i="7" s="1"/>
  <c r="EX59" i="7"/>
  <c r="EW60" i="7" s="1"/>
  <c r="EU60" i="7"/>
  <c r="ET61" i="7" s="1"/>
  <c r="ER58" i="7"/>
  <c r="EQ59" i="7" s="1"/>
  <c r="EO59" i="7"/>
  <c r="EN60" i="7" s="1"/>
  <c r="EL59" i="7"/>
  <c r="EK60" i="7" s="1"/>
  <c r="EI60" i="7"/>
  <c r="EH61" i="7" s="1"/>
  <c r="EF59" i="7"/>
  <c r="EE60" i="7" s="1"/>
  <c r="EC60" i="7"/>
  <c r="EB61" i="7" s="1"/>
  <c r="DY60" i="7"/>
  <c r="DZ60" i="7" s="1"/>
  <c r="DT60" i="7"/>
  <c r="DS61" i="7" s="1"/>
  <c r="DQ59" i="7"/>
  <c r="DP60" i="7" s="1"/>
  <c r="DN60" i="7"/>
  <c r="DM61" i="7" s="1"/>
  <c r="DH59" i="7"/>
  <c r="DG60" i="7" s="1"/>
  <c r="CX60" i="7"/>
  <c r="CY60" i="7" s="1"/>
  <c r="C61" i="7"/>
  <c r="D61" i="7" s="1"/>
  <c r="CA63" i="7"/>
  <c r="BZ64" i="7" s="1"/>
  <c r="O63" i="7"/>
  <c r="P63" i="7" s="1"/>
  <c r="E63" i="6"/>
  <c r="F63" i="6" s="1"/>
  <c r="CP60" i="7" l="1"/>
  <c r="CO61" i="7" s="1"/>
  <c r="CM59" i="7"/>
  <c r="CL60" i="7" s="1"/>
  <c r="CJ58" i="7"/>
  <c r="CI59" i="7" s="1"/>
  <c r="CG60" i="7"/>
  <c r="CF61" i="7" s="1"/>
  <c r="CC61" i="7"/>
  <c r="CD61" i="7" s="1"/>
  <c r="BX60" i="7"/>
  <c r="BW61" i="7" s="1"/>
  <c r="BT59" i="7"/>
  <c r="BU59" i="7" s="1"/>
  <c r="BR59" i="7"/>
  <c r="BQ60" i="7" s="1"/>
  <c r="BN61" i="7"/>
  <c r="BO61" i="7" s="1"/>
  <c r="BK61" i="7"/>
  <c r="BL61" i="7" s="1"/>
  <c r="BH60" i="7"/>
  <c r="BI60" i="7" s="1"/>
  <c r="BB61" i="7"/>
  <c r="BC61" i="7" s="1"/>
  <c r="AZ60" i="7"/>
  <c r="AY61" i="7" s="1"/>
  <c r="BF59" i="7"/>
  <c r="BE60" i="7" s="1"/>
  <c r="CR62" i="7"/>
  <c r="CS62" i="7" s="1"/>
  <c r="GN60" i="7"/>
  <c r="GM61" i="7" s="1"/>
  <c r="GK60" i="7"/>
  <c r="GJ61" i="7" s="1"/>
  <c r="GG60" i="7"/>
  <c r="GH60" i="7" s="1"/>
  <c r="GE61" i="7"/>
  <c r="GD62" i="7" s="1"/>
  <c r="GB61" i="7"/>
  <c r="GA62" i="7" s="1"/>
  <c r="FX61" i="7"/>
  <c r="FY61" i="7" s="1"/>
  <c r="FV62" i="7"/>
  <c r="FU63" i="7" s="1"/>
  <c r="FR61" i="7"/>
  <c r="FS61" i="7" s="1"/>
  <c r="FO60" i="7"/>
  <c r="FP60" i="7" s="1"/>
  <c r="FL60" i="7"/>
  <c r="FM60" i="7" s="1"/>
  <c r="FJ61" i="7"/>
  <c r="FI62" i="7" s="1"/>
  <c r="FF60" i="7"/>
  <c r="FG60" i="7" s="1"/>
  <c r="FD60" i="7"/>
  <c r="FC61" i="7" s="1"/>
  <c r="FA61" i="7"/>
  <c r="EZ62" i="7" s="1"/>
  <c r="EX60" i="7"/>
  <c r="EW61" i="7" s="1"/>
  <c r="EU61" i="7"/>
  <c r="ET62" i="7" s="1"/>
  <c r="ER59" i="7"/>
  <c r="EQ60" i="7" s="1"/>
  <c r="EO60" i="7"/>
  <c r="EN61" i="7" s="1"/>
  <c r="EL60" i="7"/>
  <c r="EK61" i="7" s="1"/>
  <c r="EI61" i="7"/>
  <c r="EH62" i="7" s="1"/>
  <c r="EF60" i="7"/>
  <c r="EE61" i="7" s="1"/>
  <c r="EC61" i="7"/>
  <c r="EB62" i="7" s="1"/>
  <c r="DY61" i="7"/>
  <c r="DZ61" i="7" s="1"/>
  <c r="DT61" i="7"/>
  <c r="DS62" i="7" s="1"/>
  <c r="DQ60" i="7"/>
  <c r="DP61" i="7" s="1"/>
  <c r="DN61" i="7"/>
  <c r="DM62" i="7" s="1"/>
  <c r="DH60" i="7"/>
  <c r="DG61" i="7" s="1"/>
  <c r="CX61" i="7"/>
  <c r="CY61" i="7" s="1"/>
  <c r="C62" i="7"/>
  <c r="D62" i="7" s="1"/>
  <c r="CA64" i="7"/>
  <c r="BZ65" i="7" s="1"/>
  <c r="O64" i="7"/>
  <c r="P64" i="7" s="1"/>
  <c r="E64" i="6"/>
  <c r="F64" i="6" s="1"/>
  <c r="CP61" i="7" l="1"/>
  <c r="CO62" i="7" s="1"/>
  <c r="CM60" i="7"/>
  <c r="CL61" i="7" s="1"/>
  <c r="CJ59" i="7"/>
  <c r="CI60" i="7" s="1"/>
  <c r="CG61" i="7"/>
  <c r="CF62" i="7" s="1"/>
  <c r="CC62" i="7"/>
  <c r="CD62" i="7" s="1"/>
  <c r="BX61" i="7"/>
  <c r="BW62" i="7" s="1"/>
  <c r="BT60" i="7"/>
  <c r="BU60" i="7" s="1"/>
  <c r="BR60" i="7"/>
  <c r="BQ61" i="7" s="1"/>
  <c r="BN62" i="7"/>
  <c r="BO62" i="7" s="1"/>
  <c r="BK62" i="7"/>
  <c r="BL62" i="7" s="1"/>
  <c r="BH61" i="7"/>
  <c r="BI61" i="7" s="1"/>
  <c r="BB62" i="7"/>
  <c r="BC62" i="7" s="1"/>
  <c r="AZ61" i="7"/>
  <c r="AY62" i="7" s="1"/>
  <c r="BF60" i="7"/>
  <c r="BE61" i="7" s="1"/>
  <c r="CR63" i="7"/>
  <c r="CS63" i="7" s="1"/>
  <c r="GN61" i="7"/>
  <c r="GM62" i="7" s="1"/>
  <c r="GK61" i="7"/>
  <c r="GJ62" i="7" s="1"/>
  <c r="GG61" i="7"/>
  <c r="GH61" i="7" s="1"/>
  <c r="GE62" i="7"/>
  <c r="GD63" i="7" s="1"/>
  <c r="GB62" i="7"/>
  <c r="GA63" i="7" s="1"/>
  <c r="FX62" i="7"/>
  <c r="FY62" i="7" s="1"/>
  <c r="FV63" i="7"/>
  <c r="FU64" i="7" s="1"/>
  <c r="FR62" i="7"/>
  <c r="FS62" i="7" s="1"/>
  <c r="FO61" i="7"/>
  <c r="FP61" i="7" s="1"/>
  <c r="FL61" i="7"/>
  <c r="FM61" i="7" s="1"/>
  <c r="FJ62" i="7"/>
  <c r="FI63" i="7" s="1"/>
  <c r="FF61" i="7"/>
  <c r="FG61" i="7" s="1"/>
  <c r="FD61" i="7"/>
  <c r="FC62" i="7" s="1"/>
  <c r="FA62" i="7"/>
  <c r="EZ63" i="7" s="1"/>
  <c r="EX61" i="7"/>
  <c r="EW62" i="7" s="1"/>
  <c r="EU62" i="7"/>
  <c r="ET63" i="7" s="1"/>
  <c r="ER60" i="7"/>
  <c r="EQ61" i="7" s="1"/>
  <c r="EO61" i="7"/>
  <c r="EN62" i="7" s="1"/>
  <c r="EL61" i="7"/>
  <c r="EK62" i="7" s="1"/>
  <c r="EI62" i="7"/>
  <c r="EH63" i="7" s="1"/>
  <c r="EF61" i="7"/>
  <c r="EE62" i="7" s="1"/>
  <c r="EC62" i="7"/>
  <c r="EB63" i="7" s="1"/>
  <c r="DY62" i="7"/>
  <c r="DZ62" i="7" s="1"/>
  <c r="DT62" i="7"/>
  <c r="DS63" i="7" s="1"/>
  <c r="DQ61" i="7"/>
  <c r="DP62" i="7" s="1"/>
  <c r="DN62" i="7"/>
  <c r="DM63" i="7" s="1"/>
  <c r="DH61" i="7"/>
  <c r="DG62" i="7" s="1"/>
  <c r="CX62" i="7"/>
  <c r="CY62" i="7" s="1"/>
  <c r="C63" i="7"/>
  <c r="D63" i="7" s="1"/>
  <c r="CA65" i="7"/>
  <c r="BZ66" i="7" s="1"/>
  <c r="O65" i="7"/>
  <c r="P65" i="7" s="1"/>
  <c r="E65" i="6"/>
  <c r="F65" i="6" s="1"/>
  <c r="CP62" i="7" l="1"/>
  <c r="CO63" i="7" s="1"/>
  <c r="CM61" i="7"/>
  <c r="CL62" i="7" s="1"/>
  <c r="CJ60" i="7"/>
  <c r="CI61" i="7" s="1"/>
  <c r="CG62" i="7"/>
  <c r="CF63" i="7" s="1"/>
  <c r="CC63" i="7"/>
  <c r="CD63" i="7" s="1"/>
  <c r="BX62" i="7"/>
  <c r="BW63" i="7" s="1"/>
  <c r="BT61" i="7"/>
  <c r="BU61" i="7" s="1"/>
  <c r="BR61" i="7"/>
  <c r="BQ62" i="7" s="1"/>
  <c r="BN63" i="7"/>
  <c r="BO63" i="7" s="1"/>
  <c r="BK63" i="7"/>
  <c r="BL63" i="7" s="1"/>
  <c r="BH62" i="7"/>
  <c r="BI62" i="7" s="1"/>
  <c r="BB63" i="7"/>
  <c r="BC63" i="7" s="1"/>
  <c r="AZ62" i="7"/>
  <c r="AY63" i="7" s="1"/>
  <c r="BF61" i="7"/>
  <c r="BE62" i="7" s="1"/>
  <c r="CR64" i="7"/>
  <c r="CS64" i="7" s="1"/>
  <c r="GN62" i="7"/>
  <c r="GM63" i="7" s="1"/>
  <c r="GK62" i="7"/>
  <c r="GJ63" i="7" s="1"/>
  <c r="GG62" i="7"/>
  <c r="GH62" i="7" s="1"/>
  <c r="GE63" i="7"/>
  <c r="GD64" i="7" s="1"/>
  <c r="GB63" i="7"/>
  <c r="GA64" i="7" s="1"/>
  <c r="FX63" i="7"/>
  <c r="FY63" i="7" s="1"/>
  <c r="FV64" i="7"/>
  <c r="FU65" i="7" s="1"/>
  <c r="FR63" i="7"/>
  <c r="FS63" i="7" s="1"/>
  <c r="FO62" i="7"/>
  <c r="FP62" i="7" s="1"/>
  <c r="FL62" i="7"/>
  <c r="FM62" i="7" s="1"/>
  <c r="FJ63" i="7"/>
  <c r="FI64" i="7" s="1"/>
  <c r="FF62" i="7"/>
  <c r="FG62" i="7" s="1"/>
  <c r="FD62" i="7"/>
  <c r="FC63" i="7" s="1"/>
  <c r="FA63" i="7"/>
  <c r="EZ64" i="7" s="1"/>
  <c r="EX62" i="7"/>
  <c r="EW63" i="7" s="1"/>
  <c r="EU63" i="7"/>
  <c r="ET64" i="7" s="1"/>
  <c r="ER61" i="7"/>
  <c r="EQ62" i="7" s="1"/>
  <c r="EO62" i="7"/>
  <c r="EN63" i="7" s="1"/>
  <c r="EL62" i="7"/>
  <c r="EK63" i="7" s="1"/>
  <c r="EI63" i="7"/>
  <c r="EH64" i="7" s="1"/>
  <c r="EF62" i="7"/>
  <c r="EE63" i="7" s="1"/>
  <c r="EC63" i="7"/>
  <c r="EB64" i="7" s="1"/>
  <c r="DY63" i="7"/>
  <c r="DZ63" i="7" s="1"/>
  <c r="DT63" i="7"/>
  <c r="DS64" i="7" s="1"/>
  <c r="DQ62" i="7"/>
  <c r="DP63" i="7" s="1"/>
  <c r="DN63" i="7"/>
  <c r="DM64" i="7" s="1"/>
  <c r="DH62" i="7"/>
  <c r="DG63" i="7" s="1"/>
  <c r="CX63" i="7"/>
  <c r="CY63" i="7" s="1"/>
  <c r="C64" i="7"/>
  <c r="D64" i="7" s="1"/>
  <c r="CA66" i="7"/>
  <c r="BZ67" i="7" s="1"/>
  <c r="O66" i="7"/>
  <c r="P66" i="7" s="1"/>
  <c r="E66" i="6"/>
  <c r="F66" i="6" s="1"/>
  <c r="CP63" i="7" l="1"/>
  <c r="CO64" i="7" s="1"/>
  <c r="CM62" i="7"/>
  <c r="CL63" i="7" s="1"/>
  <c r="CJ61" i="7"/>
  <c r="CI62" i="7" s="1"/>
  <c r="CG63" i="7"/>
  <c r="CF64" i="7" s="1"/>
  <c r="CC64" i="7"/>
  <c r="CD64" i="7" s="1"/>
  <c r="BX63" i="7"/>
  <c r="BW64" i="7" s="1"/>
  <c r="BT62" i="7"/>
  <c r="BU62" i="7" s="1"/>
  <c r="BR62" i="7"/>
  <c r="BQ63" i="7" s="1"/>
  <c r="BN64" i="7"/>
  <c r="BO64" i="7" s="1"/>
  <c r="BK64" i="7"/>
  <c r="BL64" i="7" s="1"/>
  <c r="BH63" i="7"/>
  <c r="BI63" i="7" s="1"/>
  <c r="BB64" i="7"/>
  <c r="BC64" i="7" s="1"/>
  <c r="AZ63" i="7"/>
  <c r="AY64" i="7" s="1"/>
  <c r="BF62" i="7"/>
  <c r="BE63" i="7" s="1"/>
  <c r="CR65" i="7"/>
  <c r="CS65" i="7" s="1"/>
  <c r="GN63" i="7"/>
  <c r="GM64" i="7" s="1"/>
  <c r="GK63" i="7"/>
  <c r="GJ64" i="7" s="1"/>
  <c r="GG63" i="7"/>
  <c r="GH63" i="7" s="1"/>
  <c r="GE64" i="7"/>
  <c r="GD65" i="7" s="1"/>
  <c r="GB64" i="7"/>
  <c r="GA65" i="7" s="1"/>
  <c r="FX64" i="7"/>
  <c r="FY64" i="7" s="1"/>
  <c r="FV65" i="7"/>
  <c r="FU66" i="7" s="1"/>
  <c r="FR64" i="7"/>
  <c r="FS64" i="7" s="1"/>
  <c r="FO63" i="7"/>
  <c r="FP63" i="7" s="1"/>
  <c r="FL63" i="7"/>
  <c r="FM63" i="7" s="1"/>
  <c r="FJ64" i="7"/>
  <c r="FI65" i="7" s="1"/>
  <c r="FF63" i="7"/>
  <c r="FG63" i="7" s="1"/>
  <c r="FD63" i="7"/>
  <c r="FC64" i="7" s="1"/>
  <c r="FA64" i="7"/>
  <c r="EZ65" i="7" s="1"/>
  <c r="EX63" i="7"/>
  <c r="EW64" i="7" s="1"/>
  <c r="EU64" i="7"/>
  <c r="ET65" i="7" s="1"/>
  <c r="ER62" i="7"/>
  <c r="EQ63" i="7" s="1"/>
  <c r="EO63" i="7"/>
  <c r="EN64" i="7" s="1"/>
  <c r="EL63" i="7"/>
  <c r="EK64" i="7" s="1"/>
  <c r="EI64" i="7"/>
  <c r="EH65" i="7" s="1"/>
  <c r="EF63" i="7"/>
  <c r="EE64" i="7" s="1"/>
  <c r="EC64" i="7"/>
  <c r="EB65" i="7" s="1"/>
  <c r="DY64" i="7"/>
  <c r="DZ64" i="7" s="1"/>
  <c r="DT64" i="7"/>
  <c r="DS65" i="7" s="1"/>
  <c r="DQ63" i="7"/>
  <c r="DP64" i="7" s="1"/>
  <c r="DN64" i="7"/>
  <c r="DM65" i="7" s="1"/>
  <c r="DH63" i="7"/>
  <c r="DG64" i="7" s="1"/>
  <c r="CX64" i="7"/>
  <c r="CY64" i="7" s="1"/>
  <c r="C65" i="7"/>
  <c r="D65" i="7" s="1"/>
  <c r="CA67" i="7"/>
  <c r="BZ68" i="7" s="1"/>
  <c r="O67" i="7"/>
  <c r="P67" i="7" s="1"/>
  <c r="E67" i="6"/>
  <c r="F67" i="6" s="1"/>
  <c r="CP64" i="7" l="1"/>
  <c r="CO65" i="7" s="1"/>
  <c r="CM63" i="7"/>
  <c r="CL64" i="7" s="1"/>
  <c r="CJ62" i="7"/>
  <c r="CI63" i="7" s="1"/>
  <c r="CG64" i="7"/>
  <c r="CF65" i="7" s="1"/>
  <c r="CC65" i="7"/>
  <c r="CD65" i="7" s="1"/>
  <c r="BX64" i="7"/>
  <c r="BW65" i="7" s="1"/>
  <c r="BT63" i="7"/>
  <c r="BU63" i="7" s="1"/>
  <c r="BR63" i="7"/>
  <c r="BQ64" i="7" s="1"/>
  <c r="BN65" i="7"/>
  <c r="BO65" i="7" s="1"/>
  <c r="BK65" i="7"/>
  <c r="BL65" i="7" s="1"/>
  <c r="BH64" i="7"/>
  <c r="BI64" i="7" s="1"/>
  <c r="BB65" i="7"/>
  <c r="BC65" i="7" s="1"/>
  <c r="AZ64" i="7"/>
  <c r="AY65" i="7" s="1"/>
  <c r="BF63" i="7"/>
  <c r="BE64" i="7" s="1"/>
  <c r="CR66" i="7"/>
  <c r="CS66" i="7" s="1"/>
  <c r="GN64" i="7"/>
  <c r="GM65" i="7" s="1"/>
  <c r="GK64" i="7"/>
  <c r="GJ65" i="7" s="1"/>
  <c r="GG64" i="7"/>
  <c r="GH64" i="7" s="1"/>
  <c r="GE65" i="7"/>
  <c r="GD66" i="7" s="1"/>
  <c r="GB65" i="7"/>
  <c r="GA66" i="7" s="1"/>
  <c r="FX65" i="7"/>
  <c r="FY65" i="7" s="1"/>
  <c r="FV66" i="7"/>
  <c r="FU67" i="7" s="1"/>
  <c r="FR65" i="7"/>
  <c r="FS65" i="7" s="1"/>
  <c r="FO64" i="7"/>
  <c r="FP64" i="7" s="1"/>
  <c r="FL64" i="7"/>
  <c r="FM64" i="7" s="1"/>
  <c r="FJ65" i="7"/>
  <c r="FI66" i="7" s="1"/>
  <c r="FF64" i="7"/>
  <c r="FG64" i="7" s="1"/>
  <c r="FD64" i="7"/>
  <c r="FC65" i="7" s="1"/>
  <c r="FA65" i="7"/>
  <c r="EZ66" i="7" s="1"/>
  <c r="EX64" i="7"/>
  <c r="EW65" i="7" s="1"/>
  <c r="EU65" i="7"/>
  <c r="ET66" i="7" s="1"/>
  <c r="ER63" i="7"/>
  <c r="EQ64" i="7" s="1"/>
  <c r="EO64" i="7"/>
  <c r="EN65" i="7" s="1"/>
  <c r="EL64" i="7"/>
  <c r="EK65" i="7" s="1"/>
  <c r="EI65" i="7"/>
  <c r="EH66" i="7" s="1"/>
  <c r="EF64" i="7"/>
  <c r="EE65" i="7" s="1"/>
  <c r="EC65" i="7"/>
  <c r="EB66" i="7" s="1"/>
  <c r="DY65" i="7"/>
  <c r="DZ65" i="7" s="1"/>
  <c r="DT65" i="7"/>
  <c r="DS66" i="7" s="1"/>
  <c r="DQ64" i="7"/>
  <c r="DP65" i="7" s="1"/>
  <c r="DN65" i="7"/>
  <c r="DM66" i="7" s="1"/>
  <c r="DH64" i="7"/>
  <c r="DG65" i="7" s="1"/>
  <c r="CX65" i="7"/>
  <c r="CY65" i="7" s="1"/>
  <c r="C66" i="7"/>
  <c r="D66" i="7" s="1"/>
  <c r="CA68" i="7"/>
  <c r="BZ69" i="7" s="1"/>
  <c r="O68" i="7"/>
  <c r="P68" i="7" s="1"/>
  <c r="E68" i="6"/>
  <c r="F68" i="6" s="1"/>
  <c r="CP65" i="7" l="1"/>
  <c r="CO66" i="7" s="1"/>
  <c r="CM64" i="7"/>
  <c r="CL65" i="7" s="1"/>
  <c r="CJ63" i="7"/>
  <c r="CI64" i="7" s="1"/>
  <c r="CG65" i="7"/>
  <c r="CF66" i="7" s="1"/>
  <c r="CC66" i="7"/>
  <c r="CD66" i="7" s="1"/>
  <c r="BX65" i="7"/>
  <c r="BW66" i="7" s="1"/>
  <c r="BT64" i="7"/>
  <c r="BU64" i="7" s="1"/>
  <c r="BR64" i="7"/>
  <c r="BQ65" i="7" s="1"/>
  <c r="BN66" i="7"/>
  <c r="BO66" i="7" s="1"/>
  <c r="BK66" i="7"/>
  <c r="BL66" i="7" s="1"/>
  <c r="BH65" i="7"/>
  <c r="BI65" i="7" s="1"/>
  <c r="BB66" i="7"/>
  <c r="BC66" i="7" s="1"/>
  <c r="AZ65" i="7"/>
  <c r="AY66" i="7" s="1"/>
  <c r="BF64" i="7"/>
  <c r="BE65" i="7" s="1"/>
  <c r="CR67" i="7"/>
  <c r="CS67" i="7" s="1"/>
  <c r="GN65" i="7"/>
  <c r="GM66" i="7" s="1"/>
  <c r="GK65" i="7"/>
  <c r="GJ66" i="7" s="1"/>
  <c r="GG65" i="7"/>
  <c r="GH65" i="7" s="1"/>
  <c r="GE66" i="7"/>
  <c r="GD67" i="7" s="1"/>
  <c r="GB66" i="7"/>
  <c r="GA67" i="7" s="1"/>
  <c r="FX66" i="7"/>
  <c r="FY66" i="7" s="1"/>
  <c r="FV67" i="7"/>
  <c r="FU68" i="7" s="1"/>
  <c r="FR66" i="7"/>
  <c r="FS66" i="7" s="1"/>
  <c r="FO65" i="7"/>
  <c r="FP65" i="7" s="1"/>
  <c r="FL65" i="7"/>
  <c r="FM65" i="7" s="1"/>
  <c r="FJ66" i="7"/>
  <c r="FI67" i="7" s="1"/>
  <c r="FF65" i="7"/>
  <c r="FG65" i="7" s="1"/>
  <c r="FD65" i="7"/>
  <c r="FC66" i="7" s="1"/>
  <c r="FA66" i="7"/>
  <c r="EZ67" i="7" s="1"/>
  <c r="EX65" i="7"/>
  <c r="EW66" i="7" s="1"/>
  <c r="EU66" i="7"/>
  <c r="ET67" i="7" s="1"/>
  <c r="ER64" i="7"/>
  <c r="EQ65" i="7" s="1"/>
  <c r="EO65" i="7"/>
  <c r="EN66" i="7" s="1"/>
  <c r="EL65" i="7"/>
  <c r="EK66" i="7" s="1"/>
  <c r="EI66" i="7"/>
  <c r="EH67" i="7" s="1"/>
  <c r="EF65" i="7"/>
  <c r="EE66" i="7" s="1"/>
  <c r="EC66" i="7"/>
  <c r="EB67" i="7" s="1"/>
  <c r="DY66" i="7"/>
  <c r="DZ66" i="7" s="1"/>
  <c r="DT66" i="7"/>
  <c r="DS67" i="7" s="1"/>
  <c r="DQ65" i="7"/>
  <c r="DP66" i="7" s="1"/>
  <c r="DN66" i="7"/>
  <c r="DM67" i="7" s="1"/>
  <c r="DH65" i="7"/>
  <c r="DG66" i="7" s="1"/>
  <c r="CX66" i="7"/>
  <c r="CY66" i="7" s="1"/>
  <c r="C67" i="7"/>
  <c r="D67" i="7" s="1"/>
  <c r="CA69" i="7"/>
  <c r="BZ70" i="7" s="1"/>
  <c r="O69" i="7"/>
  <c r="P69" i="7" s="1"/>
  <c r="E69" i="6"/>
  <c r="F69" i="6" s="1"/>
  <c r="CP66" i="7" l="1"/>
  <c r="CO67" i="7" s="1"/>
  <c r="CM65" i="7"/>
  <c r="CL66" i="7" s="1"/>
  <c r="CJ64" i="7"/>
  <c r="CI65" i="7" s="1"/>
  <c r="CG66" i="7"/>
  <c r="CF67" i="7" s="1"/>
  <c r="CC67" i="7"/>
  <c r="CD67" i="7" s="1"/>
  <c r="BX66" i="7"/>
  <c r="BW67" i="7" s="1"/>
  <c r="BT65" i="7"/>
  <c r="BU65" i="7" s="1"/>
  <c r="BR65" i="7"/>
  <c r="BQ66" i="7" s="1"/>
  <c r="BN67" i="7"/>
  <c r="BO67" i="7" s="1"/>
  <c r="BK67" i="7"/>
  <c r="BL67" i="7" s="1"/>
  <c r="BH66" i="7"/>
  <c r="BI66" i="7" s="1"/>
  <c r="BB67" i="7"/>
  <c r="BC67" i="7" s="1"/>
  <c r="AZ66" i="7"/>
  <c r="AY67" i="7" s="1"/>
  <c r="BF65" i="7"/>
  <c r="BE66" i="7" s="1"/>
  <c r="CR68" i="7"/>
  <c r="CS68" i="7" s="1"/>
  <c r="GN66" i="7"/>
  <c r="GM67" i="7" s="1"/>
  <c r="GK66" i="7"/>
  <c r="GJ67" i="7" s="1"/>
  <c r="GG66" i="7"/>
  <c r="GH66" i="7" s="1"/>
  <c r="GE67" i="7"/>
  <c r="GD68" i="7" s="1"/>
  <c r="GB67" i="7"/>
  <c r="GA68" i="7" s="1"/>
  <c r="FX67" i="7"/>
  <c r="FY67" i="7" s="1"/>
  <c r="FV68" i="7"/>
  <c r="FU69" i="7" s="1"/>
  <c r="FR67" i="7"/>
  <c r="FS67" i="7" s="1"/>
  <c r="FO66" i="7"/>
  <c r="FP66" i="7" s="1"/>
  <c r="FL66" i="7"/>
  <c r="FM66" i="7" s="1"/>
  <c r="FJ67" i="7"/>
  <c r="FI68" i="7" s="1"/>
  <c r="FF66" i="7"/>
  <c r="FG66" i="7" s="1"/>
  <c r="FD66" i="7"/>
  <c r="FC67" i="7" s="1"/>
  <c r="FA67" i="7"/>
  <c r="EZ68" i="7" s="1"/>
  <c r="EX66" i="7"/>
  <c r="EW67" i="7" s="1"/>
  <c r="EU67" i="7"/>
  <c r="ET68" i="7" s="1"/>
  <c r="ER65" i="7"/>
  <c r="EQ66" i="7" s="1"/>
  <c r="EO66" i="7"/>
  <c r="EN67" i="7" s="1"/>
  <c r="EL66" i="7"/>
  <c r="EK67" i="7" s="1"/>
  <c r="EI67" i="7"/>
  <c r="EH68" i="7" s="1"/>
  <c r="EF66" i="7"/>
  <c r="EE67" i="7" s="1"/>
  <c r="EC67" i="7"/>
  <c r="EB68" i="7" s="1"/>
  <c r="DY67" i="7"/>
  <c r="DZ67" i="7" s="1"/>
  <c r="DT67" i="7"/>
  <c r="DS68" i="7" s="1"/>
  <c r="DQ66" i="7"/>
  <c r="DP67" i="7" s="1"/>
  <c r="DN67" i="7"/>
  <c r="DM68" i="7" s="1"/>
  <c r="DH66" i="7"/>
  <c r="DG67" i="7" s="1"/>
  <c r="CX67" i="7"/>
  <c r="CY67" i="7" s="1"/>
  <c r="C68" i="7"/>
  <c r="D68" i="7" s="1"/>
  <c r="CA70" i="7"/>
  <c r="BZ71" i="7" s="1"/>
  <c r="O70" i="7"/>
  <c r="P70" i="7" s="1"/>
  <c r="E70" i="6"/>
  <c r="F70" i="6" s="1"/>
  <c r="CP67" i="7" l="1"/>
  <c r="CO68" i="7" s="1"/>
  <c r="CM66" i="7"/>
  <c r="CL67" i="7" s="1"/>
  <c r="CJ65" i="7"/>
  <c r="CI66" i="7" s="1"/>
  <c r="CG67" i="7"/>
  <c r="CF68" i="7" s="1"/>
  <c r="CC68" i="7"/>
  <c r="CD68" i="7" s="1"/>
  <c r="BX67" i="7"/>
  <c r="BW68" i="7" s="1"/>
  <c r="BT66" i="7"/>
  <c r="BU66" i="7" s="1"/>
  <c r="BR66" i="7"/>
  <c r="BQ67" i="7" s="1"/>
  <c r="BN68" i="7"/>
  <c r="BO68" i="7" s="1"/>
  <c r="BK68" i="7"/>
  <c r="BL68" i="7" s="1"/>
  <c r="BH67" i="7"/>
  <c r="BI67" i="7" s="1"/>
  <c r="BB68" i="7"/>
  <c r="BC68" i="7" s="1"/>
  <c r="AZ67" i="7"/>
  <c r="AY68" i="7" s="1"/>
  <c r="BF66" i="7"/>
  <c r="BE67" i="7" s="1"/>
  <c r="CR69" i="7"/>
  <c r="CS69" i="7" s="1"/>
  <c r="GN67" i="7"/>
  <c r="GM68" i="7" s="1"/>
  <c r="GK67" i="7"/>
  <c r="GJ68" i="7" s="1"/>
  <c r="GG67" i="7"/>
  <c r="GH67" i="7" s="1"/>
  <c r="GE68" i="7"/>
  <c r="GD69" i="7" s="1"/>
  <c r="GB68" i="7"/>
  <c r="GA69" i="7" s="1"/>
  <c r="FX68" i="7"/>
  <c r="FY68" i="7" s="1"/>
  <c r="FV69" i="7"/>
  <c r="FU70" i="7" s="1"/>
  <c r="FR68" i="7"/>
  <c r="FS68" i="7" s="1"/>
  <c r="FO67" i="7"/>
  <c r="FP67" i="7" s="1"/>
  <c r="FL67" i="7"/>
  <c r="FM67" i="7" s="1"/>
  <c r="FJ68" i="7"/>
  <c r="FI69" i="7" s="1"/>
  <c r="FF67" i="7"/>
  <c r="FG67" i="7" s="1"/>
  <c r="FD67" i="7"/>
  <c r="FC68" i="7" s="1"/>
  <c r="FA68" i="7"/>
  <c r="EZ69" i="7" s="1"/>
  <c r="EX67" i="7"/>
  <c r="EW68" i="7" s="1"/>
  <c r="EU68" i="7"/>
  <c r="ET69" i="7" s="1"/>
  <c r="ER66" i="7"/>
  <c r="EQ67" i="7" s="1"/>
  <c r="EO67" i="7"/>
  <c r="EN68" i="7" s="1"/>
  <c r="EL67" i="7"/>
  <c r="EK68" i="7" s="1"/>
  <c r="EI68" i="7"/>
  <c r="EH69" i="7" s="1"/>
  <c r="EF67" i="7"/>
  <c r="EE68" i="7" s="1"/>
  <c r="EC68" i="7"/>
  <c r="EB69" i="7" s="1"/>
  <c r="DY68" i="7"/>
  <c r="DZ68" i="7" s="1"/>
  <c r="DT68" i="7"/>
  <c r="DS69" i="7" s="1"/>
  <c r="DQ67" i="7"/>
  <c r="DP68" i="7" s="1"/>
  <c r="DN68" i="7"/>
  <c r="DM69" i="7" s="1"/>
  <c r="DH67" i="7"/>
  <c r="DG68" i="7" s="1"/>
  <c r="CX68" i="7"/>
  <c r="CY68" i="7" s="1"/>
  <c r="C69" i="7"/>
  <c r="D69" i="7" s="1"/>
  <c r="CA71" i="7"/>
  <c r="BZ72" i="7" s="1"/>
  <c r="O71" i="7"/>
  <c r="P71" i="7" s="1"/>
  <c r="E71" i="6"/>
  <c r="F71" i="6" s="1"/>
  <c r="CP68" i="7" l="1"/>
  <c r="CO69" i="7" s="1"/>
  <c r="CM67" i="7"/>
  <c r="CL68" i="7" s="1"/>
  <c r="CJ66" i="7"/>
  <c r="CI67" i="7" s="1"/>
  <c r="CG68" i="7"/>
  <c r="CF69" i="7" s="1"/>
  <c r="CC69" i="7"/>
  <c r="CD69" i="7" s="1"/>
  <c r="BX68" i="7"/>
  <c r="BW69" i="7" s="1"/>
  <c r="BT67" i="7"/>
  <c r="BU67" i="7" s="1"/>
  <c r="BR67" i="7"/>
  <c r="BQ68" i="7" s="1"/>
  <c r="BN69" i="7"/>
  <c r="BO69" i="7" s="1"/>
  <c r="BK69" i="7"/>
  <c r="BL69" i="7" s="1"/>
  <c r="BH68" i="7"/>
  <c r="BI68" i="7" s="1"/>
  <c r="BB69" i="7"/>
  <c r="BC69" i="7" s="1"/>
  <c r="AZ68" i="7"/>
  <c r="AY69" i="7" s="1"/>
  <c r="BF67" i="7"/>
  <c r="BE68" i="7" s="1"/>
  <c r="CR70" i="7"/>
  <c r="CS70" i="7" s="1"/>
  <c r="GN68" i="7"/>
  <c r="GM69" i="7" s="1"/>
  <c r="GK68" i="7"/>
  <c r="GJ69" i="7" s="1"/>
  <c r="GG68" i="7"/>
  <c r="GH68" i="7" s="1"/>
  <c r="GE69" i="7"/>
  <c r="GD70" i="7" s="1"/>
  <c r="GB69" i="7"/>
  <c r="GA70" i="7" s="1"/>
  <c r="FX69" i="7"/>
  <c r="FY69" i="7" s="1"/>
  <c r="FV70" i="7"/>
  <c r="FU71" i="7" s="1"/>
  <c r="FR69" i="7"/>
  <c r="FS69" i="7" s="1"/>
  <c r="FO68" i="7"/>
  <c r="FP68" i="7" s="1"/>
  <c r="FL68" i="7"/>
  <c r="FM68" i="7" s="1"/>
  <c r="FJ69" i="7"/>
  <c r="FI70" i="7" s="1"/>
  <c r="FF68" i="7"/>
  <c r="FG68" i="7" s="1"/>
  <c r="FD68" i="7"/>
  <c r="FC69" i="7" s="1"/>
  <c r="FA69" i="7"/>
  <c r="EZ70" i="7" s="1"/>
  <c r="EX68" i="7"/>
  <c r="EW69" i="7" s="1"/>
  <c r="EU69" i="7"/>
  <c r="ET70" i="7" s="1"/>
  <c r="ER67" i="7"/>
  <c r="EQ68" i="7" s="1"/>
  <c r="EO68" i="7"/>
  <c r="EN69" i="7" s="1"/>
  <c r="EL68" i="7"/>
  <c r="EK69" i="7" s="1"/>
  <c r="EI69" i="7"/>
  <c r="EH70" i="7" s="1"/>
  <c r="EF68" i="7"/>
  <c r="EE69" i="7" s="1"/>
  <c r="EC69" i="7"/>
  <c r="EB70" i="7" s="1"/>
  <c r="DY69" i="7"/>
  <c r="DZ69" i="7" s="1"/>
  <c r="DT69" i="7"/>
  <c r="DS70" i="7" s="1"/>
  <c r="DQ68" i="7"/>
  <c r="DP69" i="7" s="1"/>
  <c r="DN69" i="7"/>
  <c r="DM70" i="7" s="1"/>
  <c r="DH68" i="7"/>
  <c r="DG69" i="7" s="1"/>
  <c r="CX69" i="7"/>
  <c r="CY69" i="7" s="1"/>
  <c r="C70" i="7"/>
  <c r="D70" i="7" s="1"/>
  <c r="CA72" i="7"/>
  <c r="BZ73" i="7" s="1"/>
  <c r="O72" i="7"/>
  <c r="P72" i="7" s="1"/>
  <c r="E72" i="6"/>
  <c r="F72" i="6" s="1"/>
  <c r="CP69" i="7" l="1"/>
  <c r="CO70" i="7" s="1"/>
  <c r="CM68" i="7"/>
  <c r="CL69" i="7" s="1"/>
  <c r="CJ67" i="7"/>
  <c r="CI68" i="7" s="1"/>
  <c r="CG69" i="7"/>
  <c r="CF70" i="7" s="1"/>
  <c r="CC70" i="7"/>
  <c r="CD70" i="7" s="1"/>
  <c r="BX69" i="7"/>
  <c r="BW70" i="7" s="1"/>
  <c r="BT68" i="7"/>
  <c r="BU68" i="7" s="1"/>
  <c r="BR68" i="7"/>
  <c r="BQ69" i="7" s="1"/>
  <c r="BN70" i="7"/>
  <c r="BO70" i="7" s="1"/>
  <c r="BK70" i="7"/>
  <c r="BL70" i="7" s="1"/>
  <c r="BH69" i="7"/>
  <c r="BI69" i="7" s="1"/>
  <c r="BB70" i="7"/>
  <c r="BC70" i="7" s="1"/>
  <c r="AZ69" i="7"/>
  <c r="AY70" i="7" s="1"/>
  <c r="BF68" i="7"/>
  <c r="BE69" i="7" s="1"/>
  <c r="CR71" i="7"/>
  <c r="CS71" i="7" s="1"/>
  <c r="GN69" i="7"/>
  <c r="GM70" i="7" s="1"/>
  <c r="GK69" i="7"/>
  <c r="GJ70" i="7" s="1"/>
  <c r="GG69" i="7"/>
  <c r="GH69" i="7" s="1"/>
  <c r="GE70" i="7"/>
  <c r="GD71" i="7" s="1"/>
  <c r="GB70" i="7"/>
  <c r="GA71" i="7" s="1"/>
  <c r="FX70" i="7"/>
  <c r="FY70" i="7" s="1"/>
  <c r="FV71" i="7"/>
  <c r="FU72" i="7" s="1"/>
  <c r="FR70" i="7"/>
  <c r="FS70" i="7" s="1"/>
  <c r="FO69" i="7"/>
  <c r="FP69" i="7" s="1"/>
  <c r="FL69" i="7"/>
  <c r="FM69" i="7" s="1"/>
  <c r="FJ70" i="7"/>
  <c r="FI71" i="7" s="1"/>
  <c r="FF69" i="7"/>
  <c r="FG69" i="7" s="1"/>
  <c r="FD69" i="7"/>
  <c r="FC70" i="7" s="1"/>
  <c r="FA70" i="7"/>
  <c r="EZ71" i="7" s="1"/>
  <c r="EX69" i="7"/>
  <c r="EW70" i="7" s="1"/>
  <c r="EU70" i="7"/>
  <c r="ET71" i="7" s="1"/>
  <c r="ER68" i="7"/>
  <c r="EQ69" i="7" s="1"/>
  <c r="EO69" i="7"/>
  <c r="EN70" i="7" s="1"/>
  <c r="EL69" i="7"/>
  <c r="EK70" i="7" s="1"/>
  <c r="EI70" i="7"/>
  <c r="EH71" i="7" s="1"/>
  <c r="EF69" i="7"/>
  <c r="EE70" i="7" s="1"/>
  <c r="EC70" i="7"/>
  <c r="EB71" i="7" s="1"/>
  <c r="DY70" i="7"/>
  <c r="DZ70" i="7" s="1"/>
  <c r="DT70" i="7"/>
  <c r="DS71" i="7" s="1"/>
  <c r="DQ69" i="7"/>
  <c r="DP70" i="7" s="1"/>
  <c r="DN70" i="7"/>
  <c r="DM71" i="7" s="1"/>
  <c r="DH69" i="7"/>
  <c r="DG70" i="7" s="1"/>
  <c r="CX70" i="7"/>
  <c r="CY70" i="7" s="1"/>
  <c r="C71" i="7"/>
  <c r="D71" i="7" s="1"/>
  <c r="CA73" i="7"/>
  <c r="BZ74" i="7" s="1"/>
  <c r="O73" i="7"/>
  <c r="P73" i="7" s="1"/>
  <c r="E73" i="6"/>
  <c r="F73" i="6" s="1"/>
  <c r="CP70" i="7" l="1"/>
  <c r="CO71" i="7" s="1"/>
  <c r="CM69" i="7"/>
  <c r="CL70" i="7" s="1"/>
  <c r="CJ68" i="7"/>
  <c r="CI69" i="7" s="1"/>
  <c r="CG70" i="7"/>
  <c r="CF71" i="7" s="1"/>
  <c r="CC71" i="7"/>
  <c r="CD71" i="7" s="1"/>
  <c r="BX70" i="7"/>
  <c r="BW71" i="7" s="1"/>
  <c r="BT69" i="7"/>
  <c r="BU69" i="7" s="1"/>
  <c r="BR69" i="7"/>
  <c r="BQ70" i="7" s="1"/>
  <c r="BN71" i="7"/>
  <c r="BO71" i="7" s="1"/>
  <c r="BK71" i="7"/>
  <c r="BL71" i="7" s="1"/>
  <c r="BH70" i="7"/>
  <c r="BI70" i="7" s="1"/>
  <c r="BB71" i="7"/>
  <c r="BC71" i="7" s="1"/>
  <c r="AZ70" i="7"/>
  <c r="AY71" i="7" s="1"/>
  <c r="BF69" i="7"/>
  <c r="BE70" i="7" s="1"/>
  <c r="CR72" i="7"/>
  <c r="CS72" i="7" s="1"/>
  <c r="GN70" i="7"/>
  <c r="GM71" i="7" s="1"/>
  <c r="GK70" i="7"/>
  <c r="GJ71" i="7" s="1"/>
  <c r="GG70" i="7"/>
  <c r="GH70" i="7" s="1"/>
  <c r="GE71" i="7"/>
  <c r="GD72" i="7" s="1"/>
  <c r="GB71" i="7"/>
  <c r="GA72" i="7" s="1"/>
  <c r="FX71" i="7"/>
  <c r="FY71" i="7" s="1"/>
  <c r="FV72" i="7"/>
  <c r="FU73" i="7" s="1"/>
  <c r="FR71" i="7"/>
  <c r="FS71" i="7" s="1"/>
  <c r="FO70" i="7"/>
  <c r="FP70" i="7" s="1"/>
  <c r="FL70" i="7"/>
  <c r="FM70" i="7" s="1"/>
  <c r="FJ71" i="7"/>
  <c r="FI72" i="7" s="1"/>
  <c r="FF70" i="7"/>
  <c r="FG70" i="7" s="1"/>
  <c r="FD70" i="7"/>
  <c r="FC71" i="7" s="1"/>
  <c r="FA71" i="7"/>
  <c r="EZ72" i="7" s="1"/>
  <c r="EX70" i="7"/>
  <c r="EW71" i="7" s="1"/>
  <c r="EU71" i="7"/>
  <c r="ET72" i="7" s="1"/>
  <c r="ER69" i="7"/>
  <c r="EQ70" i="7" s="1"/>
  <c r="EO70" i="7"/>
  <c r="EN71" i="7" s="1"/>
  <c r="EL70" i="7"/>
  <c r="EK71" i="7" s="1"/>
  <c r="EI71" i="7"/>
  <c r="EH72" i="7" s="1"/>
  <c r="EF70" i="7"/>
  <c r="EE71" i="7" s="1"/>
  <c r="EC71" i="7"/>
  <c r="EB72" i="7" s="1"/>
  <c r="DY71" i="7"/>
  <c r="DZ71" i="7" s="1"/>
  <c r="DT71" i="7"/>
  <c r="DS72" i="7" s="1"/>
  <c r="DQ70" i="7"/>
  <c r="DP71" i="7" s="1"/>
  <c r="DN71" i="7"/>
  <c r="DM72" i="7" s="1"/>
  <c r="DH70" i="7"/>
  <c r="DG71" i="7" s="1"/>
  <c r="CX71" i="7"/>
  <c r="CY71" i="7" s="1"/>
  <c r="C72" i="7"/>
  <c r="D72" i="7" s="1"/>
  <c r="CA74" i="7"/>
  <c r="BZ75" i="7" s="1"/>
  <c r="O74" i="7"/>
  <c r="P74" i="7" s="1"/>
  <c r="E74" i="6"/>
  <c r="F74" i="6" s="1"/>
  <c r="CP71" i="7" l="1"/>
  <c r="CO72" i="7" s="1"/>
  <c r="CM70" i="7"/>
  <c r="CL71" i="7" s="1"/>
  <c r="CJ69" i="7"/>
  <c r="CI70" i="7" s="1"/>
  <c r="CG71" i="7"/>
  <c r="CF72" i="7" s="1"/>
  <c r="CC72" i="7"/>
  <c r="CD72" i="7" s="1"/>
  <c r="BX71" i="7"/>
  <c r="BW72" i="7" s="1"/>
  <c r="BT70" i="7"/>
  <c r="BU70" i="7" s="1"/>
  <c r="BR70" i="7"/>
  <c r="BQ71" i="7" s="1"/>
  <c r="BN72" i="7"/>
  <c r="BO72" i="7" s="1"/>
  <c r="BK72" i="7"/>
  <c r="BL72" i="7" s="1"/>
  <c r="BH71" i="7"/>
  <c r="BI71" i="7" s="1"/>
  <c r="BB72" i="7"/>
  <c r="BC72" i="7" s="1"/>
  <c r="AZ71" i="7"/>
  <c r="AY72" i="7" s="1"/>
  <c r="BF70" i="7"/>
  <c r="BE71" i="7" s="1"/>
  <c r="CR73" i="7"/>
  <c r="CS73" i="7" s="1"/>
  <c r="GN71" i="7"/>
  <c r="GM72" i="7" s="1"/>
  <c r="GK71" i="7"/>
  <c r="GJ72" i="7" s="1"/>
  <c r="GG71" i="7"/>
  <c r="GH71" i="7" s="1"/>
  <c r="GE72" i="7"/>
  <c r="GD73" i="7" s="1"/>
  <c r="GB72" i="7"/>
  <c r="GA73" i="7" s="1"/>
  <c r="FX72" i="7"/>
  <c r="FY72" i="7" s="1"/>
  <c r="FV73" i="7"/>
  <c r="FU74" i="7" s="1"/>
  <c r="FR72" i="7"/>
  <c r="FS72" i="7" s="1"/>
  <c r="FO71" i="7"/>
  <c r="FP71" i="7" s="1"/>
  <c r="FL71" i="7"/>
  <c r="FM71" i="7" s="1"/>
  <c r="FJ72" i="7"/>
  <c r="FI73" i="7" s="1"/>
  <c r="FF71" i="7"/>
  <c r="FG71" i="7" s="1"/>
  <c r="FD71" i="7"/>
  <c r="FC72" i="7" s="1"/>
  <c r="FA72" i="7"/>
  <c r="EZ73" i="7" s="1"/>
  <c r="EX71" i="7"/>
  <c r="EW72" i="7" s="1"/>
  <c r="EU72" i="7"/>
  <c r="ET73" i="7" s="1"/>
  <c r="ER70" i="7"/>
  <c r="EQ71" i="7" s="1"/>
  <c r="EO71" i="7"/>
  <c r="EN72" i="7" s="1"/>
  <c r="EL71" i="7"/>
  <c r="EK72" i="7" s="1"/>
  <c r="EI72" i="7"/>
  <c r="EH73" i="7" s="1"/>
  <c r="EF71" i="7"/>
  <c r="EE72" i="7" s="1"/>
  <c r="EC72" i="7"/>
  <c r="EB73" i="7" s="1"/>
  <c r="DY72" i="7"/>
  <c r="DZ72" i="7" s="1"/>
  <c r="DT72" i="7"/>
  <c r="DS73" i="7" s="1"/>
  <c r="DQ71" i="7"/>
  <c r="DP72" i="7" s="1"/>
  <c r="DN72" i="7"/>
  <c r="DM73" i="7" s="1"/>
  <c r="DH71" i="7"/>
  <c r="DG72" i="7" s="1"/>
  <c r="CX72" i="7"/>
  <c r="CY72" i="7" s="1"/>
  <c r="C73" i="7"/>
  <c r="D73" i="7" s="1"/>
  <c r="CA75" i="7"/>
  <c r="BZ76" i="7" s="1"/>
  <c r="O75" i="7"/>
  <c r="P75" i="7" s="1"/>
  <c r="E75" i="6"/>
  <c r="F75" i="6" s="1"/>
  <c r="CP72" i="7" l="1"/>
  <c r="CO73" i="7" s="1"/>
  <c r="CM71" i="7"/>
  <c r="CL72" i="7" s="1"/>
  <c r="CJ70" i="7"/>
  <c r="CI71" i="7" s="1"/>
  <c r="CG72" i="7"/>
  <c r="CF73" i="7" s="1"/>
  <c r="CC73" i="7"/>
  <c r="CD73" i="7" s="1"/>
  <c r="BX72" i="7"/>
  <c r="BW73" i="7" s="1"/>
  <c r="BT71" i="7"/>
  <c r="BU71" i="7" s="1"/>
  <c r="BR71" i="7"/>
  <c r="BQ72" i="7" s="1"/>
  <c r="BN73" i="7"/>
  <c r="BO73" i="7" s="1"/>
  <c r="BK73" i="7"/>
  <c r="BL73" i="7" s="1"/>
  <c r="BH72" i="7"/>
  <c r="BI72" i="7" s="1"/>
  <c r="BB73" i="7"/>
  <c r="BC73" i="7" s="1"/>
  <c r="AZ72" i="7"/>
  <c r="AY73" i="7" s="1"/>
  <c r="BF71" i="7"/>
  <c r="BE72" i="7" s="1"/>
  <c r="CR74" i="7"/>
  <c r="CS74" i="7" s="1"/>
  <c r="GN72" i="7"/>
  <c r="GM73" i="7" s="1"/>
  <c r="GK72" i="7"/>
  <c r="GJ73" i="7" s="1"/>
  <c r="GG72" i="7"/>
  <c r="GH72" i="7" s="1"/>
  <c r="GE73" i="7"/>
  <c r="GD74" i="7" s="1"/>
  <c r="GB73" i="7"/>
  <c r="GA74" i="7" s="1"/>
  <c r="FX73" i="7"/>
  <c r="FY73" i="7" s="1"/>
  <c r="FV74" i="7"/>
  <c r="FU75" i="7" s="1"/>
  <c r="FR73" i="7"/>
  <c r="FS73" i="7" s="1"/>
  <c r="FO72" i="7"/>
  <c r="FP72" i="7" s="1"/>
  <c r="FL72" i="7"/>
  <c r="FM72" i="7" s="1"/>
  <c r="FJ73" i="7"/>
  <c r="FI74" i="7" s="1"/>
  <c r="FF72" i="7"/>
  <c r="FG72" i="7" s="1"/>
  <c r="FD72" i="7"/>
  <c r="FC73" i="7" s="1"/>
  <c r="FA73" i="7"/>
  <c r="EZ74" i="7" s="1"/>
  <c r="EX72" i="7"/>
  <c r="EW73" i="7" s="1"/>
  <c r="EU73" i="7"/>
  <c r="ET74" i="7" s="1"/>
  <c r="ER71" i="7"/>
  <c r="EQ72" i="7" s="1"/>
  <c r="EO72" i="7"/>
  <c r="EN73" i="7" s="1"/>
  <c r="EL72" i="7"/>
  <c r="EK73" i="7" s="1"/>
  <c r="EI73" i="7"/>
  <c r="EH74" i="7" s="1"/>
  <c r="EF72" i="7"/>
  <c r="EE73" i="7" s="1"/>
  <c r="EC73" i="7"/>
  <c r="EB74" i="7" s="1"/>
  <c r="DY73" i="7"/>
  <c r="DZ73" i="7" s="1"/>
  <c r="DT73" i="7"/>
  <c r="DS74" i="7" s="1"/>
  <c r="DQ72" i="7"/>
  <c r="DP73" i="7" s="1"/>
  <c r="DN73" i="7"/>
  <c r="DM74" i="7" s="1"/>
  <c r="DH72" i="7"/>
  <c r="DG73" i="7" s="1"/>
  <c r="CX73" i="7"/>
  <c r="CY73" i="7" s="1"/>
  <c r="C74" i="7"/>
  <c r="D74" i="7" s="1"/>
  <c r="CA76" i="7"/>
  <c r="BZ77" i="7" s="1"/>
  <c r="O76" i="7"/>
  <c r="P76" i="7" s="1"/>
  <c r="E76" i="6"/>
  <c r="F76" i="6" s="1"/>
  <c r="CP73" i="7" l="1"/>
  <c r="CO74" i="7" s="1"/>
  <c r="CM72" i="7"/>
  <c r="CL73" i="7" s="1"/>
  <c r="CJ71" i="7"/>
  <c r="CI72" i="7" s="1"/>
  <c r="CG73" i="7"/>
  <c r="CF74" i="7" s="1"/>
  <c r="CC74" i="7"/>
  <c r="CD74" i="7" s="1"/>
  <c r="BX73" i="7"/>
  <c r="BW74" i="7" s="1"/>
  <c r="BT72" i="7"/>
  <c r="BU72" i="7" s="1"/>
  <c r="BR72" i="7"/>
  <c r="BQ73" i="7" s="1"/>
  <c r="BN74" i="7"/>
  <c r="BO74" i="7" s="1"/>
  <c r="BK74" i="7"/>
  <c r="BL74" i="7" s="1"/>
  <c r="BH73" i="7"/>
  <c r="BI73" i="7" s="1"/>
  <c r="BB74" i="7"/>
  <c r="BC74" i="7" s="1"/>
  <c r="AZ73" i="7"/>
  <c r="AY74" i="7" s="1"/>
  <c r="BF72" i="7"/>
  <c r="BE73" i="7" s="1"/>
  <c r="CR75" i="7"/>
  <c r="CS75" i="7" s="1"/>
  <c r="GN73" i="7"/>
  <c r="GM74" i="7" s="1"/>
  <c r="GK73" i="7"/>
  <c r="GJ74" i="7" s="1"/>
  <c r="GG73" i="7"/>
  <c r="GH73" i="7" s="1"/>
  <c r="GE74" i="7"/>
  <c r="GD75" i="7" s="1"/>
  <c r="GB74" i="7"/>
  <c r="GA75" i="7" s="1"/>
  <c r="FX74" i="7"/>
  <c r="FY74" i="7" s="1"/>
  <c r="FV75" i="7"/>
  <c r="FU76" i="7" s="1"/>
  <c r="FR74" i="7"/>
  <c r="FS74" i="7" s="1"/>
  <c r="FO73" i="7"/>
  <c r="FP73" i="7" s="1"/>
  <c r="FL73" i="7"/>
  <c r="FM73" i="7" s="1"/>
  <c r="FJ74" i="7"/>
  <c r="FI75" i="7" s="1"/>
  <c r="FF73" i="7"/>
  <c r="FG73" i="7" s="1"/>
  <c r="FD73" i="7"/>
  <c r="FC74" i="7" s="1"/>
  <c r="FA74" i="7"/>
  <c r="EZ75" i="7" s="1"/>
  <c r="EX73" i="7"/>
  <c r="EW74" i="7" s="1"/>
  <c r="EU74" i="7"/>
  <c r="ET75" i="7" s="1"/>
  <c r="ER72" i="7"/>
  <c r="EQ73" i="7" s="1"/>
  <c r="EO73" i="7"/>
  <c r="EN74" i="7" s="1"/>
  <c r="EL73" i="7"/>
  <c r="EK74" i="7" s="1"/>
  <c r="EI74" i="7"/>
  <c r="EH75" i="7" s="1"/>
  <c r="EF73" i="7"/>
  <c r="EE74" i="7" s="1"/>
  <c r="EC74" i="7"/>
  <c r="EB75" i="7" s="1"/>
  <c r="DY74" i="7"/>
  <c r="DZ74" i="7" s="1"/>
  <c r="DT74" i="7"/>
  <c r="DS75" i="7" s="1"/>
  <c r="DQ73" i="7"/>
  <c r="DP74" i="7" s="1"/>
  <c r="DN74" i="7"/>
  <c r="DM75" i="7" s="1"/>
  <c r="DH73" i="7"/>
  <c r="DG74" i="7" s="1"/>
  <c r="CX74" i="7"/>
  <c r="CY74" i="7" s="1"/>
  <c r="C75" i="7"/>
  <c r="D75" i="7" s="1"/>
  <c r="CA77" i="7"/>
  <c r="BZ78" i="7" s="1"/>
  <c r="O77" i="7"/>
  <c r="P77" i="7" s="1"/>
  <c r="E77" i="6"/>
  <c r="F77" i="6" s="1"/>
  <c r="CP74" i="7" l="1"/>
  <c r="CO75" i="7" s="1"/>
  <c r="CM73" i="7"/>
  <c r="CL74" i="7" s="1"/>
  <c r="CJ72" i="7"/>
  <c r="CI73" i="7" s="1"/>
  <c r="CG74" i="7"/>
  <c r="CF75" i="7" s="1"/>
  <c r="CC75" i="7"/>
  <c r="CD75" i="7" s="1"/>
  <c r="BX74" i="7"/>
  <c r="BW75" i="7" s="1"/>
  <c r="BT73" i="7"/>
  <c r="BU73" i="7" s="1"/>
  <c r="BR73" i="7"/>
  <c r="BQ74" i="7" s="1"/>
  <c r="BN75" i="7"/>
  <c r="BO75" i="7" s="1"/>
  <c r="BK75" i="7"/>
  <c r="BL75" i="7" s="1"/>
  <c r="BH74" i="7"/>
  <c r="BI74" i="7" s="1"/>
  <c r="BB75" i="7"/>
  <c r="BC75" i="7" s="1"/>
  <c r="AZ74" i="7"/>
  <c r="AY75" i="7" s="1"/>
  <c r="BF73" i="7"/>
  <c r="BE74" i="7" s="1"/>
  <c r="CR76" i="7"/>
  <c r="CS76" i="7" s="1"/>
  <c r="GN74" i="7"/>
  <c r="GM75" i="7" s="1"/>
  <c r="GK74" i="7"/>
  <c r="GJ75" i="7" s="1"/>
  <c r="GG74" i="7"/>
  <c r="GH74" i="7" s="1"/>
  <c r="GE75" i="7"/>
  <c r="GD76" i="7" s="1"/>
  <c r="GB75" i="7"/>
  <c r="GA76" i="7" s="1"/>
  <c r="FX75" i="7"/>
  <c r="FY75" i="7" s="1"/>
  <c r="FV76" i="7"/>
  <c r="FU77" i="7" s="1"/>
  <c r="FR75" i="7"/>
  <c r="FS75" i="7" s="1"/>
  <c r="FO74" i="7"/>
  <c r="FP74" i="7" s="1"/>
  <c r="FL74" i="7"/>
  <c r="FM74" i="7" s="1"/>
  <c r="FJ75" i="7"/>
  <c r="FI76" i="7" s="1"/>
  <c r="FF74" i="7"/>
  <c r="FG74" i="7" s="1"/>
  <c r="FD74" i="7"/>
  <c r="FC75" i="7" s="1"/>
  <c r="FA75" i="7"/>
  <c r="EZ76" i="7" s="1"/>
  <c r="EX74" i="7"/>
  <c r="EW75" i="7" s="1"/>
  <c r="EU75" i="7"/>
  <c r="ET76" i="7" s="1"/>
  <c r="ER73" i="7"/>
  <c r="EQ74" i="7" s="1"/>
  <c r="EO74" i="7"/>
  <c r="EN75" i="7" s="1"/>
  <c r="EL74" i="7"/>
  <c r="EK75" i="7" s="1"/>
  <c r="EI75" i="7"/>
  <c r="EH76" i="7" s="1"/>
  <c r="EF74" i="7"/>
  <c r="EE75" i="7" s="1"/>
  <c r="EC75" i="7"/>
  <c r="EB76" i="7" s="1"/>
  <c r="DY75" i="7"/>
  <c r="DZ75" i="7" s="1"/>
  <c r="DT75" i="7"/>
  <c r="DS76" i="7" s="1"/>
  <c r="DQ74" i="7"/>
  <c r="DP75" i="7" s="1"/>
  <c r="DN75" i="7"/>
  <c r="DM76" i="7" s="1"/>
  <c r="DH74" i="7"/>
  <c r="DG75" i="7" s="1"/>
  <c r="CX75" i="7"/>
  <c r="CY75" i="7" s="1"/>
  <c r="C76" i="7"/>
  <c r="D76" i="7" s="1"/>
  <c r="CA78" i="7"/>
  <c r="BZ79" i="7" s="1"/>
  <c r="O78" i="7"/>
  <c r="P78" i="7" s="1"/>
  <c r="E78" i="6"/>
  <c r="F78" i="6" s="1"/>
  <c r="CP75" i="7" l="1"/>
  <c r="CO76" i="7" s="1"/>
  <c r="CM74" i="7"/>
  <c r="CL75" i="7" s="1"/>
  <c r="CJ73" i="7"/>
  <c r="CI74" i="7" s="1"/>
  <c r="CG75" i="7"/>
  <c r="CF76" i="7" s="1"/>
  <c r="CC76" i="7"/>
  <c r="CD76" i="7" s="1"/>
  <c r="BX75" i="7"/>
  <c r="BW76" i="7" s="1"/>
  <c r="BT74" i="7"/>
  <c r="BU74" i="7" s="1"/>
  <c r="BR74" i="7"/>
  <c r="BQ75" i="7" s="1"/>
  <c r="BN76" i="7"/>
  <c r="BO76" i="7" s="1"/>
  <c r="BK76" i="7"/>
  <c r="BL76" i="7" s="1"/>
  <c r="BH75" i="7"/>
  <c r="BI75" i="7" s="1"/>
  <c r="BB76" i="7"/>
  <c r="BC76" i="7" s="1"/>
  <c r="AZ75" i="7"/>
  <c r="AY76" i="7" s="1"/>
  <c r="BF74" i="7"/>
  <c r="BE75" i="7" s="1"/>
  <c r="CR77" i="7"/>
  <c r="CS77" i="7" s="1"/>
  <c r="GN75" i="7"/>
  <c r="GM76" i="7" s="1"/>
  <c r="GK75" i="7"/>
  <c r="GJ76" i="7" s="1"/>
  <c r="GG75" i="7"/>
  <c r="GH75" i="7" s="1"/>
  <c r="GE76" i="7"/>
  <c r="GD77" i="7" s="1"/>
  <c r="GB76" i="7"/>
  <c r="GA77" i="7" s="1"/>
  <c r="FX76" i="7"/>
  <c r="FY76" i="7" s="1"/>
  <c r="FV77" i="7"/>
  <c r="FU78" i="7" s="1"/>
  <c r="FR76" i="7"/>
  <c r="FS76" i="7" s="1"/>
  <c r="FO75" i="7"/>
  <c r="FP75" i="7" s="1"/>
  <c r="FL75" i="7"/>
  <c r="FM75" i="7" s="1"/>
  <c r="FJ76" i="7"/>
  <c r="FI77" i="7" s="1"/>
  <c r="FF75" i="7"/>
  <c r="FG75" i="7" s="1"/>
  <c r="FD75" i="7"/>
  <c r="FC76" i="7" s="1"/>
  <c r="FA76" i="7"/>
  <c r="EZ77" i="7" s="1"/>
  <c r="EX75" i="7"/>
  <c r="EW76" i="7" s="1"/>
  <c r="EU76" i="7"/>
  <c r="ET77" i="7" s="1"/>
  <c r="ER74" i="7"/>
  <c r="EQ75" i="7" s="1"/>
  <c r="EO75" i="7"/>
  <c r="EN76" i="7" s="1"/>
  <c r="EL75" i="7"/>
  <c r="EK76" i="7" s="1"/>
  <c r="EI76" i="7"/>
  <c r="EH77" i="7" s="1"/>
  <c r="EF75" i="7"/>
  <c r="EE76" i="7" s="1"/>
  <c r="EC76" i="7"/>
  <c r="EB77" i="7" s="1"/>
  <c r="DY76" i="7"/>
  <c r="DZ76" i="7" s="1"/>
  <c r="DT76" i="7"/>
  <c r="DS77" i="7" s="1"/>
  <c r="DQ75" i="7"/>
  <c r="DP76" i="7" s="1"/>
  <c r="DN76" i="7"/>
  <c r="DM77" i="7" s="1"/>
  <c r="DH75" i="7"/>
  <c r="DG76" i="7" s="1"/>
  <c r="CX76" i="7"/>
  <c r="CY76" i="7" s="1"/>
  <c r="C77" i="7"/>
  <c r="D77" i="7" s="1"/>
  <c r="CA79" i="7"/>
  <c r="BZ80" i="7" s="1"/>
  <c r="O79" i="7"/>
  <c r="P79" i="7" s="1"/>
  <c r="E79" i="6"/>
  <c r="F79" i="6" s="1"/>
  <c r="CP76" i="7" l="1"/>
  <c r="CO77" i="7" s="1"/>
  <c r="CM75" i="7"/>
  <c r="CL76" i="7" s="1"/>
  <c r="CJ74" i="7"/>
  <c r="CI75" i="7" s="1"/>
  <c r="CG76" i="7"/>
  <c r="CF77" i="7" s="1"/>
  <c r="CC77" i="7"/>
  <c r="CD77" i="7" s="1"/>
  <c r="BX76" i="7"/>
  <c r="BW77" i="7" s="1"/>
  <c r="BT75" i="7"/>
  <c r="BU75" i="7" s="1"/>
  <c r="BR75" i="7"/>
  <c r="BQ76" i="7" s="1"/>
  <c r="BN77" i="7"/>
  <c r="BO77" i="7" s="1"/>
  <c r="BK77" i="7"/>
  <c r="BL77" i="7" s="1"/>
  <c r="BH76" i="7"/>
  <c r="BI76" i="7" s="1"/>
  <c r="BB77" i="7"/>
  <c r="BC77" i="7" s="1"/>
  <c r="AZ76" i="7"/>
  <c r="AY77" i="7" s="1"/>
  <c r="BF75" i="7"/>
  <c r="BE76" i="7" s="1"/>
  <c r="CR78" i="7"/>
  <c r="CS78" i="7" s="1"/>
  <c r="GN76" i="7"/>
  <c r="GM77" i="7" s="1"/>
  <c r="GK76" i="7"/>
  <c r="GJ77" i="7" s="1"/>
  <c r="GG76" i="7"/>
  <c r="GH76" i="7" s="1"/>
  <c r="GE77" i="7"/>
  <c r="GD78" i="7" s="1"/>
  <c r="GB77" i="7"/>
  <c r="GA78" i="7" s="1"/>
  <c r="FX77" i="7"/>
  <c r="FY77" i="7" s="1"/>
  <c r="FV78" i="7"/>
  <c r="FU79" i="7" s="1"/>
  <c r="FR77" i="7"/>
  <c r="FS77" i="7" s="1"/>
  <c r="FO76" i="7"/>
  <c r="FP76" i="7" s="1"/>
  <c r="FL76" i="7"/>
  <c r="FM76" i="7" s="1"/>
  <c r="FJ77" i="7"/>
  <c r="FI78" i="7" s="1"/>
  <c r="FF76" i="7"/>
  <c r="FG76" i="7" s="1"/>
  <c r="FD76" i="7"/>
  <c r="FC77" i="7" s="1"/>
  <c r="FA77" i="7"/>
  <c r="EZ78" i="7" s="1"/>
  <c r="EX76" i="7"/>
  <c r="EW77" i="7" s="1"/>
  <c r="EU77" i="7"/>
  <c r="ET78" i="7" s="1"/>
  <c r="ER75" i="7"/>
  <c r="EQ76" i="7" s="1"/>
  <c r="EO76" i="7"/>
  <c r="EN77" i="7" s="1"/>
  <c r="EL76" i="7"/>
  <c r="EK77" i="7" s="1"/>
  <c r="EI77" i="7"/>
  <c r="EH78" i="7" s="1"/>
  <c r="EF76" i="7"/>
  <c r="EE77" i="7" s="1"/>
  <c r="EC77" i="7"/>
  <c r="EB78" i="7" s="1"/>
  <c r="DY77" i="7"/>
  <c r="DZ77" i="7" s="1"/>
  <c r="DT77" i="7"/>
  <c r="DS78" i="7" s="1"/>
  <c r="DQ76" i="7"/>
  <c r="DP77" i="7" s="1"/>
  <c r="DN77" i="7"/>
  <c r="DM78" i="7" s="1"/>
  <c r="DH76" i="7"/>
  <c r="DG77" i="7" s="1"/>
  <c r="CX77" i="7"/>
  <c r="CY77" i="7" s="1"/>
  <c r="C78" i="7"/>
  <c r="D78" i="7" s="1"/>
  <c r="CA80" i="7"/>
  <c r="BZ81" i="7" s="1"/>
  <c r="O80" i="7"/>
  <c r="P80" i="7" s="1"/>
  <c r="E80" i="6"/>
  <c r="F80" i="6" s="1"/>
  <c r="CP77" i="7" l="1"/>
  <c r="CO78" i="7" s="1"/>
  <c r="CM76" i="7"/>
  <c r="CL77" i="7" s="1"/>
  <c r="CJ75" i="7"/>
  <c r="CI76" i="7" s="1"/>
  <c r="CG77" i="7"/>
  <c r="CF78" i="7" s="1"/>
  <c r="CC78" i="7"/>
  <c r="CD78" i="7" s="1"/>
  <c r="BX77" i="7"/>
  <c r="BW78" i="7" s="1"/>
  <c r="BT76" i="7"/>
  <c r="BU76" i="7" s="1"/>
  <c r="BR76" i="7"/>
  <c r="BQ77" i="7" s="1"/>
  <c r="BN78" i="7"/>
  <c r="BO78" i="7" s="1"/>
  <c r="BK78" i="7"/>
  <c r="BL78" i="7" s="1"/>
  <c r="BH77" i="7"/>
  <c r="BI77" i="7" s="1"/>
  <c r="BB78" i="7"/>
  <c r="BC78" i="7" s="1"/>
  <c r="AZ77" i="7"/>
  <c r="AY78" i="7" s="1"/>
  <c r="BF76" i="7"/>
  <c r="BE77" i="7" s="1"/>
  <c r="CR79" i="7"/>
  <c r="CS79" i="7" s="1"/>
  <c r="GN77" i="7"/>
  <c r="GM78" i="7" s="1"/>
  <c r="GK77" i="7"/>
  <c r="GJ78" i="7" s="1"/>
  <c r="GG77" i="7"/>
  <c r="GH77" i="7" s="1"/>
  <c r="GE78" i="7"/>
  <c r="GD79" i="7" s="1"/>
  <c r="GB78" i="7"/>
  <c r="GA79" i="7" s="1"/>
  <c r="FX78" i="7"/>
  <c r="FY78" i="7" s="1"/>
  <c r="FV79" i="7"/>
  <c r="FU80" i="7" s="1"/>
  <c r="FR78" i="7"/>
  <c r="FS78" i="7" s="1"/>
  <c r="FO77" i="7"/>
  <c r="FP77" i="7" s="1"/>
  <c r="FL77" i="7"/>
  <c r="FM77" i="7" s="1"/>
  <c r="FJ78" i="7"/>
  <c r="FI79" i="7" s="1"/>
  <c r="FF77" i="7"/>
  <c r="FG77" i="7" s="1"/>
  <c r="FD77" i="7"/>
  <c r="FC78" i="7" s="1"/>
  <c r="FA78" i="7"/>
  <c r="EZ79" i="7" s="1"/>
  <c r="EX77" i="7"/>
  <c r="EW78" i="7" s="1"/>
  <c r="EU78" i="7"/>
  <c r="ET79" i="7" s="1"/>
  <c r="ER76" i="7"/>
  <c r="EQ77" i="7" s="1"/>
  <c r="EO77" i="7"/>
  <c r="EN78" i="7" s="1"/>
  <c r="EL77" i="7"/>
  <c r="EK78" i="7" s="1"/>
  <c r="EI78" i="7"/>
  <c r="EH79" i="7" s="1"/>
  <c r="EF77" i="7"/>
  <c r="EE78" i="7" s="1"/>
  <c r="EC78" i="7"/>
  <c r="EB79" i="7" s="1"/>
  <c r="DY78" i="7"/>
  <c r="DZ78" i="7" s="1"/>
  <c r="DT78" i="7"/>
  <c r="DS79" i="7" s="1"/>
  <c r="DQ77" i="7"/>
  <c r="DP78" i="7" s="1"/>
  <c r="DN78" i="7"/>
  <c r="DM79" i="7" s="1"/>
  <c r="DH77" i="7"/>
  <c r="DG78" i="7" s="1"/>
  <c r="CX78" i="7"/>
  <c r="CY78" i="7" s="1"/>
  <c r="C79" i="7"/>
  <c r="D79" i="7" s="1"/>
  <c r="CA81" i="7"/>
  <c r="BZ82" i="7" s="1"/>
  <c r="O81" i="7"/>
  <c r="P81" i="7" s="1"/>
  <c r="E81" i="6"/>
  <c r="F81" i="6" s="1"/>
  <c r="CP78" i="7" l="1"/>
  <c r="CO79" i="7" s="1"/>
  <c r="CM77" i="7"/>
  <c r="CL78" i="7" s="1"/>
  <c r="CJ76" i="7"/>
  <c r="CI77" i="7" s="1"/>
  <c r="CG78" i="7"/>
  <c r="CF79" i="7" s="1"/>
  <c r="CC79" i="7"/>
  <c r="CD79" i="7" s="1"/>
  <c r="BX78" i="7"/>
  <c r="BW79" i="7" s="1"/>
  <c r="BT77" i="7"/>
  <c r="BU77" i="7" s="1"/>
  <c r="BR77" i="7"/>
  <c r="BQ78" i="7" s="1"/>
  <c r="BN79" i="7"/>
  <c r="BO79" i="7" s="1"/>
  <c r="BK79" i="7"/>
  <c r="BL79" i="7" s="1"/>
  <c r="BH78" i="7"/>
  <c r="BI78" i="7" s="1"/>
  <c r="BB79" i="7"/>
  <c r="BC79" i="7" s="1"/>
  <c r="AZ78" i="7"/>
  <c r="AY79" i="7" s="1"/>
  <c r="BF77" i="7"/>
  <c r="BE78" i="7" s="1"/>
  <c r="CR80" i="7"/>
  <c r="CS80" i="7" s="1"/>
  <c r="GN78" i="7"/>
  <c r="GM79" i="7" s="1"/>
  <c r="GK78" i="7"/>
  <c r="GJ79" i="7" s="1"/>
  <c r="GG78" i="7"/>
  <c r="GH78" i="7" s="1"/>
  <c r="GE79" i="7"/>
  <c r="GD80" i="7" s="1"/>
  <c r="GB79" i="7"/>
  <c r="GA80" i="7" s="1"/>
  <c r="FX79" i="7"/>
  <c r="FY79" i="7" s="1"/>
  <c r="FV80" i="7"/>
  <c r="FU81" i="7" s="1"/>
  <c r="FR79" i="7"/>
  <c r="FS79" i="7" s="1"/>
  <c r="FO78" i="7"/>
  <c r="FP78" i="7" s="1"/>
  <c r="FL78" i="7"/>
  <c r="FM78" i="7" s="1"/>
  <c r="FJ79" i="7"/>
  <c r="FI80" i="7" s="1"/>
  <c r="FF78" i="7"/>
  <c r="FG78" i="7" s="1"/>
  <c r="FD78" i="7"/>
  <c r="FC79" i="7" s="1"/>
  <c r="FA79" i="7"/>
  <c r="EZ80" i="7" s="1"/>
  <c r="EX78" i="7"/>
  <c r="EW79" i="7" s="1"/>
  <c r="EU79" i="7"/>
  <c r="ET80" i="7" s="1"/>
  <c r="ER77" i="7"/>
  <c r="EQ78" i="7" s="1"/>
  <c r="EO78" i="7"/>
  <c r="EN79" i="7" s="1"/>
  <c r="EL78" i="7"/>
  <c r="EK79" i="7" s="1"/>
  <c r="EI79" i="7"/>
  <c r="EH80" i="7" s="1"/>
  <c r="EF78" i="7"/>
  <c r="EE79" i="7" s="1"/>
  <c r="EC79" i="7"/>
  <c r="EB80" i="7" s="1"/>
  <c r="DY79" i="7"/>
  <c r="DZ79" i="7" s="1"/>
  <c r="DT79" i="7"/>
  <c r="DS80" i="7" s="1"/>
  <c r="DQ78" i="7"/>
  <c r="DP79" i="7" s="1"/>
  <c r="DN79" i="7"/>
  <c r="DM80" i="7" s="1"/>
  <c r="DH78" i="7"/>
  <c r="DG79" i="7" s="1"/>
  <c r="CX79" i="7"/>
  <c r="CY79" i="7" s="1"/>
  <c r="C80" i="7"/>
  <c r="D80" i="7" s="1"/>
  <c r="CA82" i="7"/>
  <c r="BZ83" i="7" s="1"/>
  <c r="O82" i="7"/>
  <c r="P82" i="7" s="1"/>
  <c r="E82" i="6"/>
  <c r="F82" i="6" s="1"/>
  <c r="CP79" i="7" l="1"/>
  <c r="CO80" i="7" s="1"/>
  <c r="CM78" i="7"/>
  <c r="CL79" i="7" s="1"/>
  <c r="CJ77" i="7"/>
  <c r="CI78" i="7" s="1"/>
  <c r="CG79" i="7"/>
  <c r="CF80" i="7" s="1"/>
  <c r="CC80" i="7"/>
  <c r="CD80" i="7" s="1"/>
  <c r="BX79" i="7"/>
  <c r="BW80" i="7" s="1"/>
  <c r="BT78" i="7"/>
  <c r="BU78" i="7" s="1"/>
  <c r="BR78" i="7"/>
  <c r="BQ79" i="7" s="1"/>
  <c r="BN80" i="7"/>
  <c r="BO80" i="7" s="1"/>
  <c r="BK80" i="7"/>
  <c r="BL80" i="7" s="1"/>
  <c r="BH79" i="7"/>
  <c r="BI79" i="7" s="1"/>
  <c r="BB80" i="7"/>
  <c r="BC80" i="7" s="1"/>
  <c r="AZ79" i="7"/>
  <c r="AY80" i="7" s="1"/>
  <c r="BF78" i="7"/>
  <c r="BE79" i="7" s="1"/>
  <c r="CR81" i="7"/>
  <c r="CS81" i="7" s="1"/>
  <c r="GN79" i="7"/>
  <c r="GM80" i="7" s="1"/>
  <c r="GK79" i="7"/>
  <c r="GJ80" i="7" s="1"/>
  <c r="GG79" i="7"/>
  <c r="GH79" i="7" s="1"/>
  <c r="GE80" i="7"/>
  <c r="GD81" i="7" s="1"/>
  <c r="GB80" i="7"/>
  <c r="GA81" i="7" s="1"/>
  <c r="FX80" i="7"/>
  <c r="FY80" i="7" s="1"/>
  <c r="FV81" i="7"/>
  <c r="FU82" i="7" s="1"/>
  <c r="FR80" i="7"/>
  <c r="FS80" i="7" s="1"/>
  <c r="FO79" i="7"/>
  <c r="FP79" i="7" s="1"/>
  <c r="FL79" i="7"/>
  <c r="FM79" i="7" s="1"/>
  <c r="FJ80" i="7"/>
  <c r="FI81" i="7" s="1"/>
  <c r="FF79" i="7"/>
  <c r="FG79" i="7" s="1"/>
  <c r="FD79" i="7"/>
  <c r="FC80" i="7" s="1"/>
  <c r="FA80" i="7"/>
  <c r="EZ81" i="7" s="1"/>
  <c r="EX79" i="7"/>
  <c r="EW80" i="7" s="1"/>
  <c r="EU80" i="7"/>
  <c r="ET81" i="7" s="1"/>
  <c r="ER78" i="7"/>
  <c r="EQ79" i="7" s="1"/>
  <c r="EO79" i="7"/>
  <c r="EN80" i="7" s="1"/>
  <c r="EL79" i="7"/>
  <c r="EK80" i="7" s="1"/>
  <c r="EI80" i="7"/>
  <c r="EH81" i="7" s="1"/>
  <c r="EF79" i="7"/>
  <c r="EE80" i="7" s="1"/>
  <c r="EC80" i="7"/>
  <c r="EB81" i="7" s="1"/>
  <c r="DY80" i="7"/>
  <c r="DZ80" i="7" s="1"/>
  <c r="DT80" i="7"/>
  <c r="DS81" i="7" s="1"/>
  <c r="DQ79" i="7"/>
  <c r="DP80" i="7" s="1"/>
  <c r="DN80" i="7"/>
  <c r="DM81" i="7" s="1"/>
  <c r="DH79" i="7"/>
  <c r="DG80" i="7" s="1"/>
  <c r="CX80" i="7"/>
  <c r="CY80" i="7" s="1"/>
  <c r="C81" i="7"/>
  <c r="D81" i="7" s="1"/>
  <c r="CA83" i="7"/>
  <c r="BZ84" i="7" s="1"/>
  <c r="O83" i="7"/>
  <c r="P83" i="7" s="1"/>
  <c r="E83" i="6"/>
  <c r="F83" i="6" s="1"/>
  <c r="CP80" i="7" l="1"/>
  <c r="CO81" i="7" s="1"/>
  <c r="CM79" i="7"/>
  <c r="CL80" i="7" s="1"/>
  <c r="CJ78" i="7"/>
  <c r="CI79" i="7" s="1"/>
  <c r="CG80" i="7"/>
  <c r="CF81" i="7" s="1"/>
  <c r="CC81" i="7"/>
  <c r="CD81" i="7" s="1"/>
  <c r="BX80" i="7"/>
  <c r="BW81" i="7" s="1"/>
  <c r="BT79" i="7"/>
  <c r="BU79" i="7" s="1"/>
  <c r="BR79" i="7"/>
  <c r="BQ80" i="7" s="1"/>
  <c r="BN81" i="7"/>
  <c r="BO81" i="7" s="1"/>
  <c r="BK81" i="7"/>
  <c r="BL81" i="7" s="1"/>
  <c r="BH80" i="7"/>
  <c r="BI80" i="7" s="1"/>
  <c r="BB81" i="7"/>
  <c r="BC81" i="7" s="1"/>
  <c r="AZ80" i="7"/>
  <c r="AY81" i="7" s="1"/>
  <c r="BF79" i="7"/>
  <c r="BE80" i="7" s="1"/>
  <c r="CR82" i="7"/>
  <c r="CS82" i="7" s="1"/>
  <c r="GN80" i="7"/>
  <c r="GM81" i="7" s="1"/>
  <c r="GK80" i="7"/>
  <c r="GJ81" i="7" s="1"/>
  <c r="GG80" i="7"/>
  <c r="GH80" i="7" s="1"/>
  <c r="GE81" i="7"/>
  <c r="GD82" i="7" s="1"/>
  <c r="GB81" i="7"/>
  <c r="GA82" i="7" s="1"/>
  <c r="FX81" i="7"/>
  <c r="FY81" i="7" s="1"/>
  <c r="FV82" i="7"/>
  <c r="FU83" i="7" s="1"/>
  <c r="FR81" i="7"/>
  <c r="FS81" i="7" s="1"/>
  <c r="FO80" i="7"/>
  <c r="FP80" i="7" s="1"/>
  <c r="FL80" i="7"/>
  <c r="FM80" i="7" s="1"/>
  <c r="FJ81" i="7"/>
  <c r="FI82" i="7" s="1"/>
  <c r="FF80" i="7"/>
  <c r="FG80" i="7" s="1"/>
  <c r="FD80" i="7"/>
  <c r="FC81" i="7" s="1"/>
  <c r="FA81" i="7"/>
  <c r="EZ82" i="7" s="1"/>
  <c r="EX80" i="7"/>
  <c r="EW81" i="7" s="1"/>
  <c r="EU81" i="7"/>
  <c r="ET82" i="7" s="1"/>
  <c r="ER79" i="7"/>
  <c r="EQ80" i="7" s="1"/>
  <c r="EO80" i="7"/>
  <c r="EN81" i="7" s="1"/>
  <c r="EL80" i="7"/>
  <c r="EK81" i="7" s="1"/>
  <c r="EI81" i="7"/>
  <c r="EH82" i="7" s="1"/>
  <c r="EF80" i="7"/>
  <c r="EE81" i="7" s="1"/>
  <c r="EC81" i="7"/>
  <c r="EB82" i="7" s="1"/>
  <c r="DY81" i="7"/>
  <c r="DZ81" i="7" s="1"/>
  <c r="DT81" i="7"/>
  <c r="DS82" i="7" s="1"/>
  <c r="DQ80" i="7"/>
  <c r="DP81" i="7" s="1"/>
  <c r="DN81" i="7"/>
  <c r="DM82" i="7" s="1"/>
  <c r="DH80" i="7"/>
  <c r="DG81" i="7" s="1"/>
  <c r="CX81" i="7"/>
  <c r="CY81" i="7" s="1"/>
  <c r="C82" i="7"/>
  <c r="D82" i="7" s="1"/>
  <c r="CA84" i="7"/>
  <c r="BZ85" i="7" s="1"/>
  <c r="O84" i="7"/>
  <c r="P84" i="7" s="1"/>
  <c r="E84" i="6"/>
  <c r="F84" i="6" s="1"/>
  <c r="CP81" i="7" l="1"/>
  <c r="CO82" i="7" s="1"/>
  <c r="CM80" i="7"/>
  <c r="CL81" i="7" s="1"/>
  <c r="CJ79" i="7"/>
  <c r="CI80" i="7" s="1"/>
  <c r="CG81" i="7"/>
  <c r="CF82" i="7" s="1"/>
  <c r="CC82" i="7"/>
  <c r="CD82" i="7" s="1"/>
  <c r="BX81" i="7"/>
  <c r="BW82" i="7" s="1"/>
  <c r="BT80" i="7"/>
  <c r="BU80" i="7" s="1"/>
  <c r="BR80" i="7"/>
  <c r="BQ81" i="7" s="1"/>
  <c r="BN82" i="7"/>
  <c r="BO82" i="7" s="1"/>
  <c r="BK82" i="7"/>
  <c r="BL82" i="7" s="1"/>
  <c r="BH81" i="7"/>
  <c r="BI81" i="7" s="1"/>
  <c r="BB82" i="7"/>
  <c r="BC82" i="7" s="1"/>
  <c r="AZ81" i="7"/>
  <c r="AY82" i="7" s="1"/>
  <c r="BF80" i="7"/>
  <c r="BE81" i="7" s="1"/>
  <c r="CR83" i="7"/>
  <c r="CS83" i="7" s="1"/>
  <c r="GN81" i="7"/>
  <c r="GM82" i="7" s="1"/>
  <c r="GK81" i="7"/>
  <c r="GJ82" i="7" s="1"/>
  <c r="GG81" i="7"/>
  <c r="GH81" i="7" s="1"/>
  <c r="GE82" i="7"/>
  <c r="GD83" i="7" s="1"/>
  <c r="GB82" i="7"/>
  <c r="GA83" i="7" s="1"/>
  <c r="FX82" i="7"/>
  <c r="FY82" i="7" s="1"/>
  <c r="FV83" i="7"/>
  <c r="FU84" i="7" s="1"/>
  <c r="FR82" i="7"/>
  <c r="FS82" i="7" s="1"/>
  <c r="FO81" i="7"/>
  <c r="FP81" i="7" s="1"/>
  <c r="FL81" i="7"/>
  <c r="FM81" i="7" s="1"/>
  <c r="FJ82" i="7"/>
  <c r="FI83" i="7" s="1"/>
  <c r="FF81" i="7"/>
  <c r="FG81" i="7" s="1"/>
  <c r="FD81" i="7"/>
  <c r="FC82" i="7" s="1"/>
  <c r="FA82" i="7"/>
  <c r="EZ83" i="7" s="1"/>
  <c r="EX81" i="7"/>
  <c r="EW82" i="7" s="1"/>
  <c r="EU82" i="7"/>
  <c r="ET83" i="7" s="1"/>
  <c r="ER80" i="7"/>
  <c r="EQ81" i="7" s="1"/>
  <c r="EO81" i="7"/>
  <c r="EN82" i="7" s="1"/>
  <c r="EL81" i="7"/>
  <c r="EK82" i="7" s="1"/>
  <c r="EI82" i="7"/>
  <c r="EH83" i="7" s="1"/>
  <c r="EF81" i="7"/>
  <c r="EE82" i="7" s="1"/>
  <c r="EC82" i="7"/>
  <c r="EB83" i="7" s="1"/>
  <c r="DY82" i="7"/>
  <c r="DZ82" i="7" s="1"/>
  <c r="DT82" i="7"/>
  <c r="DS83" i="7" s="1"/>
  <c r="DQ81" i="7"/>
  <c r="DP82" i="7" s="1"/>
  <c r="DN82" i="7"/>
  <c r="DM83" i="7" s="1"/>
  <c r="DH81" i="7"/>
  <c r="DG82" i="7" s="1"/>
  <c r="CX82" i="7"/>
  <c r="CY82" i="7" s="1"/>
  <c r="C83" i="7"/>
  <c r="D83" i="7" s="1"/>
  <c r="CA85" i="7"/>
  <c r="BZ86" i="7" s="1"/>
  <c r="O85" i="7"/>
  <c r="P85" i="7" s="1"/>
  <c r="E85" i="6"/>
  <c r="F85" i="6" s="1"/>
  <c r="CP82" i="7" l="1"/>
  <c r="CO83" i="7" s="1"/>
  <c r="CM81" i="7"/>
  <c r="CL82" i="7" s="1"/>
  <c r="CJ80" i="7"/>
  <c r="CI81" i="7" s="1"/>
  <c r="CG82" i="7"/>
  <c r="CF83" i="7" s="1"/>
  <c r="CC83" i="7"/>
  <c r="CD83" i="7" s="1"/>
  <c r="BX82" i="7"/>
  <c r="BW83" i="7" s="1"/>
  <c r="BT81" i="7"/>
  <c r="BU81" i="7" s="1"/>
  <c r="BR81" i="7"/>
  <c r="BQ82" i="7" s="1"/>
  <c r="BN83" i="7"/>
  <c r="BO83" i="7" s="1"/>
  <c r="BK83" i="7"/>
  <c r="BL83" i="7" s="1"/>
  <c r="BH82" i="7"/>
  <c r="BI82" i="7" s="1"/>
  <c r="BB83" i="7"/>
  <c r="BC83" i="7" s="1"/>
  <c r="AZ82" i="7"/>
  <c r="AY83" i="7" s="1"/>
  <c r="BF81" i="7"/>
  <c r="BE82" i="7" s="1"/>
  <c r="CR84" i="7"/>
  <c r="CS84" i="7" s="1"/>
  <c r="GN82" i="7"/>
  <c r="GM83" i="7" s="1"/>
  <c r="GK82" i="7"/>
  <c r="GJ83" i="7" s="1"/>
  <c r="GG82" i="7"/>
  <c r="GH82" i="7" s="1"/>
  <c r="GE83" i="7"/>
  <c r="GD84" i="7" s="1"/>
  <c r="GB83" i="7"/>
  <c r="GA84" i="7" s="1"/>
  <c r="FX83" i="7"/>
  <c r="FY83" i="7" s="1"/>
  <c r="FV84" i="7"/>
  <c r="FU85" i="7" s="1"/>
  <c r="FR83" i="7"/>
  <c r="FS83" i="7" s="1"/>
  <c r="FO82" i="7"/>
  <c r="FP82" i="7" s="1"/>
  <c r="FL82" i="7"/>
  <c r="FM82" i="7" s="1"/>
  <c r="FJ83" i="7"/>
  <c r="FI84" i="7" s="1"/>
  <c r="FF82" i="7"/>
  <c r="FG82" i="7" s="1"/>
  <c r="FD82" i="7"/>
  <c r="FC83" i="7" s="1"/>
  <c r="FA83" i="7"/>
  <c r="EZ84" i="7" s="1"/>
  <c r="EX82" i="7"/>
  <c r="EW83" i="7" s="1"/>
  <c r="EU83" i="7"/>
  <c r="ET84" i="7" s="1"/>
  <c r="ER81" i="7"/>
  <c r="EQ82" i="7" s="1"/>
  <c r="EO82" i="7"/>
  <c r="EN83" i="7" s="1"/>
  <c r="EL82" i="7"/>
  <c r="EK83" i="7" s="1"/>
  <c r="EI83" i="7"/>
  <c r="EH84" i="7" s="1"/>
  <c r="EF82" i="7"/>
  <c r="EE83" i="7" s="1"/>
  <c r="EC83" i="7"/>
  <c r="EB84" i="7" s="1"/>
  <c r="DY83" i="7"/>
  <c r="DZ83" i="7" s="1"/>
  <c r="DT83" i="7"/>
  <c r="DS84" i="7" s="1"/>
  <c r="DQ82" i="7"/>
  <c r="DP83" i="7" s="1"/>
  <c r="DN83" i="7"/>
  <c r="DM84" i="7" s="1"/>
  <c r="DH82" i="7"/>
  <c r="DG83" i="7" s="1"/>
  <c r="CX83" i="7"/>
  <c r="CY83" i="7" s="1"/>
  <c r="C84" i="7"/>
  <c r="D84" i="7" s="1"/>
  <c r="CA86" i="7"/>
  <c r="BZ87" i="7" s="1"/>
  <c r="O86" i="7"/>
  <c r="P86" i="7" s="1"/>
  <c r="E86" i="6"/>
  <c r="F86" i="6" s="1"/>
  <c r="CP83" i="7" l="1"/>
  <c r="CO84" i="7" s="1"/>
  <c r="CM82" i="7"/>
  <c r="CL83" i="7" s="1"/>
  <c r="CJ81" i="7"/>
  <c r="CI82" i="7" s="1"/>
  <c r="CG83" i="7"/>
  <c r="CF84" i="7" s="1"/>
  <c r="CC84" i="7"/>
  <c r="CD84" i="7" s="1"/>
  <c r="BX83" i="7"/>
  <c r="BW84" i="7" s="1"/>
  <c r="BT82" i="7"/>
  <c r="BU82" i="7" s="1"/>
  <c r="BR82" i="7"/>
  <c r="BQ83" i="7" s="1"/>
  <c r="BN84" i="7"/>
  <c r="BO84" i="7" s="1"/>
  <c r="BK84" i="7"/>
  <c r="BL84" i="7" s="1"/>
  <c r="BH83" i="7"/>
  <c r="BI83" i="7" s="1"/>
  <c r="BB84" i="7"/>
  <c r="BC84" i="7" s="1"/>
  <c r="AZ83" i="7"/>
  <c r="AY84" i="7" s="1"/>
  <c r="BF82" i="7"/>
  <c r="BE83" i="7" s="1"/>
  <c r="CR85" i="7"/>
  <c r="CS85" i="7" s="1"/>
  <c r="GN83" i="7"/>
  <c r="GM84" i="7" s="1"/>
  <c r="GK83" i="7"/>
  <c r="GJ84" i="7" s="1"/>
  <c r="GG83" i="7"/>
  <c r="GH83" i="7" s="1"/>
  <c r="GE84" i="7"/>
  <c r="GD85" i="7" s="1"/>
  <c r="GB84" i="7"/>
  <c r="GA85" i="7" s="1"/>
  <c r="FX84" i="7"/>
  <c r="FY84" i="7" s="1"/>
  <c r="FV85" i="7"/>
  <c r="FU86" i="7" s="1"/>
  <c r="FR84" i="7"/>
  <c r="FS84" i="7" s="1"/>
  <c r="FO83" i="7"/>
  <c r="FP83" i="7" s="1"/>
  <c r="FL83" i="7"/>
  <c r="FM83" i="7" s="1"/>
  <c r="FJ84" i="7"/>
  <c r="FI85" i="7" s="1"/>
  <c r="FF83" i="7"/>
  <c r="FG83" i="7" s="1"/>
  <c r="FD83" i="7"/>
  <c r="FC84" i="7" s="1"/>
  <c r="FA84" i="7"/>
  <c r="EZ85" i="7" s="1"/>
  <c r="EX83" i="7"/>
  <c r="EW84" i="7" s="1"/>
  <c r="EU84" i="7"/>
  <c r="ET85" i="7" s="1"/>
  <c r="ER82" i="7"/>
  <c r="EQ83" i="7" s="1"/>
  <c r="EO83" i="7"/>
  <c r="EN84" i="7" s="1"/>
  <c r="EL83" i="7"/>
  <c r="EK84" i="7" s="1"/>
  <c r="EI84" i="7"/>
  <c r="EH85" i="7" s="1"/>
  <c r="EF83" i="7"/>
  <c r="EE84" i="7" s="1"/>
  <c r="EC84" i="7"/>
  <c r="EB85" i="7" s="1"/>
  <c r="DY84" i="7"/>
  <c r="DZ84" i="7" s="1"/>
  <c r="DT84" i="7"/>
  <c r="DS85" i="7" s="1"/>
  <c r="DQ83" i="7"/>
  <c r="DP84" i="7" s="1"/>
  <c r="DN84" i="7"/>
  <c r="DM85" i="7" s="1"/>
  <c r="DH83" i="7"/>
  <c r="DG84" i="7" s="1"/>
  <c r="CX84" i="7"/>
  <c r="CY84" i="7" s="1"/>
  <c r="C85" i="7"/>
  <c r="D85" i="7" s="1"/>
  <c r="CA87" i="7"/>
  <c r="BZ88" i="7" s="1"/>
  <c r="O87" i="7"/>
  <c r="P87" i="7" s="1"/>
  <c r="E87" i="6"/>
  <c r="F87" i="6" s="1"/>
  <c r="CP84" i="7" l="1"/>
  <c r="CO85" i="7" s="1"/>
  <c r="CM83" i="7"/>
  <c r="CL84" i="7" s="1"/>
  <c r="CJ82" i="7"/>
  <c r="CI83" i="7" s="1"/>
  <c r="CG84" i="7"/>
  <c r="CF85" i="7" s="1"/>
  <c r="CC85" i="7"/>
  <c r="CD85" i="7" s="1"/>
  <c r="BX84" i="7"/>
  <c r="BW85" i="7" s="1"/>
  <c r="BT83" i="7"/>
  <c r="BU83" i="7" s="1"/>
  <c r="BR83" i="7"/>
  <c r="BQ84" i="7" s="1"/>
  <c r="BN85" i="7"/>
  <c r="BO85" i="7" s="1"/>
  <c r="BK85" i="7"/>
  <c r="BL85" i="7" s="1"/>
  <c r="BH84" i="7"/>
  <c r="BI84" i="7" s="1"/>
  <c r="BB85" i="7"/>
  <c r="BC85" i="7" s="1"/>
  <c r="AZ84" i="7"/>
  <c r="AY85" i="7" s="1"/>
  <c r="BF83" i="7"/>
  <c r="BE84" i="7" s="1"/>
  <c r="CR86" i="7"/>
  <c r="CS86" i="7" s="1"/>
  <c r="GN84" i="7"/>
  <c r="GM85" i="7" s="1"/>
  <c r="GK84" i="7"/>
  <c r="GJ85" i="7" s="1"/>
  <c r="GG84" i="7"/>
  <c r="GH84" i="7" s="1"/>
  <c r="GE85" i="7"/>
  <c r="GD86" i="7" s="1"/>
  <c r="GB85" i="7"/>
  <c r="GA86" i="7" s="1"/>
  <c r="FX85" i="7"/>
  <c r="FY85" i="7" s="1"/>
  <c r="FV86" i="7"/>
  <c r="FU87" i="7" s="1"/>
  <c r="FR85" i="7"/>
  <c r="FS85" i="7" s="1"/>
  <c r="FO84" i="7"/>
  <c r="FP84" i="7" s="1"/>
  <c r="FL84" i="7"/>
  <c r="FM84" i="7" s="1"/>
  <c r="FJ85" i="7"/>
  <c r="FI86" i="7" s="1"/>
  <c r="FF84" i="7"/>
  <c r="FG84" i="7" s="1"/>
  <c r="FD84" i="7"/>
  <c r="FC85" i="7" s="1"/>
  <c r="FA85" i="7"/>
  <c r="EZ86" i="7" s="1"/>
  <c r="EX84" i="7"/>
  <c r="EW85" i="7" s="1"/>
  <c r="EU85" i="7"/>
  <c r="ET86" i="7" s="1"/>
  <c r="ER83" i="7"/>
  <c r="EQ84" i="7" s="1"/>
  <c r="EO84" i="7"/>
  <c r="EN85" i="7" s="1"/>
  <c r="EL84" i="7"/>
  <c r="EK85" i="7" s="1"/>
  <c r="EI85" i="7"/>
  <c r="EH86" i="7" s="1"/>
  <c r="EF84" i="7"/>
  <c r="EE85" i="7" s="1"/>
  <c r="EC85" i="7"/>
  <c r="EB86" i="7" s="1"/>
  <c r="DY85" i="7"/>
  <c r="DZ85" i="7" s="1"/>
  <c r="DT85" i="7"/>
  <c r="DS86" i="7" s="1"/>
  <c r="DQ84" i="7"/>
  <c r="DP85" i="7" s="1"/>
  <c r="DN85" i="7"/>
  <c r="DM86" i="7" s="1"/>
  <c r="DH84" i="7"/>
  <c r="DG85" i="7" s="1"/>
  <c r="CX85" i="7"/>
  <c r="CY85" i="7" s="1"/>
  <c r="C86" i="7"/>
  <c r="D86" i="7" s="1"/>
  <c r="CA88" i="7"/>
  <c r="BZ89" i="7" s="1"/>
  <c r="O88" i="7"/>
  <c r="P88" i="7" s="1"/>
  <c r="E88" i="6"/>
  <c r="F88" i="6" s="1"/>
  <c r="CP85" i="7" l="1"/>
  <c r="CO86" i="7" s="1"/>
  <c r="CM84" i="7"/>
  <c r="CL85" i="7" s="1"/>
  <c r="CJ83" i="7"/>
  <c r="CI84" i="7" s="1"/>
  <c r="CG85" i="7"/>
  <c r="CF86" i="7" s="1"/>
  <c r="CC86" i="7"/>
  <c r="CD86" i="7" s="1"/>
  <c r="BX85" i="7"/>
  <c r="BW86" i="7" s="1"/>
  <c r="BT84" i="7"/>
  <c r="BU84" i="7" s="1"/>
  <c r="BR84" i="7"/>
  <c r="BQ85" i="7" s="1"/>
  <c r="BN86" i="7"/>
  <c r="BO86" i="7" s="1"/>
  <c r="BK86" i="7"/>
  <c r="BL86" i="7" s="1"/>
  <c r="BH85" i="7"/>
  <c r="BI85" i="7" s="1"/>
  <c r="BB86" i="7"/>
  <c r="BC86" i="7" s="1"/>
  <c r="AZ85" i="7"/>
  <c r="AY86" i="7" s="1"/>
  <c r="BF84" i="7"/>
  <c r="BE85" i="7" s="1"/>
  <c r="CR87" i="7"/>
  <c r="CS87" i="7" s="1"/>
  <c r="GN85" i="7"/>
  <c r="GM86" i="7" s="1"/>
  <c r="GK85" i="7"/>
  <c r="GJ86" i="7" s="1"/>
  <c r="GG85" i="7"/>
  <c r="GH85" i="7" s="1"/>
  <c r="GE86" i="7"/>
  <c r="GD87" i="7" s="1"/>
  <c r="GB86" i="7"/>
  <c r="GA87" i="7" s="1"/>
  <c r="FX86" i="7"/>
  <c r="FY86" i="7" s="1"/>
  <c r="FV87" i="7"/>
  <c r="FU88" i="7" s="1"/>
  <c r="FR86" i="7"/>
  <c r="FS86" i="7" s="1"/>
  <c r="FO85" i="7"/>
  <c r="FP85" i="7" s="1"/>
  <c r="FL85" i="7"/>
  <c r="FM85" i="7" s="1"/>
  <c r="FJ86" i="7"/>
  <c r="FI87" i="7" s="1"/>
  <c r="FF85" i="7"/>
  <c r="FG85" i="7" s="1"/>
  <c r="FD85" i="7"/>
  <c r="FC86" i="7" s="1"/>
  <c r="FA86" i="7"/>
  <c r="EZ87" i="7" s="1"/>
  <c r="EX85" i="7"/>
  <c r="EW86" i="7" s="1"/>
  <c r="EU86" i="7"/>
  <c r="ET87" i="7" s="1"/>
  <c r="ER84" i="7"/>
  <c r="EQ85" i="7" s="1"/>
  <c r="EO85" i="7"/>
  <c r="EN86" i="7" s="1"/>
  <c r="EL85" i="7"/>
  <c r="EK86" i="7" s="1"/>
  <c r="EI86" i="7"/>
  <c r="EH87" i="7" s="1"/>
  <c r="EF85" i="7"/>
  <c r="EE86" i="7" s="1"/>
  <c r="EC86" i="7"/>
  <c r="EB87" i="7" s="1"/>
  <c r="DY86" i="7"/>
  <c r="DZ86" i="7" s="1"/>
  <c r="DT86" i="7"/>
  <c r="DS87" i="7" s="1"/>
  <c r="DQ85" i="7"/>
  <c r="DP86" i="7" s="1"/>
  <c r="DN86" i="7"/>
  <c r="DM87" i="7" s="1"/>
  <c r="DH85" i="7"/>
  <c r="DG86" i="7" s="1"/>
  <c r="CX86" i="7"/>
  <c r="CY86" i="7" s="1"/>
  <c r="C87" i="7"/>
  <c r="D87" i="7" s="1"/>
  <c r="CA89" i="7"/>
  <c r="BZ90" i="7" s="1"/>
  <c r="O89" i="7"/>
  <c r="P89" i="7" s="1"/>
  <c r="E89" i="6"/>
  <c r="F89" i="6" s="1"/>
  <c r="CP86" i="7" l="1"/>
  <c r="CO87" i="7" s="1"/>
  <c r="CM85" i="7"/>
  <c r="CL86" i="7" s="1"/>
  <c r="CJ84" i="7"/>
  <c r="CI85" i="7" s="1"/>
  <c r="CG86" i="7"/>
  <c r="CF87" i="7" s="1"/>
  <c r="CC87" i="7"/>
  <c r="CD87" i="7" s="1"/>
  <c r="BX86" i="7"/>
  <c r="BW87" i="7" s="1"/>
  <c r="BT85" i="7"/>
  <c r="BU85" i="7" s="1"/>
  <c r="BR85" i="7"/>
  <c r="BQ86" i="7" s="1"/>
  <c r="BN87" i="7"/>
  <c r="BO87" i="7" s="1"/>
  <c r="BK87" i="7"/>
  <c r="BL87" i="7" s="1"/>
  <c r="BH86" i="7"/>
  <c r="BI86" i="7" s="1"/>
  <c r="BB87" i="7"/>
  <c r="BC87" i="7" s="1"/>
  <c r="AZ86" i="7"/>
  <c r="AY87" i="7" s="1"/>
  <c r="BF85" i="7"/>
  <c r="BE86" i="7" s="1"/>
  <c r="CR88" i="7"/>
  <c r="CS88" i="7" s="1"/>
  <c r="GN86" i="7"/>
  <c r="GM87" i="7" s="1"/>
  <c r="GK86" i="7"/>
  <c r="GJ87" i="7" s="1"/>
  <c r="GG86" i="7"/>
  <c r="GH86" i="7" s="1"/>
  <c r="GE87" i="7"/>
  <c r="GD88" i="7" s="1"/>
  <c r="GB87" i="7"/>
  <c r="GA88" i="7" s="1"/>
  <c r="FX87" i="7"/>
  <c r="FY87" i="7" s="1"/>
  <c r="FV88" i="7"/>
  <c r="FU89" i="7" s="1"/>
  <c r="FR87" i="7"/>
  <c r="FS87" i="7" s="1"/>
  <c r="FO86" i="7"/>
  <c r="FP86" i="7" s="1"/>
  <c r="FL86" i="7"/>
  <c r="FM86" i="7" s="1"/>
  <c r="FJ87" i="7"/>
  <c r="FI88" i="7" s="1"/>
  <c r="FF86" i="7"/>
  <c r="FG86" i="7" s="1"/>
  <c r="FD86" i="7"/>
  <c r="FC87" i="7" s="1"/>
  <c r="FA87" i="7"/>
  <c r="EZ88" i="7" s="1"/>
  <c r="EX86" i="7"/>
  <c r="EW87" i="7" s="1"/>
  <c r="EU87" i="7"/>
  <c r="ET88" i="7" s="1"/>
  <c r="ER85" i="7"/>
  <c r="EQ86" i="7" s="1"/>
  <c r="EO86" i="7"/>
  <c r="EN87" i="7" s="1"/>
  <c r="EL86" i="7"/>
  <c r="EK87" i="7" s="1"/>
  <c r="EI87" i="7"/>
  <c r="EH88" i="7" s="1"/>
  <c r="EF86" i="7"/>
  <c r="EE87" i="7" s="1"/>
  <c r="EC87" i="7"/>
  <c r="EB88" i="7" s="1"/>
  <c r="DY87" i="7"/>
  <c r="DZ87" i="7" s="1"/>
  <c r="DT87" i="7"/>
  <c r="DS88" i="7" s="1"/>
  <c r="DQ86" i="7"/>
  <c r="DP87" i="7" s="1"/>
  <c r="DN87" i="7"/>
  <c r="DM88" i="7" s="1"/>
  <c r="DH86" i="7"/>
  <c r="DG87" i="7" s="1"/>
  <c r="CX87" i="7"/>
  <c r="CY87" i="7" s="1"/>
  <c r="C88" i="7"/>
  <c r="D88" i="7" s="1"/>
  <c r="CA90" i="7"/>
  <c r="BZ91" i="7" s="1"/>
  <c r="O90" i="7"/>
  <c r="P90" i="7" s="1"/>
  <c r="E90" i="6"/>
  <c r="F90" i="6" s="1"/>
  <c r="CP87" i="7" l="1"/>
  <c r="CO88" i="7" s="1"/>
  <c r="CM86" i="7"/>
  <c r="CL87" i="7" s="1"/>
  <c r="CJ85" i="7"/>
  <c r="CI86" i="7" s="1"/>
  <c r="CG87" i="7"/>
  <c r="CF88" i="7" s="1"/>
  <c r="CC88" i="7"/>
  <c r="CD88" i="7" s="1"/>
  <c r="BX87" i="7"/>
  <c r="BW88" i="7" s="1"/>
  <c r="BT86" i="7"/>
  <c r="BU86" i="7" s="1"/>
  <c r="BR86" i="7"/>
  <c r="BQ87" i="7" s="1"/>
  <c r="BN88" i="7"/>
  <c r="BO88" i="7" s="1"/>
  <c r="BK88" i="7"/>
  <c r="BL88" i="7" s="1"/>
  <c r="BH87" i="7"/>
  <c r="BI87" i="7" s="1"/>
  <c r="BB88" i="7"/>
  <c r="BC88" i="7" s="1"/>
  <c r="AZ87" i="7"/>
  <c r="AY88" i="7" s="1"/>
  <c r="BF86" i="7"/>
  <c r="BE87" i="7" s="1"/>
  <c r="CR89" i="7"/>
  <c r="CS89" i="7" s="1"/>
  <c r="GN87" i="7"/>
  <c r="GM88" i="7" s="1"/>
  <c r="GK87" i="7"/>
  <c r="GJ88" i="7" s="1"/>
  <c r="GG87" i="7"/>
  <c r="GH87" i="7" s="1"/>
  <c r="GE88" i="7"/>
  <c r="GD89" i="7" s="1"/>
  <c r="GB88" i="7"/>
  <c r="GA89" i="7" s="1"/>
  <c r="FX88" i="7"/>
  <c r="FY88" i="7" s="1"/>
  <c r="FV89" i="7"/>
  <c r="FU90" i="7" s="1"/>
  <c r="FR88" i="7"/>
  <c r="FS88" i="7" s="1"/>
  <c r="FO87" i="7"/>
  <c r="FP87" i="7" s="1"/>
  <c r="FL87" i="7"/>
  <c r="FM87" i="7" s="1"/>
  <c r="FJ88" i="7"/>
  <c r="FI89" i="7" s="1"/>
  <c r="FF87" i="7"/>
  <c r="FG87" i="7" s="1"/>
  <c r="FD87" i="7"/>
  <c r="FC88" i="7" s="1"/>
  <c r="FA88" i="7"/>
  <c r="EZ89" i="7" s="1"/>
  <c r="EX87" i="7"/>
  <c r="EW88" i="7" s="1"/>
  <c r="EU88" i="7"/>
  <c r="ET89" i="7" s="1"/>
  <c r="ER86" i="7"/>
  <c r="EQ87" i="7" s="1"/>
  <c r="EO87" i="7"/>
  <c r="EN88" i="7" s="1"/>
  <c r="EL87" i="7"/>
  <c r="EK88" i="7" s="1"/>
  <c r="EI88" i="7"/>
  <c r="EH89" i="7" s="1"/>
  <c r="EF87" i="7"/>
  <c r="EE88" i="7" s="1"/>
  <c r="EC88" i="7"/>
  <c r="EB89" i="7" s="1"/>
  <c r="DY88" i="7"/>
  <c r="DZ88" i="7" s="1"/>
  <c r="DT88" i="7"/>
  <c r="DS89" i="7" s="1"/>
  <c r="DQ87" i="7"/>
  <c r="DP88" i="7" s="1"/>
  <c r="DN88" i="7"/>
  <c r="DM89" i="7" s="1"/>
  <c r="DH87" i="7"/>
  <c r="DG88" i="7" s="1"/>
  <c r="CX88" i="7"/>
  <c r="CY88" i="7" s="1"/>
  <c r="C89" i="7"/>
  <c r="D89" i="7" s="1"/>
  <c r="CA91" i="7"/>
  <c r="BZ92" i="7" s="1"/>
  <c r="O91" i="7"/>
  <c r="P91" i="7" s="1"/>
  <c r="E91" i="6"/>
  <c r="F91" i="6" s="1"/>
  <c r="CP88" i="7" l="1"/>
  <c r="CO89" i="7" s="1"/>
  <c r="CM87" i="7"/>
  <c r="CL88" i="7" s="1"/>
  <c r="CJ86" i="7"/>
  <c r="CI87" i="7" s="1"/>
  <c r="CG88" i="7"/>
  <c r="CF89" i="7" s="1"/>
  <c r="CC89" i="7"/>
  <c r="CD89" i="7" s="1"/>
  <c r="BX88" i="7"/>
  <c r="BW89" i="7" s="1"/>
  <c r="BT87" i="7"/>
  <c r="BU87" i="7" s="1"/>
  <c r="BR87" i="7"/>
  <c r="BQ88" i="7" s="1"/>
  <c r="BN89" i="7"/>
  <c r="BO89" i="7" s="1"/>
  <c r="BK89" i="7"/>
  <c r="BL89" i="7" s="1"/>
  <c r="BH88" i="7"/>
  <c r="BI88" i="7" s="1"/>
  <c r="BB89" i="7"/>
  <c r="BC89" i="7" s="1"/>
  <c r="AZ88" i="7"/>
  <c r="AY89" i="7" s="1"/>
  <c r="BF87" i="7"/>
  <c r="BE88" i="7" s="1"/>
  <c r="CR90" i="7"/>
  <c r="CS90" i="7" s="1"/>
  <c r="GN88" i="7"/>
  <c r="GM89" i="7" s="1"/>
  <c r="GK88" i="7"/>
  <c r="GJ89" i="7" s="1"/>
  <c r="GG88" i="7"/>
  <c r="GH88" i="7" s="1"/>
  <c r="GE89" i="7"/>
  <c r="GD90" i="7" s="1"/>
  <c r="GB89" i="7"/>
  <c r="GA90" i="7" s="1"/>
  <c r="FX89" i="7"/>
  <c r="FY89" i="7" s="1"/>
  <c r="FV90" i="7"/>
  <c r="FU91" i="7" s="1"/>
  <c r="FR89" i="7"/>
  <c r="FS89" i="7" s="1"/>
  <c r="FO88" i="7"/>
  <c r="FP88" i="7" s="1"/>
  <c r="FL88" i="7"/>
  <c r="FM88" i="7" s="1"/>
  <c r="FJ89" i="7"/>
  <c r="FI90" i="7" s="1"/>
  <c r="FF88" i="7"/>
  <c r="FG88" i="7" s="1"/>
  <c r="FD88" i="7"/>
  <c r="FC89" i="7" s="1"/>
  <c r="FA89" i="7"/>
  <c r="EZ90" i="7" s="1"/>
  <c r="EX88" i="7"/>
  <c r="EW89" i="7" s="1"/>
  <c r="EU89" i="7"/>
  <c r="ET90" i="7" s="1"/>
  <c r="ER87" i="7"/>
  <c r="EQ88" i="7" s="1"/>
  <c r="EO88" i="7"/>
  <c r="EN89" i="7" s="1"/>
  <c r="EL88" i="7"/>
  <c r="EK89" i="7" s="1"/>
  <c r="EI89" i="7"/>
  <c r="EH90" i="7" s="1"/>
  <c r="EF88" i="7"/>
  <c r="EE89" i="7" s="1"/>
  <c r="EC89" i="7"/>
  <c r="EB90" i="7" s="1"/>
  <c r="DY89" i="7"/>
  <c r="DZ89" i="7" s="1"/>
  <c r="DT89" i="7"/>
  <c r="DS90" i="7" s="1"/>
  <c r="DQ88" i="7"/>
  <c r="DP89" i="7" s="1"/>
  <c r="DN89" i="7"/>
  <c r="DM90" i="7" s="1"/>
  <c r="DH88" i="7"/>
  <c r="DG89" i="7" s="1"/>
  <c r="CX89" i="7"/>
  <c r="CY89" i="7" s="1"/>
  <c r="C90" i="7"/>
  <c r="D90" i="7" s="1"/>
  <c r="CA92" i="7"/>
  <c r="BZ93" i="7" s="1"/>
  <c r="O92" i="7"/>
  <c r="P92" i="7" s="1"/>
  <c r="E92" i="6"/>
  <c r="F92" i="6" s="1"/>
  <c r="CP89" i="7" l="1"/>
  <c r="CO90" i="7" s="1"/>
  <c r="CM88" i="7"/>
  <c r="CL89" i="7" s="1"/>
  <c r="CJ87" i="7"/>
  <c r="CI88" i="7" s="1"/>
  <c r="CG89" i="7"/>
  <c r="CF90" i="7" s="1"/>
  <c r="CC90" i="7"/>
  <c r="CD90" i="7" s="1"/>
  <c r="BX89" i="7"/>
  <c r="BW90" i="7" s="1"/>
  <c r="BT88" i="7"/>
  <c r="BU88" i="7" s="1"/>
  <c r="BR88" i="7"/>
  <c r="BQ89" i="7" s="1"/>
  <c r="BN90" i="7"/>
  <c r="BO90" i="7" s="1"/>
  <c r="BK90" i="7"/>
  <c r="BL90" i="7" s="1"/>
  <c r="BH89" i="7"/>
  <c r="BI89" i="7" s="1"/>
  <c r="BB90" i="7"/>
  <c r="BC90" i="7" s="1"/>
  <c r="AZ89" i="7"/>
  <c r="AY90" i="7" s="1"/>
  <c r="BF88" i="7"/>
  <c r="BE89" i="7" s="1"/>
  <c r="CR91" i="7"/>
  <c r="CS91" i="7" s="1"/>
  <c r="GN89" i="7"/>
  <c r="GM90" i="7" s="1"/>
  <c r="GK89" i="7"/>
  <c r="GJ90" i="7" s="1"/>
  <c r="GG89" i="7"/>
  <c r="GH89" i="7" s="1"/>
  <c r="GE90" i="7"/>
  <c r="GD91" i="7" s="1"/>
  <c r="GB90" i="7"/>
  <c r="GA91" i="7" s="1"/>
  <c r="FX90" i="7"/>
  <c r="FY90" i="7" s="1"/>
  <c r="FV91" i="7"/>
  <c r="FU92" i="7" s="1"/>
  <c r="FR90" i="7"/>
  <c r="FS90" i="7" s="1"/>
  <c r="FO89" i="7"/>
  <c r="FP89" i="7" s="1"/>
  <c r="FL89" i="7"/>
  <c r="FM89" i="7" s="1"/>
  <c r="FJ90" i="7"/>
  <c r="FI91" i="7" s="1"/>
  <c r="FF89" i="7"/>
  <c r="FG89" i="7" s="1"/>
  <c r="FD89" i="7"/>
  <c r="FC90" i="7" s="1"/>
  <c r="FA90" i="7"/>
  <c r="EZ91" i="7" s="1"/>
  <c r="EX89" i="7"/>
  <c r="EW90" i="7" s="1"/>
  <c r="EU90" i="7"/>
  <c r="ET91" i="7" s="1"/>
  <c r="ER88" i="7"/>
  <c r="EQ89" i="7" s="1"/>
  <c r="EO89" i="7"/>
  <c r="EN90" i="7" s="1"/>
  <c r="EL89" i="7"/>
  <c r="EK90" i="7" s="1"/>
  <c r="EI90" i="7"/>
  <c r="EH91" i="7" s="1"/>
  <c r="EF89" i="7"/>
  <c r="EE90" i="7" s="1"/>
  <c r="EC90" i="7"/>
  <c r="EB91" i="7" s="1"/>
  <c r="DY90" i="7"/>
  <c r="DZ90" i="7" s="1"/>
  <c r="DT90" i="7"/>
  <c r="DS91" i="7" s="1"/>
  <c r="DQ89" i="7"/>
  <c r="DP90" i="7" s="1"/>
  <c r="DN90" i="7"/>
  <c r="DM91" i="7" s="1"/>
  <c r="DH89" i="7"/>
  <c r="DG90" i="7" s="1"/>
  <c r="CX90" i="7"/>
  <c r="CY90" i="7" s="1"/>
  <c r="C91" i="7"/>
  <c r="D91" i="7" s="1"/>
  <c r="CA93" i="7"/>
  <c r="BZ94" i="7" s="1"/>
  <c r="O93" i="7"/>
  <c r="P93" i="7" s="1"/>
  <c r="E93" i="6"/>
  <c r="F93" i="6" s="1"/>
  <c r="CP90" i="7" l="1"/>
  <c r="CO91" i="7" s="1"/>
  <c r="CM89" i="7"/>
  <c r="CL90" i="7" s="1"/>
  <c r="CJ88" i="7"/>
  <c r="CI89" i="7" s="1"/>
  <c r="CG90" i="7"/>
  <c r="CF91" i="7" s="1"/>
  <c r="CC91" i="7"/>
  <c r="CD91" i="7" s="1"/>
  <c r="BX90" i="7"/>
  <c r="BW91" i="7" s="1"/>
  <c r="BT89" i="7"/>
  <c r="BU89" i="7" s="1"/>
  <c r="BR89" i="7"/>
  <c r="BQ90" i="7" s="1"/>
  <c r="BN91" i="7"/>
  <c r="BO91" i="7" s="1"/>
  <c r="BK91" i="7"/>
  <c r="BL91" i="7" s="1"/>
  <c r="BH90" i="7"/>
  <c r="BI90" i="7" s="1"/>
  <c r="BB91" i="7"/>
  <c r="BC91" i="7" s="1"/>
  <c r="AZ90" i="7"/>
  <c r="AY91" i="7" s="1"/>
  <c r="BF89" i="7"/>
  <c r="BE90" i="7" s="1"/>
  <c r="CR92" i="7"/>
  <c r="CS92" i="7" s="1"/>
  <c r="GN90" i="7"/>
  <c r="GM91" i="7" s="1"/>
  <c r="GK90" i="7"/>
  <c r="GJ91" i="7" s="1"/>
  <c r="GG90" i="7"/>
  <c r="GH90" i="7" s="1"/>
  <c r="GE91" i="7"/>
  <c r="GD92" i="7" s="1"/>
  <c r="GB91" i="7"/>
  <c r="GA92" i="7" s="1"/>
  <c r="FX91" i="7"/>
  <c r="FY91" i="7" s="1"/>
  <c r="FV92" i="7"/>
  <c r="FU93" i="7" s="1"/>
  <c r="FR91" i="7"/>
  <c r="FS91" i="7" s="1"/>
  <c r="FO90" i="7"/>
  <c r="FP90" i="7" s="1"/>
  <c r="FL90" i="7"/>
  <c r="FM90" i="7" s="1"/>
  <c r="FJ91" i="7"/>
  <c r="FI92" i="7" s="1"/>
  <c r="FF90" i="7"/>
  <c r="FG90" i="7" s="1"/>
  <c r="FD90" i="7"/>
  <c r="FC91" i="7" s="1"/>
  <c r="FA91" i="7"/>
  <c r="EZ92" i="7" s="1"/>
  <c r="EX90" i="7"/>
  <c r="EW91" i="7" s="1"/>
  <c r="EU91" i="7"/>
  <c r="ET92" i="7" s="1"/>
  <c r="ER89" i="7"/>
  <c r="EQ90" i="7" s="1"/>
  <c r="EO90" i="7"/>
  <c r="EN91" i="7" s="1"/>
  <c r="EL90" i="7"/>
  <c r="EK91" i="7" s="1"/>
  <c r="EI91" i="7"/>
  <c r="EH92" i="7" s="1"/>
  <c r="EF90" i="7"/>
  <c r="EE91" i="7" s="1"/>
  <c r="EC91" i="7"/>
  <c r="EB92" i="7" s="1"/>
  <c r="DY91" i="7"/>
  <c r="DZ91" i="7" s="1"/>
  <c r="DT91" i="7"/>
  <c r="DS92" i="7" s="1"/>
  <c r="DQ90" i="7"/>
  <c r="DP91" i="7" s="1"/>
  <c r="DN91" i="7"/>
  <c r="DM92" i="7" s="1"/>
  <c r="DH90" i="7"/>
  <c r="DG91" i="7" s="1"/>
  <c r="CX91" i="7"/>
  <c r="CY91" i="7" s="1"/>
  <c r="C92" i="7"/>
  <c r="D92" i="7" s="1"/>
  <c r="CA94" i="7"/>
  <c r="BZ95" i="7" s="1"/>
  <c r="O94" i="7"/>
  <c r="P94" i="7" s="1"/>
  <c r="E94" i="6"/>
  <c r="F94" i="6" s="1"/>
  <c r="CP91" i="7" l="1"/>
  <c r="CO92" i="7" s="1"/>
  <c r="CM90" i="7"/>
  <c r="CL91" i="7" s="1"/>
  <c r="CJ89" i="7"/>
  <c r="CI90" i="7" s="1"/>
  <c r="CG91" i="7"/>
  <c r="CF92" i="7" s="1"/>
  <c r="CC92" i="7"/>
  <c r="CD92" i="7" s="1"/>
  <c r="BX91" i="7"/>
  <c r="BW92" i="7" s="1"/>
  <c r="BT90" i="7"/>
  <c r="BU90" i="7" s="1"/>
  <c r="BR90" i="7"/>
  <c r="BQ91" i="7" s="1"/>
  <c r="BN92" i="7"/>
  <c r="BO92" i="7" s="1"/>
  <c r="BK92" i="7"/>
  <c r="BL92" i="7" s="1"/>
  <c r="BH91" i="7"/>
  <c r="BI91" i="7" s="1"/>
  <c r="BB92" i="7"/>
  <c r="BC92" i="7" s="1"/>
  <c r="AZ91" i="7"/>
  <c r="AY92" i="7" s="1"/>
  <c r="BF90" i="7"/>
  <c r="BE91" i="7" s="1"/>
  <c r="CR93" i="7"/>
  <c r="CS93" i="7" s="1"/>
  <c r="GN91" i="7"/>
  <c r="GM92" i="7" s="1"/>
  <c r="GK91" i="7"/>
  <c r="GJ92" i="7" s="1"/>
  <c r="GG91" i="7"/>
  <c r="GH91" i="7" s="1"/>
  <c r="GE92" i="7"/>
  <c r="GD93" i="7" s="1"/>
  <c r="GB92" i="7"/>
  <c r="GA93" i="7" s="1"/>
  <c r="FX92" i="7"/>
  <c r="FY92" i="7" s="1"/>
  <c r="FV93" i="7"/>
  <c r="FU94" i="7" s="1"/>
  <c r="FR92" i="7"/>
  <c r="FS92" i="7" s="1"/>
  <c r="FO91" i="7"/>
  <c r="FP91" i="7" s="1"/>
  <c r="FL91" i="7"/>
  <c r="FM91" i="7" s="1"/>
  <c r="FJ92" i="7"/>
  <c r="FI93" i="7" s="1"/>
  <c r="FF91" i="7"/>
  <c r="FG91" i="7" s="1"/>
  <c r="FD91" i="7"/>
  <c r="FC92" i="7" s="1"/>
  <c r="FA92" i="7"/>
  <c r="EZ93" i="7" s="1"/>
  <c r="EX91" i="7"/>
  <c r="EW92" i="7" s="1"/>
  <c r="EU92" i="7"/>
  <c r="ET93" i="7" s="1"/>
  <c r="ER90" i="7"/>
  <c r="EQ91" i="7" s="1"/>
  <c r="EO91" i="7"/>
  <c r="EN92" i="7" s="1"/>
  <c r="EL91" i="7"/>
  <c r="EK92" i="7" s="1"/>
  <c r="EI92" i="7"/>
  <c r="EH93" i="7" s="1"/>
  <c r="EF91" i="7"/>
  <c r="EE92" i="7" s="1"/>
  <c r="EC92" i="7"/>
  <c r="EB93" i="7" s="1"/>
  <c r="DY92" i="7"/>
  <c r="DZ92" i="7" s="1"/>
  <c r="DT92" i="7"/>
  <c r="DS93" i="7" s="1"/>
  <c r="DQ91" i="7"/>
  <c r="DP92" i="7" s="1"/>
  <c r="DN92" i="7"/>
  <c r="DM93" i="7" s="1"/>
  <c r="DH91" i="7"/>
  <c r="DG92" i="7" s="1"/>
  <c r="CX92" i="7"/>
  <c r="CY92" i="7" s="1"/>
  <c r="C93" i="7"/>
  <c r="D93" i="7" s="1"/>
  <c r="CA95" i="7"/>
  <c r="BZ96" i="7" s="1"/>
  <c r="O95" i="7"/>
  <c r="P95" i="7" s="1"/>
  <c r="E95" i="6"/>
  <c r="F95" i="6" s="1"/>
  <c r="CP92" i="7" l="1"/>
  <c r="CO93" i="7" s="1"/>
  <c r="CM91" i="7"/>
  <c r="CL92" i="7" s="1"/>
  <c r="CJ90" i="7"/>
  <c r="CI91" i="7" s="1"/>
  <c r="CG92" i="7"/>
  <c r="CF93" i="7" s="1"/>
  <c r="CC93" i="7"/>
  <c r="CD93" i="7" s="1"/>
  <c r="BX92" i="7"/>
  <c r="BW93" i="7" s="1"/>
  <c r="BT91" i="7"/>
  <c r="BU91" i="7" s="1"/>
  <c r="BR91" i="7"/>
  <c r="BQ92" i="7" s="1"/>
  <c r="BN93" i="7"/>
  <c r="BO93" i="7" s="1"/>
  <c r="BK93" i="7"/>
  <c r="BL93" i="7" s="1"/>
  <c r="BH92" i="7"/>
  <c r="BI92" i="7" s="1"/>
  <c r="BB93" i="7"/>
  <c r="BC93" i="7" s="1"/>
  <c r="AZ92" i="7"/>
  <c r="AY93" i="7" s="1"/>
  <c r="BF91" i="7"/>
  <c r="BE92" i="7" s="1"/>
  <c r="CR94" i="7"/>
  <c r="CS94" i="7" s="1"/>
  <c r="GN92" i="7"/>
  <c r="GM93" i="7" s="1"/>
  <c r="GK92" i="7"/>
  <c r="GJ93" i="7" s="1"/>
  <c r="GG92" i="7"/>
  <c r="GH92" i="7" s="1"/>
  <c r="GE93" i="7"/>
  <c r="GD94" i="7" s="1"/>
  <c r="GB93" i="7"/>
  <c r="GA94" i="7" s="1"/>
  <c r="FX93" i="7"/>
  <c r="FY93" i="7" s="1"/>
  <c r="FV94" i="7"/>
  <c r="FU95" i="7" s="1"/>
  <c r="FR93" i="7"/>
  <c r="FS93" i="7" s="1"/>
  <c r="FO92" i="7"/>
  <c r="FP92" i="7" s="1"/>
  <c r="FL92" i="7"/>
  <c r="FM92" i="7" s="1"/>
  <c r="FJ93" i="7"/>
  <c r="FI94" i="7" s="1"/>
  <c r="FF92" i="7"/>
  <c r="FG92" i="7" s="1"/>
  <c r="FD92" i="7"/>
  <c r="FC93" i="7" s="1"/>
  <c r="FA93" i="7"/>
  <c r="EZ94" i="7" s="1"/>
  <c r="EX92" i="7"/>
  <c r="EW93" i="7" s="1"/>
  <c r="EU93" i="7"/>
  <c r="ET94" i="7" s="1"/>
  <c r="ER91" i="7"/>
  <c r="EQ92" i="7" s="1"/>
  <c r="EO92" i="7"/>
  <c r="EN93" i="7" s="1"/>
  <c r="EL92" i="7"/>
  <c r="EK93" i="7" s="1"/>
  <c r="EI93" i="7"/>
  <c r="EH94" i="7" s="1"/>
  <c r="EF92" i="7"/>
  <c r="EE93" i="7" s="1"/>
  <c r="EC93" i="7"/>
  <c r="EB94" i="7" s="1"/>
  <c r="DY93" i="7"/>
  <c r="DZ93" i="7" s="1"/>
  <c r="DT93" i="7"/>
  <c r="DS94" i="7" s="1"/>
  <c r="DQ92" i="7"/>
  <c r="DP93" i="7" s="1"/>
  <c r="DN93" i="7"/>
  <c r="DM94" i="7" s="1"/>
  <c r="DH92" i="7"/>
  <c r="DG93" i="7" s="1"/>
  <c r="CX93" i="7"/>
  <c r="CY93" i="7" s="1"/>
  <c r="C94" i="7"/>
  <c r="D94" i="7" s="1"/>
  <c r="CA96" i="7"/>
  <c r="BZ97" i="7" s="1"/>
  <c r="O96" i="7"/>
  <c r="P96" i="7" s="1"/>
  <c r="E96" i="6"/>
  <c r="F96" i="6" s="1"/>
  <c r="CP93" i="7" l="1"/>
  <c r="CO94" i="7" s="1"/>
  <c r="CM92" i="7"/>
  <c r="CL93" i="7" s="1"/>
  <c r="CJ91" i="7"/>
  <c r="CI92" i="7" s="1"/>
  <c r="CG93" i="7"/>
  <c r="CF94" i="7" s="1"/>
  <c r="CC94" i="7"/>
  <c r="CD94" i="7" s="1"/>
  <c r="BX93" i="7"/>
  <c r="BW94" i="7" s="1"/>
  <c r="BT92" i="7"/>
  <c r="BU92" i="7" s="1"/>
  <c r="BR92" i="7"/>
  <c r="BQ93" i="7" s="1"/>
  <c r="BN94" i="7"/>
  <c r="BO94" i="7" s="1"/>
  <c r="BK94" i="7"/>
  <c r="BL94" i="7" s="1"/>
  <c r="BH93" i="7"/>
  <c r="BI93" i="7" s="1"/>
  <c r="BB94" i="7"/>
  <c r="BC94" i="7" s="1"/>
  <c r="AZ93" i="7"/>
  <c r="AY94" i="7" s="1"/>
  <c r="BF92" i="7"/>
  <c r="BE93" i="7" s="1"/>
  <c r="CR95" i="7"/>
  <c r="CS95" i="7" s="1"/>
  <c r="GN93" i="7"/>
  <c r="GM94" i="7" s="1"/>
  <c r="GK93" i="7"/>
  <c r="GJ94" i="7" s="1"/>
  <c r="GG93" i="7"/>
  <c r="GH93" i="7" s="1"/>
  <c r="GE94" i="7"/>
  <c r="GD95" i="7" s="1"/>
  <c r="GB94" i="7"/>
  <c r="GA95" i="7" s="1"/>
  <c r="FX94" i="7"/>
  <c r="FY94" i="7" s="1"/>
  <c r="FV95" i="7"/>
  <c r="FU96" i="7" s="1"/>
  <c r="FR94" i="7"/>
  <c r="FS94" i="7" s="1"/>
  <c r="FO93" i="7"/>
  <c r="FP93" i="7" s="1"/>
  <c r="FL93" i="7"/>
  <c r="FM93" i="7" s="1"/>
  <c r="FJ94" i="7"/>
  <c r="FI95" i="7" s="1"/>
  <c r="FF93" i="7"/>
  <c r="FG93" i="7" s="1"/>
  <c r="FD93" i="7"/>
  <c r="FC94" i="7" s="1"/>
  <c r="FA94" i="7"/>
  <c r="EZ95" i="7" s="1"/>
  <c r="EX93" i="7"/>
  <c r="EW94" i="7" s="1"/>
  <c r="EU94" i="7"/>
  <c r="ET95" i="7" s="1"/>
  <c r="ER92" i="7"/>
  <c r="EQ93" i="7" s="1"/>
  <c r="EO93" i="7"/>
  <c r="EN94" i="7" s="1"/>
  <c r="EL93" i="7"/>
  <c r="EK94" i="7" s="1"/>
  <c r="EI94" i="7"/>
  <c r="EH95" i="7" s="1"/>
  <c r="EF93" i="7"/>
  <c r="EE94" i="7" s="1"/>
  <c r="EC94" i="7"/>
  <c r="EB95" i="7" s="1"/>
  <c r="DY94" i="7"/>
  <c r="DZ94" i="7" s="1"/>
  <c r="DT94" i="7"/>
  <c r="DS95" i="7" s="1"/>
  <c r="DQ93" i="7"/>
  <c r="DP94" i="7" s="1"/>
  <c r="DN94" i="7"/>
  <c r="DM95" i="7" s="1"/>
  <c r="DH93" i="7"/>
  <c r="DG94" i="7" s="1"/>
  <c r="CX94" i="7"/>
  <c r="CY94" i="7" s="1"/>
  <c r="C95" i="7"/>
  <c r="D95" i="7" s="1"/>
  <c r="CA97" i="7"/>
  <c r="BZ98" i="7" s="1"/>
  <c r="O97" i="7"/>
  <c r="P97" i="7" s="1"/>
  <c r="E97" i="6"/>
  <c r="F97" i="6" s="1"/>
  <c r="CP94" i="7" l="1"/>
  <c r="CO95" i="7" s="1"/>
  <c r="CM93" i="7"/>
  <c r="CL94" i="7" s="1"/>
  <c r="CJ92" i="7"/>
  <c r="CI93" i="7" s="1"/>
  <c r="CG94" i="7"/>
  <c r="CF95" i="7" s="1"/>
  <c r="CC95" i="7"/>
  <c r="CD95" i="7" s="1"/>
  <c r="BX94" i="7"/>
  <c r="BW95" i="7" s="1"/>
  <c r="BT93" i="7"/>
  <c r="BU93" i="7" s="1"/>
  <c r="BR93" i="7"/>
  <c r="BQ94" i="7" s="1"/>
  <c r="BN95" i="7"/>
  <c r="BO95" i="7" s="1"/>
  <c r="BK95" i="7"/>
  <c r="BL95" i="7" s="1"/>
  <c r="BH94" i="7"/>
  <c r="BI94" i="7" s="1"/>
  <c r="BB95" i="7"/>
  <c r="BC95" i="7" s="1"/>
  <c r="AZ94" i="7"/>
  <c r="AY95" i="7" s="1"/>
  <c r="BF93" i="7"/>
  <c r="BE94" i="7" s="1"/>
  <c r="CR96" i="7"/>
  <c r="CS96" i="7" s="1"/>
  <c r="GN94" i="7"/>
  <c r="GM95" i="7" s="1"/>
  <c r="GK94" i="7"/>
  <c r="GJ95" i="7" s="1"/>
  <c r="GG94" i="7"/>
  <c r="GH94" i="7" s="1"/>
  <c r="GE95" i="7"/>
  <c r="GD96" i="7" s="1"/>
  <c r="GB95" i="7"/>
  <c r="GA96" i="7" s="1"/>
  <c r="FX95" i="7"/>
  <c r="FY95" i="7" s="1"/>
  <c r="FV96" i="7"/>
  <c r="FU97" i="7" s="1"/>
  <c r="FR95" i="7"/>
  <c r="FS95" i="7" s="1"/>
  <c r="FO94" i="7"/>
  <c r="FP94" i="7" s="1"/>
  <c r="FL94" i="7"/>
  <c r="FM94" i="7" s="1"/>
  <c r="FJ95" i="7"/>
  <c r="FI96" i="7" s="1"/>
  <c r="FF94" i="7"/>
  <c r="FG94" i="7" s="1"/>
  <c r="FD94" i="7"/>
  <c r="FC95" i="7" s="1"/>
  <c r="FA95" i="7"/>
  <c r="EZ96" i="7" s="1"/>
  <c r="EX94" i="7"/>
  <c r="EW95" i="7" s="1"/>
  <c r="EU95" i="7"/>
  <c r="ET96" i="7" s="1"/>
  <c r="ER93" i="7"/>
  <c r="EQ94" i="7" s="1"/>
  <c r="EO94" i="7"/>
  <c r="EN95" i="7" s="1"/>
  <c r="EL94" i="7"/>
  <c r="EK95" i="7" s="1"/>
  <c r="EI95" i="7"/>
  <c r="EH96" i="7" s="1"/>
  <c r="EF94" i="7"/>
  <c r="EE95" i="7" s="1"/>
  <c r="EC95" i="7"/>
  <c r="EB96" i="7" s="1"/>
  <c r="DY95" i="7"/>
  <c r="DZ95" i="7" s="1"/>
  <c r="DT95" i="7"/>
  <c r="DS96" i="7" s="1"/>
  <c r="DQ94" i="7"/>
  <c r="DP95" i="7" s="1"/>
  <c r="DN95" i="7"/>
  <c r="DM96" i="7" s="1"/>
  <c r="DH94" i="7"/>
  <c r="DG95" i="7" s="1"/>
  <c r="CX95" i="7"/>
  <c r="CY95" i="7" s="1"/>
  <c r="C96" i="7"/>
  <c r="D96" i="7" s="1"/>
  <c r="CA98" i="7"/>
  <c r="BZ99" i="7" s="1"/>
  <c r="O98" i="7"/>
  <c r="P98" i="7" s="1"/>
  <c r="E98" i="6"/>
  <c r="F98" i="6" s="1"/>
  <c r="CP95" i="7" l="1"/>
  <c r="CO96" i="7" s="1"/>
  <c r="CM94" i="7"/>
  <c r="CL95" i="7" s="1"/>
  <c r="CJ93" i="7"/>
  <c r="CI94" i="7" s="1"/>
  <c r="CG95" i="7"/>
  <c r="CF96" i="7" s="1"/>
  <c r="CC96" i="7"/>
  <c r="CD96" i="7" s="1"/>
  <c r="BX95" i="7"/>
  <c r="BW96" i="7" s="1"/>
  <c r="BT94" i="7"/>
  <c r="BU94" i="7" s="1"/>
  <c r="BR94" i="7"/>
  <c r="BQ95" i="7" s="1"/>
  <c r="BN96" i="7"/>
  <c r="BO96" i="7" s="1"/>
  <c r="BK96" i="7"/>
  <c r="BL96" i="7" s="1"/>
  <c r="BH95" i="7"/>
  <c r="BI95" i="7" s="1"/>
  <c r="BB96" i="7"/>
  <c r="BC96" i="7" s="1"/>
  <c r="AZ95" i="7"/>
  <c r="AY96" i="7" s="1"/>
  <c r="BF94" i="7"/>
  <c r="BE95" i="7" s="1"/>
  <c r="CR97" i="7"/>
  <c r="CS97" i="7" s="1"/>
  <c r="GN95" i="7"/>
  <c r="GM96" i="7" s="1"/>
  <c r="GK95" i="7"/>
  <c r="GJ96" i="7" s="1"/>
  <c r="GG95" i="7"/>
  <c r="GH95" i="7" s="1"/>
  <c r="GE96" i="7"/>
  <c r="GD97" i="7" s="1"/>
  <c r="GB96" i="7"/>
  <c r="GA97" i="7" s="1"/>
  <c r="FX96" i="7"/>
  <c r="FY96" i="7" s="1"/>
  <c r="FV97" i="7"/>
  <c r="FU98" i="7" s="1"/>
  <c r="FR96" i="7"/>
  <c r="FS96" i="7" s="1"/>
  <c r="FO95" i="7"/>
  <c r="FP95" i="7" s="1"/>
  <c r="FL95" i="7"/>
  <c r="FM95" i="7" s="1"/>
  <c r="FJ96" i="7"/>
  <c r="FI97" i="7" s="1"/>
  <c r="FF95" i="7"/>
  <c r="FG95" i="7" s="1"/>
  <c r="FD95" i="7"/>
  <c r="FC96" i="7" s="1"/>
  <c r="FA96" i="7"/>
  <c r="EZ97" i="7" s="1"/>
  <c r="EX95" i="7"/>
  <c r="EW96" i="7" s="1"/>
  <c r="EU96" i="7"/>
  <c r="ET97" i="7" s="1"/>
  <c r="ER94" i="7"/>
  <c r="EQ95" i="7" s="1"/>
  <c r="EO95" i="7"/>
  <c r="EN96" i="7" s="1"/>
  <c r="EL95" i="7"/>
  <c r="EK96" i="7" s="1"/>
  <c r="EI96" i="7"/>
  <c r="EH97" i="7" s="1"/>
  <c r="EF95" i="7"/>
  <c r="EE96" i="7" s="1"/>
  <c r="EC96" i="7"/>
  <c r="EB97" i="7" s="1"/>
  <c r="DY96" i="7"/>
  <c r="DZ96" i="7" s="1"/>
  <c r="DT96" i="7"/>
  <c r="DS97" i="7" s="1"/>
  <c r="DQ95" i="7"/>
  <c r="DP96" i="7" s="1"/>
  <c r="DN96" i="7"/>
  <c r="DM97" i="7" s="1"/>
  <c r="DH95" i="7"/>
  <c r="DG96" i="7" s="1"/>
  <c r="CX96" i="7"/>
  <c r="CY96" i="7" s="1"/>
  <c r="C97" i="7"/>
  <c r="D97" i="7" s="1"/>
  <c r="CA99" i="7"/>
  <c r="BZ100" i="7" s="1"/>
  <c r="O99" i="7"/>
  <c r="P99" i="7" s="1"/>
  <c r="E99" i="6"/>
  <c r="F99" i="6" s="1"/>
  <c r="CP96" i="7" l="1"/>
  <c r="CO97" i="7" s="1"/>
  <c r="CM95" i="7"/>
  <c r="CL96" i="7" s="1"/>
  <c r="CJ94" i="7"/>
  <c r="CI95" i="7" s="1"/>
  <c r="CG96" i="7"/>
  <c r="CF97" i="7" s="1"/>
  <c r="CC97" i="7"/>
  <c r="CD97" i="7" s="1"/>
  <c r="BX96" i="7"/>
  <c r="BW97" i="7" s="1"/>
  <c r="BT95" i="7"/>
  <c r="BU95" i="7" s="1"/>
  <c r="BR95" i="7"/>
  <c r="BQ96" i="7" s="1"/>
  <c r="BN97" i="7"/>
  <c r="BO97" i="7" s="1"/>
  <c r="BK97" i="7"/>
  <c r="BL97" i="7" s="1"/>
  <c r="BH96" i="7"/>
  <c r="BI96" i="7" s="1"/>
  <c r="BB97" i="7"/>
  <c r="BC97" i="7" s="1"/>
  <c r="AZ96" i="7"/>
  <c r="AY97" i="7" s="1"/>
  <c r="BF95" i="7"/>
  <c r="BE96" i="7" s="1"/>
  <c r="CR98" i="7"/>
  <c r="CS98" i="7" s="1"/>
  <c r="GN96" i="7"/>
  <c r="GM97" i="7" s="1"/>
  <c r="GK96" i="7"/>
  <c r="GJ97" i="7" s="1"/>
  <c r="GG96" i="7"/>
  <c r="GH96" i="7" s="1"/>
  <c r="GE97" i="7"/>
  <c r="GD98" i="7" s="1"/>
  <c r="GB97" i="7"/>
  <c r="GA98" i="7" s="1"/>
  <c r="FX97" i="7"/>
  <c r="FY97" i="7" s="1"/>
  <c r="FV98" i="7"/>
  <c r="FU99" i="7" s="1"/>
  <c r="FR97" i="7"/>
  <c r="FS97" i="7" s="1"/>
  <c r="FO96" i="7"/>
  <c r="FP96" i="7" s="1"/>
  <c r="FL96" i="7"/>
  <c r="FM96" i="7" s="1"/>
  <c r="FJ97" i="7"/>
  <c r="FI98" i="7" s="1"/>
  <c r="FF96" i="7"/>
  <c r="FG96" i="7" s="1"/>
  <c r="FD96" i="7"/>
  <c r="FC97" i="7" s="1"/>
  <c r="FA97" i="7"/>
  <c r="EZ98" i="7" s="1"/>
  <c r="EX96" i="7"/>
  <c r="EW97" i="7" s="1"/>
  <c r="EU97" i="7"/>
  <c r="ET98" i="7" s="1"/>
  <c r="ER95" i="7"/>
  <c r="EQ96" i="7" s="1"/>
  <c r="EO96" i="7"/>
  <c r="EN97" i="7" s="1"/>
  <c r="EL96" i="7"/>
  <c r="EK97" i="7" s="1"/>
  <c r="EI97" i="7"/>
  <c r="EH98" i="7" s="1"/>
  <c r="EF96" i="7"/>
  <c r="EE97" i="7" s="1"/>
  <c r="EC97" i="7"/>
  <c r="EB98" i="7" s="1"/>
  <c r="DY97" i="7"/>
  <c r="DZ97" i="7" s="1"/>
  <c r="DT97" i="7"/>
  <c r="DS98" i="7" s="1"/>
  <c r="DQ96" i="7"/>
  <c r="DP97" i="7" s="1"/>
  <c r="DN97" i="7"/>
  <c r="DM98" i="7" s="1"/>
  <c r="DH96" i="7"/>
  <c r="DG97" i="7" s="1"/>
  <c r="CX97" i="7"/>
  <c r="CY97" i="7" s="1"/>
  <c r="C98" i="7"/>
  <c r="D98" i="7" s="1"/>
  <c r="CA100" i="7"/>
  <c r="BZ101" i="7" s="1"/>
  <c r="O100" i="7"/>
  <c r="P100" i="7" s="1"/>
  <c r="E100" i="6"/>
  <c r="F100" i="6" s="1"/>
  <c r="CP97" i="7" l="1"/>
  <c r="CO98" i="7" s="1"/>
  <c r="CM96" i="7"/>
  <c r="CL97" i="7" s="1"/>
  <c r="CJ95" i="7"/>
  <c r="CI96" i="7" s="1"/>
  <c r="CG97" i="7"/>
  <c r="CF98" i="7" s="1"/>
  <c r="CC98" i="7"/>
  <c r="CD98" i="7" s="1"/>
  <c r="BX97" i="7"/>
  <c r="BW98" i="7" s="1"/>
  <c r="BT96" i="7"/>
  <c r="BU96" i="7" s="1"/>
  <c r="BR96" i="7"/>
  <c r="BQ97" i="7" s="1"/>
  <c r="BN98" i="7"/>
  <c r="BO98" i="7" s="1"/>
  <c r="BK98" i="7"/>
  <c r="BL98" i="7" s="1"/>
  <c r="BH97" i="7"/>
  <c r="BI97" i="7" s="1"/>
  <c r="BB98" i="7"/>
  <c r="BC98" i="7" s="1"/>
  <c r="AZ97" i="7"/>
  <c r="AY98" i="7" s="1"/>
  <c r="BF96" i="7"/>
  <c r="BE97" i="7" s="1"/>
  <c r="CR99" i="7"/>
  <c r="CS99" i="7" s="1"/>
  <c r="GN97" i="7"/>
  <c r="GM98" i="7" s="1"/>
  <c r="GK97" i="7"/>
  <c r="GJ98" i="7" s="1"/>
  <c r="GG97" i="7"/>
  <c r="GH97" i="7" s="1"/>
  <c r="GE98" i="7"/>
  <c r="GD99" i="7" s="1"/>
  <c r="GB98" i="7"/>
  <c r="GA99" i="7" s="1"/>
  <c r="FX98" i="7"/>
  <c r="FY98" i="7" s="1"/>
  <c r="FV99" i="7"/>
  <c r="FU100" i="7" s="1"/>
  <c r="FR98" i="7"/>
  <c r="FS98" i="7" s="1"/>
  <c r="FO97" i="7"/>
  <c r="FP97" i="7" s="1"/>
  <c r="FL97" i="7"/>
  <c r="FM97" i="7" s="1"/>
  <c r="FJ98" i="7"/>
  <c r="FI99" i="7" s="1"/>
  <c r="FF97" i="7"/>
  <c r="FG97" i="7" s="1"/>
  <c r="FD97" i="7"/>
  <c r="FC98" i="7" s="1"/>
  <c r="FA98" i="7"/>
  <c r="EZ99" i="7" s="1"/>
  <c r="EX97" i="7"/>
  <c r="EW98" i="7" s="1"/>
  <c r="EU98" i="7"/>
  <c r="ET99" i="7" s="1"/>
  <c r="ER96" i="7"/>
  <c r="EQ97" i="7" s="1"/>
  <c r="EO97" i="7"/>
  <c r="EN98" i="7" s="1"/>
  <c r="EL97" i="7"/>
  <c r="EK98" i="7" s="1"/>
  <c r="EI98" i="7"/>
  <c r="EH99" i="7" s="1"/>
  <c r="EF97" i="7"/>
  <c r="EE98" i="7" s="1"/>
  <c r="EC98" i="7"/>
  <c r="EB99" i="7" s="1"/>
  <c r="DY98" i="7"/>
  <c r="DZ98" i="7" s="1"/>
  <c r="DT98" i="7"/>
  <c r="DS99" i="7" s="1"/>
  <c r="DQ97" i="7"/>
  <c r="DP98" i="7" s="1"/>
  <c r="DN98" i="7"/>
  <c r="DM99" i="7" s="1"/>
  <c r="DH97" i="7"/>
  <c r="DG98" i="7" s="1"/>
  <c r="CX98" i="7"/>
  <c r="CY98" i="7" s="1"/>
  <c r="C99" i="7"/>
  <c r="D99" i="7" s="1"/>
  <c r="CA101" i="7"/>
  <c r="BZ102" i="7" s="1"/>
  <c r="O101" i="7"/>
  <c r="P101" i="7" s="1"/>
  <c r="E101" i="6"/>
  <c r="F101" i="6" s="1"/>
  <c r="CP98" i="7" l="1"/>
  <c r="CO99" i="7" s="1"/>
  <c r="CM97" i="7"/>
  <c r="CL98" i="7" s="1"/>
  <c r="CJ96" i="7"/>
  <c r="CI97" i="7" s="1"/>
  <c r="CG98" i="7"/>
  <c r="CF99" i="7" s="1"/>
  <c r="CC99" i="7"/>
  <c r="CD99" i="7" s="1"/>
  <c r="BX98" i="7"/>
  <c r="BW99" i="7" s="1"/>
  <c r="BT97" i="7"/>
  <c r="BU97" i="7" s="1"/>
  <c r="BR97" i="7"/>
  <c r="BQ98" i="7" s="1"/>
  <c r="BN99" i="7"/>
  <c r="BO99" i="7" s="1"/>
  <c r="BK99" i="7"/>
  <c r="BL99" i="7" s="1"/>
  <c r="BH98" i="7"/>
  <c r="BI98" i="7" s="1"/>
  <c r="BB99" i="7"/>
  <c r="BC99" i="7" s="1"/>
  <c r="AZ98" i="7"/>
  <c r="AY99" i="7" s="1"/>
  <c r="BF97" i="7"/>
  <c r="BE98" i="7" s="1"/>
  <c r="CR100" i="7"/>
  <c r="CS100" i="7" s="1"/>
  <c r="GN98" i="7"/>
  <c r="GM99" i="7" s="1"/>
  <c r="GK98" i="7"/>
  <c r="GJ99" i="7" s="1"/>
  <c r="GG98" i="7"/>
  <c r="GH98" i="7" s="1"/>
  <c r="GE99" i="7"/>
  <c r="GD100" i="7" s="1"/>
  <c r="GB99" i="7"/>
  <c r="GA100" i="7" s="1"/>
  <c r="FX99" i="7"/>
  <c r="FY99" i="7" s="1"/>
  <c r="FV100" i="7"/>
  <c r="FU101" i="7" s="1"/>
  <c r="FR99" i="7"/>
  <c r="FS99" i="7" s="1"/>
  <c r="FO98" i="7"/>
  <c r="FP98" i="7" s="1"/>
  <c r="FL98" i="7"/>
  <c r="FM98" i="7" s="1"/>
  <c r="FJ99" i="7"/>
  <c r="FI100" i="7" s="1"/>
  <c r="FF98" i="7"/>
  <c r="FG98" i="7" s="1"/>
  <c r="FD98" i="7"/>
  <c r="FC99" i="7" s="1"/>
  <c r="FA99" i="7"/>
  <c r="EZ100" i="7" s="1"/>
  <c r="EX98" i="7"/>
  <c r="EW99" i="7" s="1"/>
  <c r="EU99" i="7"/>
  <c r="ET100" i="7" s="1"/>
  <c r="ER97" i="7"/>
  <c r="EQ98" i="7" s="1"/>
  <c r="EO98" i="7"/>
  <c r="EN99" i="7" s="1"/>
  <c r="EL98" i="7"/>
  <c r="EK99" i="7" s="1"/>
  <c r="EI99" i="7"/>
  <c r="EH100" i="7" s="1"/>
  <c r="EF98" i="7"/>
  <c r="EE99" i="7" s="1"/>
  <c r="EC99" i="7"/>
  <c r="EB100" i="7" s="1"/>
  <c r="DY99" i="7"/>
  <c r="DZ99" i="7" s="1"/>
  <c r="DT99" i="7"/>
  <c r="DS100" i="7" s="1"/>
  <c r="DQ98" i="7"/>
  <c r="DP99" i="7" s="1"/>
  <c r="DN99" i="7"/>
  <c r="DM100" i="7" s="1"/>
  <c r="DH98" i="7"/>
  <c r="DG99" i="7" s="1"/>
  <c r="CX99" i="7"/>
  <c r="CY99" i="7" s="1"/>
  <c r="C100" i="7"/>
  <c r="D100" i="7" s="1"/>
  <c r="CA102" i="7"/>
  <c r="BZ103" i="7" s="1"/>
  <c r="O102" i="7"/>
  <c r="P102" i="7" s="1"/>
  <c r="E102" i="6"/>
  <c r="F102" i="6" s="1"/>
  <c r="CP99" i="7" l="1"/>
  <c r="CO100" i="7" s="1"/>
  <c r="CM98" i="7"/>
  <c r="CL99" i="7" s="1"/>
  <c r="CJ97" i="7"/>
  <c r="CI98" i="7" s="1"/>
  <c r="CG99" i="7"/>
  <c r="CF100" i="7" s="1"/>
  <c r="CC100" i="7"/>
  <c r="CD100" i="7" s="1"/>
  <c r="BX99" i="7"/>
  <c r="BW100" i="7" s="1"/>
  <c r="BT98" i="7"/>
  <c r="BU98" i="7" s="1"/>
  <c r="BR98" i="7"/>
  <c r="BQ99" i="7" s="1"/>
  <c r="BN100" i="7"/>
  <c r="BO100" i="7" s="1"/>
  <c r="BK100" i="7"/>
  <c r="BL100" i="7" s="1"/>
  <c r="BH99" i="7"/>
  <c r="BI99" i="7" s="1"/>
  <c r="BB100" i="7"/>
  <c r="BC100" i="7" s="1"/>
  <c r="AZ99" i="7"/>
  <c r="AY100" i="7" s="1"/>
  <c r="BF98" i="7"/>
  <c r="BE99" i="7" s="1"/>
  <c r="CR101" i="7"/>
  <c r="CS101" i="7" s="1"/>
  <c r="GN99" i="7"/>
  <c r="GM100" i="7" s="1"/>
  <c r="GK99" i="7"/>
  <c r="GJ100" i="7" s="1"/>
  <c r="GG99" i="7"/>
  <c r="GH99" i="7" s="1"/>
  <c r="GE100" i="7"/>
  <c r="GD101" i="7" s="1"/>
  <c r="GB100" i="7"/>
  <c r="GA101" i="7" s="1"/>
  <c r="FX100" i="7"/>
  <c r="FY100" i="7" s="1"/>
  <c r="FV101" i="7"/>
  <c r="FU102" i="7" s="1"/>
  <c r="FR100" i="7"/>
  <c r="FS100" i="7" s="1"/>
  <c r="FO99" i="7"/>
  <c r="FP99" i="7" s="1"/>
  <c r="FL99" i="7"/>
  <c r="FM99" i="7" s="1"/>
  <c r="FJ100" i="7"/>
  <c r="FI101" i="7" s="1"/>
  <c r="FF99" i="7"/>
  <c r="FG99" i="7" s="1"/>
  <c r="FD99" i="7"/>
  <c r="FC100" i="7" s="1"/>
  <c r="FA100" i="7"/>
  <c r="EZ101" i="7" s="1"/>
  <c r="EX99" i="7"/>
  <c r="EW100" i="7" s="1"/>
  <c r="EU100" i="7"/>
  <c r="ET101" i="7" s="1"/>
  <c r="ER98" i="7"/>
  <c r="EQ99" i="7" s="1"/>
  <c r="EO99" i="7"/>
  <c r="EN100" i="7" s="1"/>
  <c r="EL99" i="7"/>
  <c r="EK100" i="7" s="1"/>
  <c r="EI100" i="7"/>
  <c r="EH101" i="7" s="1"/>
  <c r="EF99" i="7"/>
  <c r="EE100" i="7" s="1"/>
  <c r="EC100" i="7"/>
  <c r="EB101" i="7" s="1"/>
  <c r="DY100" i="7"/>
  <c r="DZ100" i="7" s="1"/>
  <c r="DT100" i="7"/>
  <c r="DS101" i="7" s="1"/>
  <c r="DQ99" i="7"/>
  <c r="DP100" i="7" s="1"/>
  <c r="DN100" i="7"/>
  <c r="DM101" i="7" s="1"/>
  <c r="DH99" i="7"/>
  <c r="DG100" i="7" s="1"/>
  <c r="CX100" i="7"/>
  <c r="CY100" i="7" s="1"/>
  <c r="C101" i="7"/>
  <c r="D101" i="7" s="1"/>
  <c r="O103" i="7"/>
  <c r="P103" i="7" s="1"/>
  <c r="E103" i="6"/>
  <c r="F103" i="6" s="1"/>
  <c r="CP100" i="7" l="1"/>
  <c r="CO101" i="7" s="1"/>
  <c r="CM99" i="7"/>
  <c r="CL100" i="7" s="1"/>
  <c r="CJ98" i="7"/>
  <c r="CI99" i="7" s="1"/>
  <c r="CG100" i="7"/>
  <c r="CF101" i="7" s="1"/>
  <c r="CC101" i="7"/>
  <c r="CD101" i="7" s="1"/>
  <c r="CA103" i="7"/>
  <c r="BX100" i="7"/>
  <c r="BW101" i="7" s="1"/>
  <c r="BT99" i="7"/>
  <c r="BU99" i="7" s="1"/>
  <c r="BR99" i="7"/>
  <c r="BQ100" i="7" s="1"/>
  <c r="BN101" i="7"/>
  <c r="BO101" i="7" s="1"/>
  <c r="BK101" i="7"/>
  <c r="BL101" i="7" s="1"/>
  <c r="BH100" i="7"/>
  <c r="BI100" i="7" s="1"/>
  <c r="BB101" i="7"/>
  <c r="BC101" i="7" s="1"/>
  <c r="AZ100" i="7"/>
  <c r="AY101" i="7" s="1"/>
  <c r="BF99" i="7"/>
  <c r="BE100" i="7" s="1"/>
  <c r="CR102" i="7"/>
  <c r="CS102" i="7" s="1"/>
  <c r="GN100" i="7"/>
  <c r="GM101" i="7" s="1"/>
  <c r="GK100" i="7"/>
  <c r="GJ101" i="7" s="1"/>
  <c r="GG100" i="7"/>
  <c r="GH100" i="7" s="1"/>
  <c r="GE101" i="7"/>
  <c r="GD102" i="7" s="1"/>
  <c r="GB101" i="7"/>
  <c r="GA102" i="7" s="1"/>
  <c r="FX101" i="7"/>
  <c r="FY101" i="7" s="1"/>
  <c r="FV102" i="7"/>
  <c r="FU103" i="7" s="1"/>
  <c r="FR101" i="7"/>
  <c r="FS101" i="7" s="1"/>
  <c r="FO100" i="7"/>
  <c r="FP100" i="7" s="1"/>
  <c r="FL100" i="7"/>
  <c r="FM100" i="7" s="1"/>
  <c r="FJ101" i="7"/>
  <c r="FI102" i="7" s="1"/>
  <c r="FF100" i="7"/>
  <c r="FG100" i="7" s="1"/>
  <c r="FD100" i="7"/>
  <c r="FC101" i="7" s="1"/>
  <c r="FA101" i="7"/>
  <c r="EZ102" i="7" s="1"/>
  <c r="EX100" i="7"/>
  <c r="EW101" i="7" s="1"/>
  <c r="EU101" i="7"/>
  <c r="ET102" i="7" s="1"/>
  <c r="ER99" i="7"/>
  <c r="EQ100" i="7" s="1"/>
  <c r="EO100" i="7"/>
  <c r="EN101" i="7" s="1"/>
  <c r="EL100" i="7"/>
  <c r="EK101" i="7" s="1"/>
  <c r="EI101" i="7"/>
  <c r="EH102" i="7" s="1"/>
  <c r="EF100" i="7"/>
  <c r="EE101" i="7" s="1"/>
  <c r="EC101" i="7"/>
  <c r="EB102" i="7" s="1"/>
  <c r="DY101" i="7"/>
  <c r="DZ101" i="7" s="1"/>
  <c r="DT101" i="7"/>
  <c r="DS102" i="7" s="1"/>
  <c r="DQ100" i="7"/>
  <c r="DP101" i="7" s="1"/>
  <c r="DN101" i="7"/>
  <c r="DM102" i="7" s="1"/>
  <c r="DH100" i="7"/>
  <c r="DG101" i="7" s="1"/>
  <c r="CX101" i="7"/>
  <c r="CY101" i="7" s="1"/>
  <c r="C102" i="7"/>
  <c r="D102" i="7" s="1"/>
  <c r="CP101" i="7" l="1"/>
  <c r="CO102" i="7" s="1"/>
  <c r="CM100" i="7"/>
  <c r="CL101" i="7" s="1"/>
  <c r="CJ99" i="7"/>
  <c r="CI100" i="7" s="1"/>
  <c r="CG101" i="7"/>
  <c r="CF102" i="7" s="1"/>
  <c r="CC102" i="7"/>
  <c r="CD102" i="7" s="1"/>
  <c r="BX101" i="7"/>
  <c r="BW102" i="7" s="1"/>
  <c r="BT100" i="7"/>
  <c r="BU100" i="7" s="1"/>
  <c r="BR100" i="7"/>
  <c r="BQ101" i="7" s="1"/>
  <c r="BN102" i="7"/>
  <c r="BO102" i="7" s="1"/>
  <c r="BK102" i="7"/>
  <c r="BL102" i="7" s="1"/>
  <c r="BH101" i="7"/>
  <c r="BI101" i="7" s="1"/>
  <c r="BB102" i="7"/>
  <c r="BC102" i="7" s="1"/>
  <c r="AZ101" i="7"/>
  <c r="AY102" i="7" s="1"/>
  <c r="BF100" i="7"/>
  <c r="BE101" i="7" s="1"/>
  <c r="CR103" i="7"/>
  <c r="CS103" i="7" s="1"/>
  <c r="GN101" i="7"/>
  <c r="GM102" i="7" s="1"/>
  <c r="GK101" i="7"/>
  <c r="GJ102" i="7" s="1"/>
  <c r="GG101" i="7"/>
  <c r="GH101" i="7" s="1"/>
  <c r="GE102" i="7"/>
  <c r="GD103" i="7" s="1"/>
  <c r="GB102" i="7"/>
  <c r="GA103" i="7" s="1"/>
  <c r="FX102" i="7"/>
  <c r="FY102" i="7" s="1"/>
  <c r="FV103" i="7"/>
  <c r="FR102" i="7"/>
  <c r="FS102" i="7" s="1"/>
  <c r="FO101" i="7"/>
  <c r="FP101" i="7" s="1"/>
  <c r="FL101" i="7"/>
  <c r="FM101" i="7" s="1"/>
  <c r="FJ102" i="7"/>
  <c r="FI103" i="7" s="1"/>
  <c r="FF101" i="7"/>
  <c r="FG101" i="7" s="1"/>
  <c r="FD101" i="7"/>
  <c r="FC102" i="7" s="1"/>
  <c r="FA102" i="7"/>
  <c r="EZ103" i="7" s="1"/>
  <c r="EX101" i="7"/>
  <c r="EW102" i="7" s="1"/>
  <c r="EU102" i="7"/>
  <c r="ET103" i="7" s="1"/>
  <c r="ER100" i="7"/>
  <c r="EQ101" i="7" s="1"/>
  <c r="EO101" i="7"/>
  <c r="EN102" i="7" s="1"/>
  <c r="EL101" i="7"/>
  <c r="EK102" i="7" s="1"/>
  <c r="EI102" i="7"/>
  <c r="EH103" i="7" s="1"/>
  <c r="EF101" i="7"/>
  <c r="EE102" i="7" s="1"/>
  <c r="EC102" i="7"/>
  <c r="EB103" i="7" s="1"/>
  <c r="DY102" i="7"/>
  <c r="DZ102" i="7" s="1"/>
  <c r="DT102" i="7"/>
  <c r="DS103" i="7" s="1"/>
  <c r="DQ101" i="7"/>
  <c r="DP102" i="7" s="1"/>
  <c r="DN102" i="7"/>
  <c r="DM103" i="7" s="1"/>
  <c r="DH101" i="7"/>
  <c r="DG102" i="7" s="1"/>
  <c r="CX102" i="7"/>
  <c r="CY102" i="7" s="1"/>
  <c r="C103" i="7"/>
  <c r="D103" i="7" s="1"/>
  <c r="C208" i="11" s="1"/>
  <c r="AA29" i="11" s="1"/>
  <c r="AA31" i="11" l="1"/>
  <c r="CP102" i="7"/>
  <c r="CO103" i="7" s="1"/>
  <c r="CM101" i="7"/>
  <c r="CL102" i="7" s="1"/>
  <c r="CJ100" i="7"/>
  <c r="CI101" i="7" s="1"/>
  <c r="CG102" i="7"/>
  <c r="CF103" i="7" s="1"/>
  <c r="CC103" i="7"/>
  <c r="BX102" i="7"/>
  <c r="BW103" i="7" s="1"/>
  <c r="BT101" i="7"/>
  <c r="BU101" i="7" s="1"/>
  <c r="BR101" i="7"/>
  <c r="BQ102" i="7" s="1"/>
  <c r="BN103" i="7"/>
  <c r="BK103" i="7"/>
  <c r="BH102" i="7"/>
  <c r="BI102" i="7" s="1"/>
  <c r="BB103" i="7"/>
  <c r="AZ102" i="7"/>
  <c r="AY103" i="7" s="1"/>
  <c r="BF101" i="7"/>
  <c r="BE102" i="7" s="1"/>
  <c r="GN102" i="7"/>
  <c r="GM103" i="7" s="1"/>
  <c r="GK102" i="7"/>
  <c r="GJ103" i="7" s="1"/>
  <c r="GG102" i="7"/>
  <c r="GH102" i="7" s="1"/>
  <c r="GE103" i="7"/>
  <c r="GB103" i="7"/>
  <c r="FX103" i="7"/>
  <c r="FR103" i="7"/>
  <c r="FO102" i="7"/>
  <c r="FP102" i="7" s="1"/>
  <c r="FL102" i="7"/>
  <c r="FM102" i="7" s="1"/>
  <c r="FJ103" i="7"/>
  <c r="FF102" i="7"/>
  <c r="FG102" i="7" s="1"/>
  <c r="FD102" i="7"/>
  <c r="FC103" i="7" s="1"/>
  <c r="FA103" i="7"/>
  <c r="EX102" i="7"/>
  <c r="EW103" i="7" s="1"/>
  <c r="EU103" i="7"/>
  <c r="ER101" i="7"/>
  <c r="EQ102" i="7" s="1"/>
  <c r="EO102" i="7"/>
  <c r="EN103" i="7" s="1"/>
  <c r="EL102" i="7"/>
  <c r="EK103" i="7" s="1"/>
  <c r="EI103" i="7"/>
  <c r="EF102" i="7"/>
  <c r="EE103" i="7" s="1"/>
  <c r="EC103" i="7"/>
  <c r="DY103" i="7"/>
  <c r="DT103" i="7"/>
  <c r="DQ102" i="7"/>
  <c r="DP103" i="7" s="1"/>
  <c r="DN103" i="7"/>
  <c r="DH102" i="7"/>
  <c r="DG103" i="7" s="1"/>
  <c r="CX103" i="7"/>
  <c r="CY103" i="7" s="1"/>
  <c r="AA34" i="11" l="1"/>
  <c r="AA32" i="11" s="1"/>
  <c r="CP103" i="7"/>
  <c r="CM102" i="7"/>
  <c r="CL103" i="7" s="1"/>
  <c r="CJ101" i="7"/>
  <c r="CI102" i="7" s="1"/>
  <c r="CG103" i="7"/>
  <c r="CD103" i="7"/>
  <c r="BX103" i="7"/>
  <c r="BT102" i="7"/>
  <c r="BU102" i="7" s="1"/>
  <c r="BR102" i="7"/>
  <c r="BQ103" i="7" s="1"/>
  <c r="BO103" i="7"/>
  <c r="BL103" i="7"/>
  <c r="BH103" i="7"/>
  <c r="BC103" i="7"/>
  <c r="AZ103" i="7"/>
  <c r="BF102" i="7"/>
  <c r="BE103" i="7" s="1"/>
  <c r="GN103" i="7"/>
  <c r="GK103" i="7"/>
  <c r="GG103" i="7"/>
  <c r="FY103" i="7"/>
  <c r="FS103" i="7"/>
  <c r="FO103" i="7"/>
  <c r="FL103" i="7"/>
  <c r="FF103" i="7"/>
  <c r="FD103" i="7"/>
  <c r="EX103" i="7"/>
  <c r="ER102" i="7"/>
  <c r="EQ103" i="7" s="1"/>
  <c r="EO103" i="7"/>
  <c r="EL103" i="7"/>
  <c r="EF103" i="7"/>
  <c r="DZ103" i="7"/>
  <c r="DQ103" i="7"/>
  <c r="DH103" i="7"/>
  <c r="AA30" i="11" l="1"/>
  <c r="AA35" i="11"/>
  <c r="CM103" i="7"/>
  <c r="CJ102" i="7"/>
  <c r="CI103" i="7" s="1"/>
  <c r="BT103" i="7"/>
  <c r="BR103" i="7"/>
  <c r="BI103" i="7"/>
  <c r="BF103" i="7"/>
  <c r="GH103" i="7"/>
  <c r="FP103" i="7"/>
  <c r="FM103" i="7"/>
  <c r="FG103" i="7"/>
  <c r="ER103" i="7"/>
  <c r="CJ103" i="7" l="1"/>
  <c r="BU103" i="7"/>
</calcChain>
</file>

<file path=xl/sharedStrings.xml><?xml version="1.0" encoding="utf-8"?>
<sst xmlns="http://schemas.openxmlformats.org/spreadsheetml/2006/main" count="1415" uniqueCount="516">
  <si>
    <t>CMS</t>
  </si>
  <si>
    <t>kg</t>
  </si>
  <si>
    <t>NDT</t>
  </si>
  <si>
    <t>ED</t>
  </si>
  <si>
    <t>EM</t>
  </si>
  <si>
    <t>EMm</t>
  </si>
  <si>
    <t>EMg</t>
  </si>
  <si>
    <t>EL</t>
  </si>
  <si>
    <t>ELm</t>
  </si>
  <si>
    <t>ELg</t>
  </si>
  <si>
    <t>km</t>
  </si>
  <si>
    <t>Raça</t>
  </si>
  <si>
    <t>Zebuíno</t>
  </si>
  <si>
    <t>Leite</t>
  </si>
  <si>
    <t>PB</t>
  </si>
  <si>
    <t>g</t>
  </si>
  <si>
    <t>Categoria</t>
  </si>
  <si>
    <t>Macho não castrado</t>
  </si>
  <si>
    <t>PDR</t>
  </si>
  <si>
    <t>Pasto</t>
  </si>
  <si>
    <t>PBmic</t>
  </si>
  <si>
    <t>PNDR</t>
  </si>
  <si>
    <t>PM</t>
  </si>
  <si>
    <t>PMm</t>
  </si>
  <si>
    <t>PMg</t>
  </si>
  <si>
    <t>PLg</t>
  </si>
  <si>
    <t>k</t>
  </si>
  <si>
    <t>Ca</t>
  </si>
  <si>
    <t>P</t>
  </si>
  <si>
    <t>Mg</t>
  </si>
  <si>
    <t>K</t>
  </si>
  <si>
    <t>Na</t>
  </si>
  <si>
    <t>Enxofre</t>
  </si>
  <si>
    <t>S</t>
  </si>
  <si>
    <t>Cobalto</t>
  </si>
  <si>
    <t>Co</t>
  </si>
  <si>
    <t>Cobre</t>
  </si>
  <si>
    <t>Cu</t>
  </si>
  <si>
    <t>Ferro</t>
  </si>
  <si>
    <t>Fe</t>
  </si>
  <si>
    <t>Manganês</t>
  </si>
  <si>
    <t>Mn</t>
  </si>
  <si>
    <t>Selênio</t>
  </si>
  <si>
    <t>Se</t>
  </si>
  <si>
    <t>Zinco</t>
  </si>
  <si>
    <t>Zn</t>
  </si>
  <si>
    <t>PCJ</t>
  </si>
  <si>
    <t>PCVZ</t>
  </si>
  <si>
    <t>GPCVZ</t>
  </si>
  <si>
    <t>PCVZeq</t>
  </si>
  <si>
    <t>Corte</t>
  </si>
  <si>
    <t>Cruzado</t>
  </si>
  <si>
    <t>Elg</t>
  </si>
  <si>
    <t>ERp</t>
  </si>
  <si>
    <t>Macho castrado</t>
  </si>
  <si>
    <t>Fêmea</t>
  </si>
  <si>
    <t>Confinamento</t>
  </si>
  <si>
    <t>Ca g</t>
  </si>
  <si>
    <t>Ca m</t>
  </si>
  <si>
    <t>P m</t>
  </si>
  <si>
    <t>Mg m</t>
  </si>
  <si>
    <t>Na m</t>
  </si>
  <si>
    <t>Ef.Mic.</t>
  </si>
  <si>
    <t>Molibdênio</t>
  </si>
  <si>
    <t>Cromo</t>
  </si>
  <si>
    <t>Cr</t>
  </si>
  <si>
    <t>Mo</t>
  </si>
  <si>
    <t>CMS, kg</t>
  </si>
  <si>
    <t>Energia</t>
  </si>
  <si>
    <t>GMD, kg</t>
  </si>
  <si>
    <t>Raças</t>
  </si>
  <si>
    <t>Sexos</t>
  </si>
  <si>
    <t>PC médio, kg</t>
  </si>
  <si>
    <t>Cons água</t>
  </si>
  <si>
    <t>Dias</t>
  </si>
  <si>
    <t>Comercial</t>
  </si>
  <si>
    <t>Experimental</t>
  </si>
  <si>
    <t>Abate</t>
  </si>
  <si>
    <t>Inicial</t>
  </si>
  <si>
    <t>Final</t>
  </si>
  <si>
    <t>Sistema</t>
  </si>
  <si>
    <t>Médio</t>
  </si>
  <si>
    <t>Ef abate</t>
  </si>
  <si>
    <t>Ef sexo</t>
  </si>
  <si>
    <t>Ef raça</t>
  </si>
  <si>
    <t>Pcarc in</t>
  </si>
  <si>
    <t>Pcarc final</t>
  </si>
  <si>
    <t>Ganho Carc</t>
  </si>
  <si>
    <t>PCVZequivalente</t>
  </si>
  <si>
    <t>CruzCorte</t>
  </si>
  <si>
    <t>CruzLeite</t>
  </si>
  <si>
    <t>ELg conf</t>
  </si>
  <si>
    <t>ELg past</t>
  </si>
  <si>
    <t>NDT, %</t>
  </si>
  <si>
    <t>Proteína</t>
  </si>
  <si>
    <t>PDR, %pb</t>
  </si>
  <si>
    <t>PB, %</t>
  </si>
  <si>
    <t>PNDR, %pb</t>
  </si>
  <si>
    <t>PDR, %</t>
  </si>
  <si>
    <t>PNDR, %</t>
  </si>
  <si>
    <t>Umidade, %</t>
  </si>
  <si>
    <t>Peso corporal</t>
  </si>
  <si>
    <t>Peso de Carcaça (Benedeti, 2020)</t>
  </si>
  <si>
    <t>NDT, kg</t>
  </si>
  <si>
    <t>km conf</t>
  </si>
  <si>
    <t>km pasto</t>
  </si>
  <si>
    <t>Coef retenc</t>
  </si>
  <si>
    <t>Cálcio</t>
  </si>
  <si>
    <t>Ca Zebu g</t>
  </si>
  <si>
    <t>Ca Cruz g</t>
  </si>
  <si>
    <t>Ca tot</t>
  </si>
  <si>
    <t>Ca, g</t>
  </si>
  <si>
    <t>Fóforo</t>
  </si>
  <si>
    <t xml:space="preserve">P Zebu g </t>
  </si>
  <si>
    <t>P Crz g</t>
  </si>
  <si>
    <t>P tot</t>
  </si>
  <si>
    <t>Coef. Ret.</t>
  </si>
  <si>
    <t>P, g</t>
  </si>
  <si>
    <t>Relação Ca/P</t>
  </si>
  <si>
    <t>Magnésio</t>
  </si>
  <si>
    <t xml:space="preserve">Mg Zebu g </t>
  </si>
  <si>
    <t>Mg Crz g</t>
  </si>
  <si>
    <t>Mg tot</t>
  </si>
  <si>
    <t>Mg, g</t>
  </si>
  <si>
    <t>Sódio</t>
  </si>
  <si>
    <t xml:space="preserve">Na Zebu g </t>
  </si>
  <si>
    <t>Na Crz g</t>
  </si>
  <si>
    <t>Na tot</t>
  </si>
  <si>
    <t>Na, g</t>
  </si>
  <si>
    <t>Potássio</t>
  </si>
  <si>
    <t>K m</t>
  </si>
  <si>
    <t xml:space="preserve">K Zebu g </t>
  </si>
  <si>
    <t>K Crz g</t>
  </si>
  <si>
    <t>K tot</t>
  </si>
  <si>
    <t>K, g</t>
  </si>
  <si>
    <t>S m</t>
  </si>
  <si>
    <t>S tot</t>
  </si>
  <si>
    <t>S, g</t>
  </si>
  <si>
    <t xml:space="preserve">S g </t>
  </si>
  <si>
    <t>Cu m</t>
  </si>
  <si>
    <t xml:space="preserve">Cu g </t>
  </si>
  <si>
    <t>Cu tot</t>
  </si>
  <si>
    <t>Cu, mg</t>
  </si>
  <si>
    <t>Co m</t>
  </si>
  <si>
    <t xml:space="preserve">Co g </t>
  </si>
  <si>
    <t>Co tot</t>
  </si>
  <si>
    <t>Co, mg</t>
  </si>
  <si>
    <t>Cr m</t>
  </si>
  <si>
    <t xml:space="preserve">Cr g </t>
  </si>
  <si>
    <t>Cr tot</t>
  </si>
  <si>
    <t>Cr, mg</t>
  </si>
  <si>
    <t>Fe m</t>
  </si>
  <si>
    <t xml:space="preserve">Fe g </t>
  </si>
  <si>
    <t>Fe tot</t>
  </si>
  <si>
    <t>Fe, mg</t>
  </si>
  <si>
    <t>Mn m</t>
  </si>
  <si>
    <t xml:space="preserve">Mn g </t>
  </si>
  <si>
    <t>Mn tot</t>
  </si>
  <si>
    <t>Mn, mg</t>
  </si>
  <si>
    <t>Mo m</t>
  </si>
  <si>
    <t xml:space="preserve">Mo g </t>
  </si>
  <si>
    <t>Mo tot</t>
  </si>
  <si>
    <t>Mo, mg</t>
  </si>
  <si>
    <t>Se m</t>
  </si>
  <si>
    <t xml:space="preserve">Se g </t>
  </si>
  <si>
    <t>Se tot</t>
  </si>
  <si>
    <t>Se, mg</t>
  </si>
  <si>
    <t>Zn m</t>
  </si>
  <si>
    <t xml:space="preserve">Zn g </t>
  </si>
  <si>
    <t>Zn tot</t>
  </si>
  <si>
    <t>Zn, mg</t>
  </si>
  <si>
    <t>Ca/P</t>
  </si>
  <si>
    <t>g/kg GPCVZ</t>
  </si>
  <si>
    <t>Arginina</t>
  </si>
  <si>
    <t>Ef. Util., %</t>
  </si>
  <si>
    <t>Arg. g/dia</t>
  </si>
  <si>
    <t>Histidina</t>
  </si>
  <si>
    <t>Hist. g/dia</t>
  </si>
  <si>
    <t>Isoleucina</t>
  </si>
  <si>
    <t>Isole. g/dia</t>
  </si>
  <si>
    <t>Leucina</t>
  </si>
  <si>
    <t>Lisina</t>
  </si>
  <si>
    <t>Lis. g/dia</t>
  </si>
  <si>
    <t>Leuc. g/dia</t>
  </si>
  <si>
    <t>Met. g/dia</t>
  </si>
  <si>
    <t>Metionina</t>
  </si>
  <si>
    <t>Fenilalanina</t>
  </si>
  <si>
    <t>Fenila. g/dia</t>
  </si>
  <si>
    <t>Treonina</t>
  </si>
  <si>
    <t>Treo. g/dia</t>
  </si>
  <si>
    <t>Triptofano</t>
  </si>
  <si>
    <t>Tript. g/dia</t>
  </si>
  <si>
    <t>Valina</t>
  </si>
  <si>
    <t>Val. g/dia</t>
  </si>
  <si>
    <t>Alanina</t>
  </si>
  <si>
    <t>Alan. g/dia</t>
  </si>
  <si>
    <t>Ácido Aspártico</t>
  </si>
  <si>
    <t>Ac asp. g/dia</t>
  </si>
  <si>
    <t>Cist. g/dia</t>
  </si>
  <si>
    <t>Cistina</t>
  </si>
  <si>
    <t>Ácido glutâmico</t>
  </si>
  <si>
    <t>Ac glut. g/dia</t>
  </si>
  <si>
    <t>Glicina</t>
  </si>
  <si>
    <t>Prolina</t>
  </si>
  <si>
    <t>Glic. g/dia</t>
  </si>
  <si>
    <t>Prol. g/dia</t>
  </si>
  <si>
    <t>Serina</t>
  </si>
  <si>
    <t>Serin. g/dia</t>
  </si>
  <si>
    <t>Tirosina</t>
  </si>
  <si>
    <t>Tiros. g/dia</t>
  </si>
  <si>
    <t>Arg</t>
  </si>
  <si>
    <t>Leu</t>
  </si>
  <si>
    <t>Met</t>
  </si>
  <si>
    <t>Verao, L/dia</t>
  </si>
  <si>
    <t>Inverno, L/dia</t>
  </si>
  <si>
    <t>Primípara</t>
  </si>
  <si>
    <t>Multípara</t>
  </si>
  <si>
    <t>Semana de lactação</t>
  </si>
  <si>
    <t>Prod. Leite, kg</t>
  </si>
  <si>
    <t>Multip</t>
  </si>
  <si>
    <t>Primi</t>
  </si>
  <si>
    <t>Sem Lac</t>
  </si>
  <si>
    <t>PCJ, kg</t>
  </si>
  <si>
    <t>PCVZ, kg</t>
  </si>
  <si>
    <t>EM1</t>
  </si>
  <si>
    <t>EMt</t>
  </si>
  <si>
    <t>PMt</t>
  </si>
  <si>
    <t>CMS, g/kg PC</t>
  </si>
  <si>
    <t>ELm, Mcal</t>
  </si>
  <si>
    <t>kl=km</t>
  </si>
  <si>
    <t>ELl,Mcal/kg Lei</t>
  </si>
  <si>
    <t>ELl, Mcal</t>
  </si>
  <si>
    <t>PMl,g</t>
  </si>
  <si>
    <t>Ca lac</t>
  </si>
  <si>
    <t xml:space="preserve">P g </t>
  </si>
  <si>
    <t>P lac</t>
  </si>
  <si>
    <t xml:space="preserve">Mg g </t>
  </si>
  <si>
    <t>Mg lac</t>
  </si>
  <si>
    <t xml:space="preserve">Na g </t>
  </si>
  <si>
    <t>Na lac</t>
  </si>
  <si>
    <t xml:space="preserve">K g </t>
  </si>
  <si>
    <t>K lac</t>
  </si>
  <si>
    <t>S lac</t>
  </si>
  <si>
    <t>Cu lac</t>
  </si>
  <si>
    <t>Co lac</t>
  </si>
  <si>
    <t>Cr lac</t>
  </si>
  <si>
    <t>Fe lac</t>
  </si>
  <si>
    <t>Mn lac</t>
  </si>
  <si>
    <t>Zn lac</t>
  </si>
  <si>
    <t>Prpdução de Leite, Kg</t>
  </si>
  <si>
    <t>ndt</t>
  </si>
  <si>
    <t>Pbmic</t>
  </si>
  <si>
    <t>PL</t>
  </si>
  <si>
    <t>MS leite</t>
  </si>
  <si>
    <t>CMS leite</t>
  </si>
  <si>
    <t>GMD bez</t>
  </si>
  <si>
    <t>PC bez</t>
  </si>
  <si>
    <t>CMSsol</t>
  </si>
  <si>
    <t>CMS tot</t>
  </si>
  <si>
    <t>PCj</t>
  </si>
  <si>
    <t>EM g</t>
  </si>
  <si>
    <t>EM t</t>
  </si>
  <si>
    <t>PM m</t>
  </si>
  <si>
    <t>CPBleite</t>
  </si>
  <si>
    <t>CNDTleite</t>
  </si>
  <si>
    <t>Produção de Leite, Kg</t>
  </si>
  <si>
    <t>CMS leite, %</t>
  </si>
  <si>
    <t>CMS sol, %</t>
  </si>
  <si>
    <t>PC</t>
  </si>
  <si>
    <t>GMD</t>
  </si>
  <si>
    <t>si</t>
  </si>
  <si>
    <t>sp</t>
  </si>
  <si>
    <t>Produção Leite, Kg</t>
  </si>
  <si>
    <t>VACAS</t>
  </si>
  <si>
    <t>MINERAIS</t>
  </si>
  <si>
    <t>CNDT sol</t>
  </si>
  <si>
    <t>NDT sol, %</t>
  </si>
  <si>
    <t>Km</t>
  </si>
  <si>
    <t>K TOTAL</t>
  </si>
  <si>
    <t>K (pele)</t>
  </si>
  <si>
    <t>K (salivar)</t>
  </si>
  <si>
    <t>K (urinária)</t>
  </si>
  <si>
    <t>K (fecal)</t>
  </si>
  <si>
    <t>K g</t>
  </si>
  <si>
    <t>Na TOTAL</t>
  </si>
  <si>
    <t>Na g (FÊMEA)</t>
  </si>
  <si>
    <t>Na g (MI e MC)</t>
  </si>
  <si>
    <t>Mg TOTAL</t>
  </si>
  <si>
    <t>Mg g</t>
  </si>
  <si>
    <t>P TOTAL</t>
  </si>
  <si>
    <t>P g</t>
  </si>
  <si>
    <t>Ca TOTAL</t>
  </si>
  <si>
    <t>Zebuíno INTEIRO</t>
  </si>
  <si>
    <t>PASTO</t>
  </si>
  <si>
    <t>CONFINAMENTO</t>
  </si>
  <si>
    <t>MACROMINERAIS</t>
  </si>
  <si>
    <t>PM total</t>
  </si>
  <si>
    <t>k (PVJ &gt; 350 kg)</t>
  </si>
  <si>
    <t>k (PVJ &lt;= 350 kg)</t>
  </si>
  <si>
    <t>PLg dependendo do sexo</t>
  </si>
  <si>
    <t>PLg (fêmeas)</t>
  </si>
  <si>
    <t>PLg (macho castrado)</t>
  </si>
  <si>
    <t>PLg (Macho não castrado)</t>
  </si>
  <si>
    <t>ER dependendo do sexo</t>
  </si>
  <si>
    <t>ER (fêmeas)</t>
  </si>
  <si>
    <t>ER (macho castrado)</t>
  </si>
  <si>
    <t>ER</t>
  </si>
  <si>
    <t>ER (Macho não castrado)</t>
  </si>
  <si>
    <t>PROTEÍNA</t>
  </si>
  <si>
    <t>EL dependendo do sexo</t>
  </si>
  <si>
    <t>EMtotal</t>
  </si>
  <si>
    <t>Zebuíno out.</t>
  </si>
  <si>
    <t>Kg</t>
  </si>
  <si>
    <t>ELg (fêmeas)</t>
  </si>
  <si>
    <t>ELg (macho castrado)</t>
  </si>
  <si>
    <t>ELg(m. i.)</t>
  </si>
  <si>
    <t>ELg (Macho não castrado)</t>
  </si>
  <si>
    <t>ENERGIA</t>
  </si>
  <si>
    <t>BRCORTE 2010</t>
  </si>
  <si>
    <t>Nag</t>
  </si>
  <si>
    <t>Mgg</t>
  </si>
  <si>
    <t>Pg</t>
  </si>
  <si>
    <t>Cag</t>
  </si>
  <si>
    <t>PLg dependendo da raca</t>
  </si>
  <si>
    <t>PLg, Femeas</t>
  </si>
  <si>
    <t>PLg, Machos castrados</t>
  </si>
  <si>
    <t>PLg, Machos nao castrados</t>
  </si>
  <si>
    <t xml:space="preserve">Corte </t>
  </si>
  <si>
    <t>PROTEINA</t>
  </si>
  <si>
    <t>EMm dependendo da raca</t>
  </si>
  <si>
    <t>km dependendo da raça</t>
  </si>
  <si>
    <t>ELg dependendo da raca</t>
  </si>
  <si>
    <t>PCVZeq dependendo do sexo</t>
  </si>
  <si>
    <t>PCVZeq, Femeas</t>
  </si>
  <si>
    <t>ELg dep. da raca</t>
  </si>
  <si>
    <t>PCVZeq, Machos castrados</t>
  </si>
  <si>
    <t>PCVZeq, Machos nao castrados</t>
  </si>
  <si>
    <t>PCVZ dependendo do sexo</t>
  </si>
  <si>
    <t>PCVZ, Femeas</t>
  </si>
  <si>
    <t>PCVZ, Machos castrados</t>
  </si>
  <si>
    <t>PCVZ, Machos nao castrados</t>
  </si>
  <si>
    <t>BRCORTE 2016</t>
  </si>
  <si>
    <t>NEga</t>
  </si>
  <si>
    <t>%</t>
  </si>
  <si>
    <t>Eficiência de Utilização de Energia Metabolizável para Ganho</t>
  </si>
  <si>
    <t>NEma</t>
  </si>
  <si>
    <t>Eficiência de Utilização de Energia Metabolizável para Mantença</t>
  </si>
  <si>
    <t>Mcal</t>
  </si>
  <si>
    <t>Energia Metabolizável (Ganho)</t>
  </si>
  <si>
    <t>Fat-free TDN</t>
  </si>
  <si>
    <t>Energia Metabolizável (Mantença)</t>
  </si>
  <si>
    <t>CMS, %BW</t>
  </si>
  <si>
    <t>Eficiência de Utilização de Proteína Metabolizável para Ganho</t>
  </si>
  <si>
    <t>EGBW</t>
  </si>
  <si>
    <t>-</t>
  </si>
  <si>
    <t>EQEBW</t>
  </si>
  <si>
    <t>mg</t>
  </si>
  <si>
    <t>FAPEMIG</t>
  </si>
  <si>
    <t>CAPES</t>
  </si>
  <si>
    <t>I</t>
  </si>
  <si>
    <t>Iodo</t>
  </si>
  <si>
    <t>CNPq</t>
  </si>
  <si>
    <t>INCT - Ciência Animal</t>
  </si>
  <si>
    <t>Apoio:</t>
  </si>
  <si>
    <t>Sódio (Ganho)</t>
  </si>
  <si>
    <t>Nam</t>
  </si>
  <si>
    <t>Sódio (Mantença)</t>
  </si>
  <si>
    <t>Sódio (Total)</t>
  </si>
  <si>
    <t>BENEDETI, P.D.B., PRADOS, L.F., COSTA E SILVA, L.F., LOPES, S.A., VALADARES FILHO, S.C. Planilha para cálculo das exigências nutricionais de bovinos em crescimento e terminação (BR-Corte 2010 e BR-Corte 2016). 2016. Disponível em www.brcorte.com.br. Acesso em…</t>
  </si>
  <si>
    <t>Potássio (Ganho)</t>
  </si>
  <si>
    <t>Citação:</t>
  </si>
  <si>
    <t>Potássio (Mantença)</t>
  </si>
  <si>
    <t>Potássio (Total)</t>
  </si>
  <si>
    <t>Sebastião de Campos Valadares Filho</t>
  </si>
  <si>
    <t>Magnésio (Ganho)</t>
  </si>
  <si>
    <t>Sidnei Antonio Lopes</t>
  </si>
  <si>
    <t>Mgm</t>
  </si>
  <si>
    <t>Magnésio (Mantença)</t>
  </si>
  <si>
    <t>Luiz Fernando Costa e Silva</t>
  </si>
  <si>
    <t>Magnésio (Total)</t>
  </si>
  <si>
    <t>Laura Franco Prados</t>
  </si>
  <si>
    <t>Fósforo (Ganho)</t>
  </si>
  <si>
    <t>Pedro Del Bianco Benedeti</t>
  </si>
  <si>
    <t>Pm</t>
  </si>
  <si>
    <t>Fósforo (Mantença)</t>
  </si>
  <si>
    <t>Autores:</t>
  </si>
  <si>
    <t>Fósforo (Total)</t>
  </si>
  <si>
    <t>AUTORES E CITAÇÃO</t>
  </si>
  <si>
    <t>Cálcio (Ganho)</t>
  </si>
  <si>
    <t>Cam</t>
  </si>
  <si>
    <t>Cálcio (Mantença)</t>
  </si>
  <si>
    <t>Cálcio (Total)</t>
  </si>
  <si>
    <t>Extrato etério da dieta, % (NRC 2016)</t>
  </si>
  <si>
    <t>NPg</t>
  </si>
  <si>
    <t>Proteína Líquida de ganho</t>
  </si>
  <si>
    <t>EM da dieta, Mcal/kg (NRC 2016)</t>
  </si>
  <si>
    <t>MPg</t>
  </si>
  <si>
    <t>Proteína Metabolizável (Ganho)</t>
  </si>
  <si>
    <t>Peso padrão de referência, kg (NRC 2016)</t>
  </si>
  <si>
    <t>MPm</t>
  </si>
  <si>
    <t>Proteína Metabolizável (Mantença)</t>
  </si>
  <si>
    <t>Ganho médio diário, kg/dia</t>
  </si>
  <si>
    <t>Proteína Metabolizável (Total)</t>
  </si>
  <si>
    <t>Peso corporal médio, kg</t>
  </si>
  <si>
    <t>% da PB</t>
  </si>
  <si>
    <t>Proteína Não Degradada no Rúmen</t>
  </si>
  <si>
    <t>Peso corporal final, kg</t>
  </si>
  <si>
    <t>Peso corporal inicial, kg</t>
  </si>
  <si>
    <t>g/ kg NDT</t>
  </si>
  <si>
    <t>Eficiência microbiana</t>
  </si>
  <si>
    <t>Sistema de produção</t>
  </si>
  <si>
    <t>Produção de Proteína Bruta Microbiana</t>
  </si>
  <si>
    <t>Proteína Degradada no Rúmen</t>
  </si>
  <si>
    <t>Proteína Bruta</t>
  </si>
  <si>
    <t>ENTRADA DE DADOS</t>
  </si>
  <si>
    <t>NEg ou RE</t>
  </si>
  <si>
    <t>Energia Líquida (Ganho)</t>
  </si>
  <si>
    <t>NEm</t>
  </si>
  <si>
    <t>Energia Líquida (Mantença)</t>
  </si>
  <si>
    <t>Energia Líquida (Total)</t>
  </si>
  <si>
    <t>ME</t>
  </si>
  <si>
    <t>Energia Metabolizável (Total)</t>
  </si>
  <si>
    <t>DE</t>
  </si>
  <si>
    <t>Energia Digestível</t>
  </si>
  <si>
    <t>TDN</t>
  </si>
  <si>
    <t>Exigências de nutrientes digestíveis totais</t>
  </si>
  <si>
    <t>Consumo de Matéria Seca</t>
  </si>
  <si>
    <t>PCJ/PCmat</t>
  </si>
  <si>
    <t>Relação PCJ/PCmat</t>
  </si>
  <si>
    <t>FSBW</t>
  </si>
  <si>
    <t>PCVZmat</t>
  </si>
  <si>
    <t>Peso corporal na maturidade</t>
  </si>
  <si>
    <t>EQSBW</t>
  </si>
  <si>
    <t>Peso de corpo vazio equivalente</t>
  </si>
  <si>
    <t>SWG</t>
  </si>
  <si>
    <t>Ganho de peso de corpo vazio</t>
  </si>
  <si>
    <t>EBW</t>
  </si>
  <si>
    <t>Peso de corpo vazio</t>
  </si>
  <si>
    <t>BR-Corte 2010</t>
  </si>
  <si>
    <t>SBW</t>
  </si>
  <si>
    <t>Peso corporal em jejum</t>
  </si>
  <si>
    <t>NRC 2016</t>
  </si>
  <si>
    <t>Variação, %</t>
  </si>
  <si>
    <t xml:space="preserve">NRC 2016 </t>
  </si>
  <si>
    <t>BR-CORTE 2016</t>
  </si>
  <si>
    <t>BR-CORTE 2010</t>
  </si>
  <si>
    <t>Unidade</t>
  </si>
  <si>
    <t>Código</t>
  </si>
  <si>
    <t>Exigência</t>
  </si>
  <si>
    <t>BR-CORTE 2016 x NRC 2016</t>
  </si>
  <si>
    <t>REQUERIMENTOS DIÁRIOS</t>
  </si>
  <si>
    <t>v 1.1</t>
  </si>
  <si>
    <t>BR-CORTE 2023</t>
  </si>
  <si>
    <t>Variação 2016 para 2023, %</t>
  </si>
  <si>
    <t xml:space="preserve"> NRC 2016 / BR-CORTE 2023</t>
  </si>
  <si>
    <t>PCVZ corrigido para o BR-CORTE 2023</t>
  </si>
  <si>
    <t>Planilha para cálculo das exigências nutricionais de bovinos em crescimento e terminação (BR-CORTE 2010, 2016, 2023 e NRC 2016)</t>
  </si>
  <si>
    <t>Consumo</t>
  </si>
  <si>
    <t>% PB</t>
  </si>
  <si>
    <t>L</t>
  </si>
  <si>
    <t>Água</t>
  </si>
  <si>
    <t>Essenciais</t>
  </si>
  <si>
    <t>Efi. Util.</t>
  </si>
  <si>
    <t>GERAIS</t>
  </si>
  <si>
    <t>Abatedouro</t>
  </si>
  <si>
    <t>Temperatura máxima, °C</t>
  </si>
  <si>
    <t>Carcaça</t>
  </si>
  <si>
    <t>Peso inicial</t>
  </si>
  <si>
    <t>Peso final</t>
  </si>
  <si>
    <t>Ganho carc.</t>
  </si>
  <si>
    <t>Planilha para cálculo das exigências nutricionais de bovinos em crescimento e terminação (BR-CORTE 2023)</t>
  </si>
  <si>
    <t>Macro</t>
  </si>
  <si>
    <t>Micro</t>
  </si>
  <si>
    <t>His</t>
  </si>
  <si>
    <t>Ile</t>
  </si>
  <si>
    <t>Lys</t>
  </si>
  <si>
    <t>Phe</t>
  </si>
  <si>
    <t>Thr</t>
  </si>
  <si>
    <t>Trp</t>
  </si>
  <si>
    <t>Val</t>
  </si>
  <si>
    <t>Ala</t>
  </si>
  <si>
    <t>Asp</t>
  </si>
  <si>
    <t>Cys</t>
  </si>
  <si>
    <t>Glu</t>
  </si>
  <si>
    <t>Gly</t>
  </si>
  <si>
    <t>Pro</t>
  </si>
  <si>
    <t>Ser</t>
  </si>
  <si>
    <t>Tyr</t>
  </si>
  <si>
    <t>Não Essenciais</t>
  </si>
  <si>
    <t>Flávia Adriane de Sales Silva</t>
  </si>
  <si>
    <t>Douglas Teixeira Saraiva</t>
  </si>
  <si>
    <t>Diego Zanetti</t>
  </si>
  <si>
    <t>UDESC Oeste</t>
  </si>
  <si>
    <t>Sólidos</t>
  </si>
  <si>
    <t>BEZERROS</t>
  </si>
  <si>
    <t>Peso corporal, kg</t>
  </si>
  <si>
    <t>Prod. Leite</t>
  </si>
  <si>
    <t>Pleite</t>
  </si>
  <si>
    <t>Produção de leite da mãe, kg</t>
  </si>
  <si>
    <t>Considerando formulas para cresc e term</t>
  </si>
  <si>
    <t>considerando formulas para cresc e term</t>
  </si>
  <si>
    <t>* Aminoácidos metabolizáveis para ganho</t>
  </si>
  <si>
    <t>ELlac</t>
  </si>
  <si>
    <t>EMlac</t>
  </si>
  <si>
    <t>EMtot</t>
  </si>
  <si>
    <t>PMlac</t>
  </si>
  <si>
    <t>PMtot</t>
  </si>
  <si>
    <t>CMStot</t>
  </si>
  <si>
    <t>NDTleit</t>
  </si>
  <si>
    <t>NDTsól</t>
  </si>
  <si>
    <t>NDTtot</t>
  </si>
  <si>
    <t>PBleite</t>
  </si>
  <si>
    <t>PBtotal</t>
  </si>
  <si>
    <r>
      <t>AMINOÁCIDOS</t>
    </r>
    <r>
      <rPr>
        <b/>
        <sz val="16"/>
        <color rgb="FF000000"/>
        <rFont val="Verdana"/>
        <family val="2"/>
      </rPr>
      <t>*</t>
    </r>
  </si>
  <si>
    <t>BENEDETI, P.D.B., SARAIVA, D.T., SILVA, F.A.S., LOPES, S.A., COSTA E SILVA, L.F., ZANETTI, D., VALADARES FILHO, S.C. Planilha para cálculo das exigências nutricionais de zebuínos puros e cruzados (BR-CORTE 2023). 2023. Disponível em www.brcorte.com.br. doi.10.5281/zenodo.8229833</t>
  </si>
  <si>
    <t xml:space="preserve"> Planilha para cálculo das exigências nutricionais de vacas lactantes                                                e seus bezerros (BR-CORTE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</si>
</sst>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[$R$ -416]#,##0.00"/>
  </numFmts>
  <fonts count="80" x14ac:knownFonts="1">
    <font>
      <sz val="11"/>
      <color rgb="FF000000"/>
      <name val="Calibri"/>
    </font>
    <font>
      <sz val="11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Times New Roman"/>
      <family val="1"/>
    </font>
    <font>
      <b/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  <font>
      <sz val="12"/>
      <color rgb="FF000000"/>
      <name val="Calibri"/>
      <family val="2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8"/>
      <color theme="1"/>
      <name val="Times New Roman"/>
      <family val="1"/>
    </font>
    <font>
      <sz val="18"/>
      <color rgb="FFFF0000"/>
      <name val="Times New Roman"/>
      <family val="1"/>
    </font>
    <font>
      <sz val="18"/>
      <color theme="0"/>
      <name val="Times New Roman"/>
      <family val="1"/>
    </font>
    <font>
      <b/>
      <sz val="18"/>
      <color theme="0"/>
      <name val="Times New Roman"/>
      <family val="1"/>
    </font>
    <font>
      <b/>
      <sz val="18"/>
      <color theme="1"/>
      <name val="Times New Roman"/>
      <family val="1"/>
    </font>
    <font>
      <sz val="11"/>
      <color theme="0"/>
      <name val="Times New Roman"/>
      <family val="1"/>
    </font>
    <font>
      <sz val="9.9"/>
      <color rgb="FFFF0000"/>
      <name val="Arial"/>
      <family val="2"/>
    </font>
    <font>
      <sz val="10"/>
      <color rgb="FFFF0000"/>
      <name val="Arial"/>
      <family val="2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rgb="FFFF0000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Arial"/>
      <family val="2"/>
    </font>
    <font>
      <b/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14"/>
      <name val="Times New Roman"/>
      <family val="1"/>
    </font>
    <font>
      <b/>
      <sz val="16"/>
      <name val="Arial"/>
      <family val="2"/>
    </font>
    <font>
      <sz val="9.9"/>
      <name val="Arial"/>
      <family val="2"/>
    </font>
    <font>
      <sz val="18"/>
      <name val="Times New Roman"/>
      <family val="1"/>
    </font>
    <font>
      <sz val="9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color theme="0"/>
      <name val="Times New Roman"/>
      <family val="1"/>
    </font>
    <font>
      <sz val="9"/>
      <color theme="0"/>
      <name val="Times New Roman"/>
      <family val="1"/>
    </font>
    <font>
      <sz val="10"/>
      <color theme="0"/>
      <name val="Arial"/>
      <family val="2"/>
    </font>
    <font>
      <sz val="9.9"/>
      <color theme="0"/>
      <name val="Arial"/>
      <family val="2"/>
    </font>
    <font>
      <b/>
      <sz val="9"/>
      <color theme="0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8"/>
      <color rgb="FF000000"/>
      <name val="Verdana"/>
      <family val="2"/>
    </font>
    <font>
      <b/>
      <sz val="12"/>
      <color rgb="FF000000"/>
      <name val="Verdana"/>
      <family val="2"/>
    </font>
    <font>
      <b/>
      <sz val="22"/>
      <color theme="1"/>
      <name val="Verdana"/>
      <family val="2"/>
    </font>
    <font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1"/>
      <name val="Verdana"/>
      <family val="2"/>
    </font>
    <font>
      <sz val="8"/>
      <color rgb="FF000000"/>
      <name val="Verdana"/>
      <family val="2"/>
    </font>
    <font>
      <b/>
      <sz val="24"/>
      <color rgb="FF000000"/>
      <name val="Verdana"/>
      <family val="2"/>
    </font>
    <font>
      <sz val="14"/>
      <name val="Verdana"/>
      <family val="2"/>
    </font>
    <font>
      <sz val="14"/>
      <color rgb="FF000000"/>
      <name val="Verdana"/>
      <family val="2"/>
    </font>
    <font>
      <b/>
      <sz val="20"/>
      <color rgb="FF000000"/>
      <name val="Verdana"/>
      <family val="2"/>
    </font>
    <font>
      <b/>
      <sz val="18"/>
      <color theme="1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Verdana"/>
      <family val="2"/>
    </font>
    <font>
      <b/>
      <sz val="12"/>
      <name val="Verdana"/>
      <family val="2"/>
    </font>
    <font>
      <sz val="12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99"/>
      </patternFill>
    </fill>
  </fills>
  <borders count="48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29" fillId="0" borderId="0"/>
  </cellStyleXfs>
  <cellXfs count="539">
    <xf numFmtId="0" fontId="0" fillId="0" borderId="0" xfId="0"/>
    <xf numFmtId="0" fontId="1" fillId="0" borderId="0" xfId="0" applyFont="1"/>
    <xf numFmtId="0" fontId="5" fillId="4" borderId="3" xfId="0" applyFont="1" applyFill="1" applyBorder="1" applyAlignment="1">
      <alignment horizontal="right"/>
    </xf>
    <xf numFmtId="165" fontId="5" fillId="4" borderId="0" xfId="0" applyNumberFormat="1" applyFont="1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164" fontId="1" fillId="0" borderId="0" xfId="0" applyNumberFormat="1" applyFont="1"/>
    <xf numFmtId="0" fontId="6" fillId="4" borderId="0" xfId="0" applyFont="1" applyFill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5" fillId="4" borderId="0" xfId="0" applyFont="1" applyFill="1" applyAlignment="1">
      <alignment horizontal="right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3" fillId="4" borderId="0" xfId="0" applyNumberFormat="1" applyFont="1" applyFill="1" applyAlignment="1">
      <alignment vertical="center"/>
    </xf>
    <xf numFmtId="0" fontId="12" fillId="4" borderId="0" xfId="0" applyFont="1" applyFill="1"/>
    <xf numFmtId="0" fontId="5" fillId="0" borderId="0" xfId="0" applyFont="1"/>
    <xf numFmtId="2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0" fontId="5" fillId="0" borderId="0" xfId="2" applyFont="1" applyAlignment="1"/>
    <xf numFmtId="0" fontId="1" fillId="0" borderId="0" xfId="2" applyFont="1" applyAlignment="1"/>
    <xf numFmtId="0" fontId="8" fillId="4" borderId="0" xfId="2" applyFont="1" applyFill="1" applyAlignment="1" applyProtection="1">
      <protection hidden="1"/>
    </xf>
    <xf numFmtId="0" fontId="14" fillId="4" borderId="0" xfId="2" applyFont="1" applyFill="1" applyAlignment="1" applyProtection="1">
      <protection hidden="1"/>
    </xf>
    <xf numFmtId="0" fontId="8" fillId="3" borderId="0" xfId="2" applyFont="1" applyFill="1" applyBorder="1" applyAlignment="1" applyProtection="1">
      <alignment vertical="center"/>
      <protection hidden="1"/>
    </xf>
    <xf numFmtId="0" fontId="8" fillId="3" borderId="0" xfId="2" applyFont="1" applyFill="1" applyBorder="1" applyAlignment="1" applyProtection="1">
      <alignment horizontal="center" vertical="center"/>
      <protection hidden="1"/>
    </xf>
    <xf numFmtId="0" fontId="14" fillId="3" borderId="0" xfId="2" applyFont="1" applyFill="1" applyBorder="1" applyAlignment="1" applyProtection="1">
      <alignment vertical="center"/>
      <protection hidden="1"/>
    </xf>
    <xf numFmtId="0" fontId="15" fillId="4" borderId="0" xfId="2" applyFont="1" applyFill="1" applyAlignment="1" applyProtection="1">
      <protection hidden="1"/>
    </xf>
    <xf numFmtId="0" fontId="15" fillId="3" borderId="0" xfId="2" applyFont="1" applyFill="1" applyBorder="1" applyAlignment="1" applyProtection="1">
      <alignment vertical="center"/>
      <protection hidden="1"/>
    </xf>
    <xf numFmtId="0" fontId="15" fillId="3" borderId="0" xfId="2" applyFont="1" applyFill="1" applyBorder="1" applyAlignment="1" applyProtection="1">
      <alignment horizontal="center" vertical="center"/>
      <protection hidden="1"/>
    </xf>
    <xf numFmtId="0" fontId="16" fillId="3" borderId="0" xfId="2" applyFont="1" applyFill="1" applyBorder="1" applyAlignment="1" applyProtection="1">
      <alignment vertical="center"/>
      <protection hidden="1"/>
    </xf>
    <xf numFmtId="0" fontId="17" fillId="4" borderId="0" xfId="2" applyFont="1" applyFill="1" applyAlignment="1" applyProtection="1">
      <protection hidden="1"/>
    </xf>
    <xf numFmtId="0" fontId="17" fillId="3" borderId="0" xfId="2" applyFont="1" applyFill="1" applyBorder="1" applyAlignment="1" applyProtection="1">
      <alignment vertical="center"/>
      <protection hidden="1"/>
    </xf>
    <xf numFmtId="0" fontId="17" fillId="3" borderId="0" xfId="2" applyFont="1" applyFill="1" applyBorder="1" applyAlignment="1" applyProtection="1">
      <alignment horizontal="right" vertical="center"/>
      <protection hidden="1"/>
    </xf>
    <xf numFmtId="0" fontId="17" fillId="3" borderId="0" xfId="2" applyFont="1" applyFill="1" applyBorder="1" applyAlignment="1" applyProtection="1">
      <alignment horizontal="center" vertical="center"/>
      <protection hidden="1"/>
    </xf>
    <xf numFmtId="0" fontId="18" fillId="3" borderId="0" xfId="2" applyFont="1" applyFill="1" applyBorder="1" applyAlignment="1" applyProtection="1">
      <alignment horizontal="right" vertical="center"/>
      <protection hidden="1"/>
    </xf>
    <xf numFmtId="164" fontId="17" fillId="3" borderId="0" xfId="2" applyNumberFormat="1" applyFont="1" applyFill="1" applyBorder="1" applyAlignment="1" applyProtection="1">
      <alignment horizontal="center" vertical="center"/>
      <protection hidden="1"/>
    </xf>
    <xf numFmtId="0" fontId="19" fillId="3" borderId="0" xfId="2" applyFont="1" applyFill="1" applyBorder="1" applyAlignment="1" applyProtection="1">
      <alignment horizontal="center" vertical="center"/>
      <protection hidden="1"/>
    </xf>
    <xf numFmtId="164" fontId="17" fillId="3" borderId="0" xfId="2" applyNumberFormat="1" applyFont="1" applyFill="1" applyBorder="1" applyAlignment="1" applyProtection="1">
      <alignment horizontal="right" vertical="center"/>
      <protection hidden="1"/>
    </xf>
    <xf numFmtId="1" fontId="17" fillId="3" borderId="0" xfId="2" applyNumberFormat="1" applyFont="1" applyFill="1" applyBorder="1" applyAlignment="1" applyProtection="1">
      <alignment horizontal="center" vertical="center"/>
      <protection hidden="1"/>
    </xf>
    <xf numFmtId="1" fontId="17" fillId="3" borderId="0" xfId="2" applyNumberFormat="1" applyFont="1" applyFill="1" applyBorder="1" applyAlignment="1" applyProtection="1">
      <alignment horizontal="left" vertical="center"/>
      <protection hidden="1"/>
    </xf>
    <xf numFmtId="0" fontId="17" fillId="3" borderId="0" xfId="2" applyFont="1" applyFill="1" applyBorder="1" applyAlignment="1" applyProtection="1">
      <alignment horizontal="left" vertical="center"/>
      <protection hidden="1"/>
    </xf>
    <xf numFmtId="2" fontId="17" fillId="3" borderId="0" xfId="2" applyNumberFormat="1" applyFont="1" applyFill="1" applyBorder="1" applyAlignment="1" applyProtection="1">
      <alignment horizontal="center" vertical="center"/>
      <protection hidden="1"/>
    </xf>
    <xf numFmtId="2" fontId="17" fillId="3" borderId="0" xfId="2" applyNumberFormat="1" applyFont="1" applyFill="1" applyBorder="1" applyAlignment="1" applyProtection="1">
      <alignment horizontal="left" vertical="center"/>
      <protection hidden="1"/>
    </xf>
    <xf numFmtId="0" fontId="20" fillId="4" borderId="0" xfId="2" applyFont="1" applyFill="1" applyAlignment="1" applyProtection="1">
      <alignment vertical="center"/>
      <protection hidden="1"/>
    </xf>
    <xf numFmtId="0" fontId="20" fillId="4" borderId="0" xfId="2" applyFont="1" applyFill="1" applyAlignment="1" applyProtection="1">
      <protection hidden="1"/>
    </xf>
    <xf numFmtId="0" fontId="20" fillId="3" borderId="0" xfId="2" applyFont="1" applyFill="1" applyBorder="1" applyAlignment="1" applyProtection="1">
      <alignment vertical="center"/>
      <protection hidden="1"/>
    </xf>
    <xf numFmtId="0" fontId="8" fillId="4" borderId="0" xfId="2" applyFont="1" applyFill="1" applyAlignment="1" applyProtection="1">
      <alignment vertical="center"/>
      <protection hidden="1"/>
    </xf>
    <xf numFmtId="1" fontId="24" fillId="5" borderId="0" xfId="2" applyNumberFormat="1" applyFont="1" applyFill="1" applyBorder="1" applyAlignment="1" applyProtection="1">
      <alignment horizontal="center" vertical="center"/>
      <protection hidden="1"/>
    </xf>
    <xf numFmtId="0" fontId="24" fillId="5" borderId="0" xfId="2" applyFont="1" applyFill="1" applyBorder="1" applyAlignment="1" applyProtection="1">
      <alignment horizontal="center" vertical="center"/>
      <protection hidden="1"/>
    </xf>
    <xf numFmtId="0" fontId="24" fillId="5" borderId="0" xfId="2" applyFont="1" applyFill="1" applyBorder="1" applyAlignment="1" applyProtection="1">
      <alignment vertical="center"/>
      <protection hidden="1"/>
    </xf>
    <xf numFmtId="10" fontId="22" fillId="4" borderId="0" xfId="1" applyNumberFormat="1" applyFont="1" applyFill="1" applyAlignment="1">
      <alignment vertical="center"/>
    </xf>
    <xf numFmtId="0" fontId="23" fillId="3" borderId="0" xfId="2" applyFont="1" applyFill="1" applyBorder="1" applyAlignment="1" applyProtection="1">
      <alignment vertical="center"/>
      <protection hidden="1"/>
    </xf>
    <xf numFmtId="164" fontId="23" fillId="8" borderId="6" xfId="2" applyNumberFormat="1" applyFont="1" applyFill="1" applyBorder="1" applyAlignment="1" applyProtection="1">
      <alignment horizontal="center" vertical="center"/>
      <protection hidden="1"/>
    </xf>
    <xf numFmtId="0" fontId="23" fillId="8" borderId="6" xfId="2" applyFont="1" applyFill="1" applyBorder="1" applyAlignment="1" applyProtection="1">
      <alignment horizontal="center" vertical="center"/>
      <protection hidden="1"/>
    </xf>
    <xf numFmtId="0" fontId="23" fillId="8" borderId="6" xfId="2" applyFont="1" applyFill="1" applyBorder="1" applyAlignment="1" applyProtection="1">
      <alignment vertical="center"/>
      <protection hidden="1"/>
    </xf>
    <xf numFmtId="0" fontId="21" fillId="4" borderId="0" xfId="2" applyFont="1" applyFill="1" applyAlignment="1">
      <alignment vertical="center"/>
    </xf>
    <xf numFmtId="1" fontId="23" fillId="5" borderId="19" xfId="2" applyNumberFormat="1" applyFont="1" applyFill="1" applyBorder="1" applyAlignment="1" applyProtection="1">
      <alignment horizontal="center" vertical="center"/>
      <protection hidden="1"/>
    </xf>
    <xf numFmtId="0" fontId="23" fillId="5" borderId="19" xfId="2" applyFont="1" applyFill="1" applyBorder="1" applyAlignment="1" applyProtection="1">
      <alignment horizontal="center" vertical="center"/>
      <protection hidden="1"/>
    </xf>
    <xf numFmtId="0" fontId="23" fillId="5" borderId="19" xfId="2" applyFont="1" applyFill="1" applyBorder="1" applyAlignment="1" applyProtection="1">
      <alignment vertical="center"/>
      <protection hidden="1"/>
    </xf>
    <xf numFmtId="0" fontId="13" fillId="3" borderId="20" xfId="2" applyFont="1" applyFill="1" applyBorder="1" applyAlignment="1" applyProtection="1">
      <alignment vertical="center"/>
      <protection hidden="1"/>
    </xf>
    <xf numFmtId="0" fontId="13" fillId="3" borderId="21" xfId="2" applyFont="1" applyFill="1" applyBorder="1" applyAlignment="1" applyProtection="1">
      <alignment vertical="center"/>
      <protection hidden="1"/>
    </xf>
    <xf numFmtId="1" fontId="23" fillId="8" borderId="22" xfId="2" applyNumberFormat="1" applyFont="1" applyFill="1" applyBorder="1" applyAlignment="1" applyProtection="1">
      <alignment horizontal="center" vertical="center"/>
      <protection hidden="1"/>
    </xf>
    <xf numFmtId="0" fontId="23" fillId="8" borderId="22" xfId="2" applyFont="1" applyFill="1" applyBorder="1" applyAlignment="1" applyProtection="1">
      <alignment horizontal="center" vertical="center"/>
      <protection hidden="1"/>
    </xf>
    <xf numFmtId="0" fontId="23" fillId="8" borderId="22" xfId="2" applyFont="1" applyFill="1" applyBorder="1" applyAlignment="1" applyProtection="1">
      <alignment vertical="center"/>
      <protection hidden="1"/>
    </xf>
    <xf numFmtId="0" fontId="13" fillId="3" borderId="23" xfId="2" applyFont="1" applyFill="1" applyBorder="1" applyAlignment="1" applyProtection="1">
      <alignment vertical="center"/>
      <protection hidden="1"/>
    </xf>
    <xf numFmtId="0" fontId="13" fillId="3" borderId="24" xfId="2" applyFont="1" applyFill="1" applyBorder="1" applyAlignment="1" applyProtection="1">
      <alignment vertical="center"/>
      <protection hidden="1"/>
    </xf>
    <xf numFmtId="2" fontId="23" fillId="5" borderId="25" xfId="2" applyNumberFormat="1" applyFont="1" applyFill="1" applyBorder="1" applyAlignment="1" applyProtection="1">
      <alignment horizontal="center" vertical="center"/>
      <protection hidden="1"/>
    </xf>
    <xf numFmtId="0" fontId="23" fillId="5" borderId="25" xfId="2" applyFont="1" applyFill="1" applyBorder="1" applyAlignment="1" applyProtection="1">
      <alignment horizontal="center" vertical="center"/>
      <protection hidden="1"/>
    </xf>
    <xf numFmtId="0" fontId="23" fillId="5" borderId="25" xfId="2" applyFont="1" applyFill="1" applyBorder="1" applyAlignment="1" applyProtection="1">
      <alignment vertical="center"/>
      <protection hidden="1"/>
    </xf>
    <xf numFmtId="165" fontId="23" fillId="8" borderId="22" xfId="2" applyNumberFormat="1" applyFont="1" applyFill="1" applyBorder="1" applyAlignment="1" applyProtection="1">
      <alignment horizontal="center" vertical="center"/>
      <protection hidden="1"/>
    </xf>
    <xf numFmtId="164" fontId="23" fillId="5" borderId="25" xfId="2" applyNumberFormat="1" applyFont="1" applyFill="1" applyBorder="1" applyAlignment="1" applyProtection="1">
      <alignment horizontal="center" vertical="center"/>
      <protection hidden="1"/>
    </xf>
    <xf numFmtId="0" fontId="25" fillId="3" borderId="24" xfId="2" applyFont="1" applyFill="1" applyBorder="1" applyAlignment="1" applyProtection="1">
      <alignment vertical="center"/>
      <protection hidden="1"/>
    </xf>
    <xf numFmtId="0" fontId="13" fillId="3" borderId="23" xfId="2" applyFont="1" applyFill="1" applyBorder="1" applyAlignment="1" applyProtection="1">
      <alignment vertical="center" wrapText="1"/>
      <protection hidden="1"/>
    </xf>
    <xf numFmtId="0" fontId="13" fillId="3" borderId="24" xfId="2" applyFont="1" applyFill="1" applyBorder="1" applyAlignment="1" applyProtection="1">
      <alignment vertical="center" wrapText="1"/>
      <protection hidden="1"/>
    </xf>
    <xf numFmtId="2" fontId="13" fillId="5" borderId="25" xfId="2" applyNumberFormat="1" applyFont="1" applyFill="1" applyBorder="1" applyAlignment="1" applyProtection="1">
      <alignment horizontal="center" vertical="center"/>
      <protection hidden="1"/>
    </xf>
    <xf numFmtId="0" fontId="13" fillId="5" borderId="25" xfId="2" applyFont="1" applyFill="1" applyBorder="1" applyAlignment="1" applyProtection="1">
      <alignment horizontal="center" vertical="center"/>
      <protection hidden="1"/>
    </xf>
    <xf numFmtId="0" fontId="13" fillId="5" borderId="25" xfId="2" applyFont="1" applyFill="1" applyBorder="1" applyAlignment="1" applyProtection="1">
      <alignment vertical="center"/>
      <protection hidden="1"/>
    </xf>
    <xf numFmtId="2" fontId="13" fillId="8" borderId="22" xfId="2" applyNumberFormat="1" applyFont="1" applyFill="1" applyBorder="1" applyAlignment="1" applyProtection="1">
      <alignment horizontal="center" vertical="center"/>
      <protection hidden="1"/>
    </xf>
    <xf numFmtId="0" fontId="13" fillId="8" borderId="22" xfId="2" applyFont="1" applyFill="1" applyBorder="1" applyAlignment="1" applyProtection="1">
      <alignment horizontal="center" vertical="center"/>
      <protection hidden="1"/>
    </xf>
    <xf numFmtId="0" fontId="13" fillId="8" borderId="22" xfId="2" applyFont="1" applyFill="1" applyBorder="1" applyAlignment="1" applyProtection="1">
      <alignment vertical="center"/>
      <protection hidden="1"/>
    </xf>
    <xf numFmtId="165" fontId="13" fillId="5" borderId="25" xfId="2" applyNumberFormat="1" applyFont="1" applyFill="1" applyBorder="1" applyAlignment="1" applyProtection="1">
      <alignment horizontal="center" vertical="center"/>
      <protection hidden="1"/>
    </xf>
    <xf numFmtId="0" fontId="13" fillId="4" borderId="23" xfId="2" applyFont="1" applyFill="1" applyBorder="1" applyAlignment="1" applyProtection="1">
      <alignment vertical="center"/>
      <protection hidden="1"/>
    </xf>
    <xf numFmtId="0" fontId="13" fillId="4" borderId="24" xfId="2" applyFont="1" applyFill="1" applyBorder="1" applyAlignment="1" applyProtection="1">
      <alignment vertical="center"/>
      <protection hidden="1"/>
    </xf>
    <xf numFmtId="0" fontId="13" fillId="3" borderId="26" xfId="2" applyFont="1" applyFill="1" applyBorder="1" applyAlignment="1" applyProtection="1">
      <alignment vertical="center"/>
      <protection hidden="1"/>
    </xf>
    <xf numFmtId="0" fontId="25" fillId="3" borderId="27" xfId="2" applyFont="1" applyFill="1" applyBorder="1" applyAlignment="1" applyProtection="1">
      <alignment vertical="center"/>
      <protection hidden="1"/>
    </xf>
    <xf numFmtId="10" fontId="26" fillId="4" borderId="0" xfId="1" applyNumberFormat="1" applyFont="1" applyFill="1" applyAlignment="1">
      <alignment horizontal="left" vertical="center"/>
    </xf>
    <xf numFmtId="0" fontId="21" fillId="4" borderId="0" xfId="2" applyFont="1" applyFill="1" applyAlignment="1">
      <alignment horizontal="left" vertical="center"/>
    </xf>
    <xf numFmtId="165" fontId="13" fillId="8" borderId="22" xfId="2" applyNumberFormat="1" applyFont="1" applyFill="1" applyBorder="1" applyAlignment="1" applyProtection="1">
      <alignment horizontal="center" vertical="center"/>
      <protection hidden="1"/>
    </xf>
    <xf numFmtId="165" fontId="23" fillId="5" borderId="25" xfId="2" applyNumberFormat="1" applyFont="1" applyFill="1" applyBorder="1" applyAlignment="1" applyProtection="1">
      <alignment horizontal="center" vertical="center"/>
      <protection hidden="1"/>
    </xf>
    <xf numFmtId="2" fontId="30" fillId="9" borderId="28" xfId="3" applyNumberFormat="1" applyFont="1" applyFill="1" applyBorder="1" applyAlignment="1" applyProtection="1">
      <alignment horizontal="center" vertical="center"/>
      <protection locked="0"/>
    </xf>
    <xf numFmtId="0" fontId="30" fillId="4" borderId="29" xfId="3" applyFont="1" applyFill="1" applyBorder="1" applyAlignment="1" applyProtection="1">
      <alignment horizontal="left" vertical="center"/>
      <protection hidden="1"/>
    </xf>
    <xf numFmtId="0" fontId="31" fillId="4" borderId="0" xfId="2" applyFont="1" applyFill="1" applyAlignment="1" applyProtection="1">
      <alignment vertical="center"/>
      <protection hidden="1"/>
    </xf>
    <xf numFmtId="0" fontId="31" fillId="3" borderId="0" xfId="2" applyFont="1" applyFill="1" applyBorder="1" applyAlignment="1" applyProtection="1">
      <alignment vertical="center"/>
      <protection hidden="1"/>
    </xf>
    <xf numFmtId="0" fontId="32" fillId="4" borderId="0" xfId="2" applyFont="1" applyFill="1" applyAlignment="1">
      <alignment vertical="center"/>
    </xf>
    <xf numFmtId="1" fontId="31" fillId="3" borderId="0" xfId="2" applyNumberFormat="1" applyFont="1" applyFill="1" applyBorder="1" applyAlignment="1" applyProtection="1">
      <alignment vertical="center"/>
      <protection hidden="1"/>
    </xf>
    <xf numFmtId="1" fontId="13" fillId="3" borderId="22" xfId="2" applyNumberFormat="1" applyFont="1" applyFill="1" applyBorder="1" applyAlignment="1" applyProtection="1">
      <alignment horizontal="center" vertical="center"/>
      <protection hidden="1"/>
    </xf>
    <xf numFmtId="0" fontId="13" fillId="3" borderId="22" xfId="2" applyFont="1" applyFill="1" applyBorder="1" applyAlignment="1" applyProtection="1">
      <alignment horizontal="center" vertical="center"/>
      <protection hidden="1"/>
    </xf>
    <xf numFmtId="0" fontId="13" fillId="3" borderId="22" xfId="2" applyFont="1" applyFill="1" applyBorder="1" applyAlignment="1" applyProtection="1">
      <alignment vertical="center"/>
      <protection hidden="1"/>
    </xf>
    <xf numFmtId="1" fontId="30" fillId="9" borderId="17" xfId="3" applyNumberFormat="1" applyFont="1" applyFill="1" applyBorder="1" applyAlignment="1" applyProtection="1">
      <alignment horizontal="center" vertical="center"/>
      <protection locked="0"/>
    </xf>
    <xf numFmtId="0" fontId="30" fillId="10" borderId="31" xfId="3" applyFont="1" applyFill="1" applyBorder="1" applyAlignment="1" applyProtection="1">
      <alignment horizontal="left" vertical="center"/>
      <protection hidden="1"/>
    </xf>
    <xf numFmtId="0" fontId="14" fillId="4" borderId="0" xfId="2" applyFont="1" applyFill="1" applyAlignment="1">
      <alignment vertical="center"/>
    </xf>
    <xf numFmtId="1" fontId="13" fillId="7" borderId="25" xfId="2" applyNumberFormat="1" applyFont="1" applyFill="1" applyBorder="1" applyAlignment="1" applyProtection="1">
      <alignment horizontal="center" vertical="center"/>
      <protection hidden="1"/>
    </xf>
    <xf numFmtId="0" fontId="13" fillId="7" borderId="25" xfId="2" applyFont="1" applyFill="1" applyBorder="1" applyAlignment="1" applyProtection="1">
      <alignment horizontal="center" vertical="center"/>
      <protection hidden="1"/>
    </xf>
    <xf numFmtId="0" fontId="13" fillId="7" borderId="25" xfId="2" applyFont="1" applyFill="1" applyBorder="1" applyAlignment="1" applyProtection="1">
      <alignment vertical="center"/>
      <protection hidden="1"/>
    </xf>
    <xf numFmtId="2" fontId="30" fillId="2" borderId="2" xfId="2" applyNumberFormat="1" applyFont="1" applyFill="1" applyBorder="1" applyAlignment="1" applyProtection="1">
      <alignment horizontal="center" vertical="center"/>
      <protection locked="0"/>
    </xf>
    <xf numFmtId="0" fontId="30" fillId="3" borderId="30" xfId="2" applyFont="1" applyFill="1" applyBorder="1" applyAlignment="1" applyProtection="1">
      <alignment horizontal="left" vertical="center"/>
      <protection hidden="1"/>
    </xf>
    <xf numFmtId="0" fontId="14" fillId="4" borderId="0" xfId="2" applyFont="1" applyFill="1" applyAlignment="1" applyProtection="1">
      <alignment vertical="center"/>
      <protection hidden="1"/>
    </xf>
    <xf numFmtId="1" fontId="30" fillId="3" borderId="2" xfId="2" applyNumberFormat="1" applyFont="1" applyFill="1" applyBorder="1" applyAlignment="1" applyProtection="1">
      <alignment horizontal="center" vertical="center"/>
      <protection hidden="1"/>
    </xf>
    <xf numFmtId="165" fontId="13" fillId="7" borderId="25" xfId="2" applyNumberFormat="1" applyFont="1" applyFill="1" applyBorder="1" applyAlignment="1" applyProtection="1">
      <alignment horizontal="center" vertical="center"/>
      <protection hidden="1"/>
    </xf>
    <xf numFmtId="1" fontId="30" fillId="2" borderId="2" xfId="2" applyNumberFormat="1" applyFont="1" applyFill="1" applyBorder="1" applyAlignment="1" applyProtection="1">
      <alignment horizontal="center" vertical="center"/>
      <protection locked="0"/>
    </xf>
    <xf numFmtId="0" fontId="30" fillId="3" borderId="30" xfId="2" applyFont="1" applyFill="1" applyBorder="1" applyAlignment="1" applyProtection="1">
      <alignment vertical="center"/>
      <protection hidden="1"/>
    </xf>
    <xf numFmtId="1" fontId="23" fillId="5" borderId="25" xfId="2" applyNumberFormat="1" applyFont="1" applyFill="1" applyBorder="1" applyAlignment="1" applyProtection="1">
      <alignment horizontal="center" vertical="center"/>
      <protection hidden="1"/>
    </xf>
    <xf numFmtId="1" fontId="13" fillId="8" borderId="22" xfId="2" applyNumberFormat="1" applyFont="1" applyFill="1" applyBorder="1" applyAlignment="1" applyProtection="1">
      <alignment horizontal="center" vertical="center"/>
      <protection hidden="1"/>
    </xf>
    <xf numFmtId="165" fontId="23" fillId="7" borderId="25" xfId="2" applyNumberFormat="1" applyFont="1" applyFill="1" applyBorder="1" applyAlignment="1" applyProtection="1">
      <alignment horizontal="center" vertical="center"/>
      <protection hidden="1"/>
    </xf>
    <xf numFmtId="0" fontId="23" fillId="7" borderId="25" xfId="2" applyFont="1" applyFill="1" applyBorder="1" applyAlignment="1" applyProtection="1">
      <alignment horizontal="center" vertical="center"/>
      <protection hidden="1"/>
    </xf>
    <xf numFmtId="0" fontId="23" fillId="7" borderId="25" xfId="2" applyFont="1" applyFill="1" applyBorder="1" applyAlignment="1" applyProtection="1">
      <alignment vertical="center"/>
      <protection hidden="1"/>
    </xf>
    <xf numFmtId="0" fontId="23" fillId="4" borderId="0" xfId="2" applyFont="1" applyFill="1" applyAlignment="1" applyProtection="1">
      <alignment vertical="center"/>
      <protection hidden="1"/>
    </xf>
    <xf numFmtId="0" fontId="24" fillId="4" borderId="0" xfId="2" applyFont="1" applyFill="1" applyAlignment="1" applyProtection="1">
      <alignment vertical="center"/>
      <protection hidden="1"/>
    </xf>
    <xf numFmtId="2" fontId="23" fillId="2" borderId="1" xfId="2" applyNumberFormat="1" applyFont="1" applyFill="1" applyBorder="1" applyAlignment="1" applyProtection="1">
      <alignment horizontal="center" vertical="center"/>
      <protection locked="0"/>
    </xf>
    <xf numFmtId="165" fontId="23" fillId="6" borderId="6" xfId="2" applyNumberFormat="1" applyFont="1" applyFill="1" applyBorder="1" applyAlignment="1" applyProtection="1">
      <alignment horizontal="center" vertical="center"/>
      <protection hidden="1"/>
    </xf>
    <xf numFmtId="0" fontId="23" fillId="8" borderId="33" xfId="2" applyFont="1" applyFill="1" applyBorder="1" applyAlignment="1" applyProtection="1">
      <alignment horizontal="center" vertical="center"/>
      <protection hidden="1"/>
    </xf>
    <xf numFmtId="1" fontId="23" fillId="3" borderId="18" xfId="2" applyNumberFormat="1" applyFont="1" applyFill="1" applyBorder="1" applyAlignment="1" applyProtection="1">
      <alignment horizontal="center" vertical="center"/>
      <protection hidden="1"/>
    </xf>
    <xf numFmtId="0" fontId="23" fillId="3" borderId="22" xfId="2" applyFont="1" applyFill="1" applyBorder="1" applyAlignment="1" applyProtection="1">
      <alignment horizontal="center" vertical="center"/>
      <protection hidden="1"/>
    </xf>
    <xf numFmtId="0" fontId="23" fillId="3" borderId="22" xfId="2" applyFont="1" applyFill="1" applyBorder="1" applyAlignment="1" applyProtection="1">
      <alignment vertical="center"/>
      <protection hidden="1"/>
    </xf>
    <xf numFmtId="2" fontId="13" fillId="7" borderId="25" xfId="2" applyNumberFormat="1" applyFont="1" applyFill="1" applyBorder="1" applyAlignment="1" applyProtection="1">
      <alignment horizontal="center" vertical="center"/>
      <protection hidden="1"/>
    </xf>
    <xf numFmtId="2" fontId="13" fillId="3" borderId="22" xfId="2" applyNumberFormat="1" applyFont="1" applyFill="1" applyBorder="1" applyAlignment="1" applyProtection="1">
      <alignment horizontal="center" vertical="center"/>
      <protection hidden="1"/>
    </xf>
    <xf numFmtId="0" fontId="31" fillId="4" borderId="0" xfId="2" applyFont="1" applyFill="1" applyAlignment="1" applyProtection="1">
      <alignment horizontal="center" vertical="center"/>
      <protection hidden="1"/>
    </xf>
    <xf numFmtId="0" fontId="31" fillId="4" borderId="0" xfId="2" applyFont="1" applyFill="1" applyAlignment="1">
      <alignment vertical="center"/>
    </xf>
    <xf numFmtId="165" fontId="23" fillId="3" borderId="22" xfId="2" applyNumberFormat="1" applyFont="1" applyFill="1" applyBorder="1" applyAlignment="1" applyProtection="1">
      <alignment horizontal="center" vertical="center"/>
      <protection hidden="1"/>
    </xf>
    <xf numFmtId="2" fontId="23" fillId="3" borderId="22" xfId="2" applyNumberFormat="1" applyFont="1" applyFill="1" applyBorder="1" applyAlignment="1" applyProtection="1">
      <alignment horizontal="center" vertical="center"/>
      <protection hidden="1"/>
    </xf>
    <xf numFmtId="164" fontId="23" fillId="3" borderId="0" xfId="2" applyNumberFormat="1" applyFont="1" applyFill="1" applyBorder="1" applyAlignment="1" applyProtection="1">
      <alignment vertical="center"/>
      <protection hidden="1"/>
    </xf>
    <xf numFmtId="2" fontId="23" fillId="7" borderId="25" xfId="2" applyNumberFormat="1" applyFont="1" applyFill="1" applyBorder="1" applyAlignment="1" applyProtection="1">
      <alignment horizontal="center" vertical="center"/>
      <protection hidden="1"/>
    </xf>
    <xf numFmtId="2" fontId="31" fillId="3" borderId="22" xfId="2" applyNumberFormat="1" applyFont="1" applyFill="1" applyBorder="1" applyAlignment="1" applyProtection="1">
      <alignment horizontal="center" vertical="center"/>
      <protection hidden="1"/>
    </xf>
    <xf numFmtId="0" fontId="31" fillId="3" borderId="22" xfId="2" applyFont="1" applyFill="1" applyBorder="1" applyAlignment="1" applyProtection="1">
      <alignment horizontal="center" vertical="center"/>
      <protection hidden="1"/>
    </xf>
    <xf numFmtId="0" fontId="31" fillId="3" borderId="22" xfId="2" applyFont="1" applyFill="1" applyBorder="1" applyAlignment="1" applyProtection="1">
      <alignment vertical="center"/>
      <protection hidden="1"/>
    </xf>
    <xf numFmtId="1" fontId="23" fillId="7" borderId="25" xfId="2" applyNumberFormat="1" applyFont="1" applyFill="1" applyBorder="1" applyAlignment="1" applyProtection="1">
      <alignment horizontal="center" vertical="center"/>
      <protection hidden="1"/>
    </xf>
    <xf numFmtId="1" fontId="13" fillId="5" borderId="25" xfId="2" applyNumberFormat="1" applyFont="1" applyFill="1" applyBorder="1" applyAlignment="1" applyProtection="1">
      <alignment horizontal="center" vertical="center"/>
      <protection hidden="1"/>
    </xf>
    <xf numFmtId="1" fontId="13" fillId="8" borderId="25" xfId="2" applyNumberFormat="1" applyFont="1" applyFill="1" applyBorder="1" applyAlignment="1" applyProtection="1">
      <alignment horizontal="center" vertical="center"/>
      <protection hidden="1"/>
    </xf>
    <xf numFmtId="0" fontId="13" fillId="8" borderId="25" xfId="2" applyFont="1" applyFill="1" applyBorder="1" applyAlignment="1" applyProtection="1">
      <alignment horizontal="center" vertical="center"/>
      <protection hidden="1"/>
    </xf>
    <xf numFmtId="0" fontId="13" fillId="8" borderId="25" xfId="2" applyFont="1" applyFill="1" applyBorder="1" applyAlignment="1" applyProtection="1">
      <alignment vertical="center"/>
      <protection hidden="1"/>
    </xf>
    <xf numFmtId="0" fontId="19" fillId="3" borderId="0" xfId="2" applyFont="1" applyFill="1" applyBorder="1" applyAlignment="1" applyProtection="1">
      <alignment vertical="center"/>
      <protection hidden="1"/>
    </xf>
    <xf numFmtId="0" fontId="2" fillId="3" borderId="0" xfId="2" applyFont="1" applyFill="1" applyBorder="1" applyAlignment="1" applyProtection="1">
      <alignment vertical="center"/>
      <protection hidden="1"/>
    </xf>
    <xf numFmtId="0" fontId="2" fillId="3" borderId="0" xfId="2" applyFont="1" applyFill="1" applyBorder="1" applyAlignment="1" applyProtection="1">
      <alignment horizontal="center" vertical="center"/>
      <protection hidden="1"/>
    </xf>
    <xf numFmtId="0" fontId="2" fillId="4" borderId="0" xfId="2" applyFont="1" applyFill="1" applyAlignment="1" applyProtection="1">
      <protection hidden="1"/>
    </xf>
    <xf numFmtId="0" fontId="2" fillId="4" borderId="0" xfId="2" applyFont="1" applyFill="1" applyAlignment="1" applyProtection="1">
      <alignment vertical="center"/>
      <protection hidden="1"/>
    </xf>
    <xf numFmtId="0" fontId="35" fillId="4" borderId="0" xfId="2" applyFont="1" applyFill="1" applyAlignment="1" applyProtection="1">
      <alignment vertical="center"/>
      <protection hidden="1"/>
    </xf>
    <xf numFmtId="0" fontId="35" fillId="3" borderId="0" xfId="2" applyFont="1" applyFill="1" applyBorder="1" applyAlignment="1" applyProtection="1">
      <alignment vertical="center"/>
      <protection hidden="1"/>
    </xf>
    <xf numFmtId="0" fontId="2" fillId="4" borderId="0" xfId="2" applyFont="1" applyFill="1" applyAlignment="1">
      <alignment horizontal="center" vertical="center"/>
    </xf>
    <xf numFmtId="0" fontId="35" fillId="4" borderId="0" xfId="2" applyFont="1" applyFill="1" applyAlignment="1">
      <alignment horizontal="center" vertical="center"/>
    </xf>
    <xf numFmtId="10" fontId="36" fillId="4" borderId="0" xfId="1" applyNumberFormat="1" applyFont="1" applyFill="1" applyAlignment="1">
      <alignment horizontal="left" vertical="center"/>
    </xf>
    <xf numFmtId="0" fontId="37" fillId="4" borderId="0" xfId="2" applyFont="1" applyFill="1" applyAlignment="1">
      <alignment horizontal="left" vertical="center"/>
    </xf>
    <xf numFmtId="0" fontId="2" fillId="4" borderId="0" xfId="2" applyFont="1" applyFill="1" applyAlignment="1">
      <alignment vertical="center"/>
    </xf>
    <xf numFmtId="0" fontId="37" fillId="4" borderId="0" xfId="2" applyFont="1" applyFill="1" applyAlignment="1">
      <alignment vertical="center"/>
    </xf>
    <xf numFmtId="0" fontId="38" fillId="3" borderId="0" xfId="2" applyFont="1" applyFill="1" applyBorder="1" applyAlignment="1" applyProtection="1">
      <alignment vertical="center"/>
      <protection hidden="1"/>
    </xf>
    <xf numFmtId="0" fontId="38" fillId="4" borderId="0" xfId="2" applyFont="1" applyFill="1" applyAlignment="1" applyProtection="1">
      <protection hidden="1"/>
    </xf>
    <xf numFmtId="0" fontId="2" fillId="4" borderId="0" xfId="2" applyFont="1" applyFill="1" applyAlignment="1" applyProtection="1">
      <alignment horizontal="center"/>
      <protection hidden="1"/>
    </xf>
    <xf numFmtId="0" fontId="38" fillId="3" borderId="0" xfId="2" applyFont="1" applyFill="1" applyBorder="1" applyAlignment="1" applyProtection="1">
      <alignment horizontal="center" vertical="center"/>
      <protection hidden="1"/>
    </xf>
    <xf numFmtId="0" fontId="39" fillId="3" borderId="0" xfId="2" applyFont="1" applyFill="1" applyBorder="1" applyAlignment="1" applyProtection="1">
      <alignment vertical="center"/>
      <protection hidden="1"/>
    </xf>
    <xf numFmtId="0" fontId="41" fillId="5" borderId="15" xfId="2" applyFont="1" applyFill="1" applyBorder="1" applyAlignment="1" applyProtection="1">
      <alignment horizontal="center" vertical="center"/>
      <protection hidden="1"/>
    </xf>
    <xf numFmtId="0" fontId="40" fillId="5" borderId="3" xfId="2" applyFont="1" applyFill="1" applyBorder="1" applyAlignment="1" applyProtection="1">
      <alignment horizontal="center" vertical="center"/>
      <protection hidden="1"/>
    </xf>
    <xf numFmtId="0" fontId="4" fillId="3" borderId="14" xfId="2" applyFont="1" applyFill="1" applyBorder="1" applyAlignment="1" applyProtection="1">
      <alignment horizontal="center" vertical="center" wrapText="1"/>
      <protection hidden="1"/>
    </xf>
    <xf numFmtId="164" fontId="42" fillId="3" borderId="14" xfId="2" applyNumberFormat="1" applyFont="1" applyFill="1" applyBorder="1" applyAlignment="1" applyProtection="1">
      <alignment horizontal="center" vertical="center" wrapText="1"/>
      <protection hidden="1"/>
    </xf>
    <xf numFmtId="1" fontId="3" fillId="8" borderId="25" xfId="2" applyNumberFormat="1" applyFont="1" applyFill="1" applyBorder="1" applyAlignment="1" applyProtection="1">
      <alignment horizontal="center" vertical="center"/>
      <protection hidden="1"/>
    </xf>
    <xf numFmtId="165" fontId="3" fillId="7" borderId="25" xfId="2" applyNumberFormat="1" applyFont="1" applyFill="1" applyBorder="1" applyAlignment="1" applyProtection="1">
      <alignment horizontal="center" vertical="center"/>
      <protection hidden="1"/>
    </xf>
    <xf numFmtId="1" fontId="3" fillId="5" borderId="22" xfId="2" applyNumberFormat="1" applyFont="1" applyFill="1" applyBorder="1" applyAlignment="1" applyProtection="1">
      <alignment horizontal="center" vertical="center"/>
      <protection hidden="1"/>
    </xf>
    <xf numFmtId="165" fontId="3" fillId="5" borderId="22" xfId="2" applyNumberFormat="1" applyFont="1" applyFill="1" applyBorder="1" applyAlignment="1" applyProtection="1">
      <alignment horizontal="center" vertical="center"/>
      <protection hidden="1"/>
    </xf>
    <xf numFmtId="2" fontId="3" fillId="8" borderId="22" xfId="2" applyNumberFormat="1" applyFont="1" applyFill="1" applyBorder="1" applyAlignment="1" applyProtection="1">
      <alignment horizontal="center" vertical="center"/>
      <protection hidden="1"/>
    </xf>
    <xf numFmtId="165" fontId="3" fillId="7" borderId="22" xfId="2" applyNumberFormat="1" applyFont="1" applyFill="1" applyBorder="1" applyAlignment="1" applyProtection="1">
      <alignment horizontal="center" vertical="center"/>
      <protection hidden="1"/>
    </xf>
    <xf numFmtId="164" fontId="3" fillId="8" borderId="22" xfId="2" applyNumberFormat="1" applyFont="1" applyFill="1" applyBorder="1" applyAlignment="1" applyProtection="1">
      <alignment horizontal="center" vertical="center"/>
      <protection hidden="1"/>
    </xf>
    <xf numFmtId="1" fontId="35" fillId="7" borderId="22" xfId="2" applyNumberFormat="1" applyFont="1" applyFill="1" applyBorder="1" applyAlignment="1" applyProtection="1">
      <alignment horizontal="center" vertical="center"/>
      <protection hidden="1"/>
    </xf>
    <xf numFmtId="165" fontId="35" fillId="7" borderId="22" xfId="2" applyNumberFormat="1" applyFont="1" applyFill="1" applyBorder="1" applyAlignment="1" applyProtection="1">
      <alignment horizontal="center" vertical="center"/>
      <protection hidden="1"/>
    </xf>
    <xf numFmtId="2" fontId="35" fillId="3" borderId="22" xfId="2" applyNumberFormat="1" applyFont="1" applyFill="1" applyBorder="1" applyAlignment="1" applyProtection="1">
      <alignment horizontal="center" vertical="center"/>
      <protection hidden="1"/>
    </xf>
    <xf numFmtId="165" fontId="35" fillId="5" borderId="22" xfId="2" applyNumberFormat="1" applyFont="1" applyFill="1" applyBorder="1" applyAlignment="1" applyProtection="1">
      <alignment horizontal="center" vertical="center"/>
      <protection hidden="1"/>
    </xf>
    <xf numFmtId="2" fontId="35" fillId="7" borderId="22" xfId="2" applyNumberFormat="1" applyFont="1" applyFill="1" applyBorder="1" applyAlignment="1" applyProtection="1">
      <alignment horizontal="center" vertical="center"/>
      <protection hidden="1"/>
    </xf>
    <xf numFmtId="2" fontId="35" fillId="6" borderId="6" xfId="2" applyNumberFormat="1" applyFont="1" applyFill="1" applyBorder="1" applyAlignment="1">
      <alignment horizontal="center" vertical="center"/>
    </xf>
    <xf numFmtId="2" fontId="35" fillId="4" borderId="14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5" fillId="3" borderId="22" xfId="2" applyNumberFormat="1" applyFont="1" applyFill="1" applyBorder="1" applyAlignment="1" applyProtection="1">
      <alignment horizontal="center" vertical="center"/>
      <protection hidden="1"/>
    </xf>
    <xf numFmtId="165" fontId="35" fillId="4" borderId="14" xfId="2" applyNumberFormat="1" applyFont="1" applyFill="1" applyBorder="1" applyAlignment="1">
      <alignment horizontal="center" vertical="center"/>
    </xf>
    <xf numFmtId="2" fontId="35" fillId="6" borderId="6" xfId="2" applyNumberFormat="1" applyFont="1" applyFill="1" applyBorder="1" applyAlignment="1" applyProtection="1">
      <alignment horizontal="center" vertical="center"/>
      <protection hidden="1"/>
    </xf>
    <xf numFmtId="2" fontId="3" fillId="3" borderId="22" xfId="2" applyNumberFormat="1" applyFont="1" applyFill="1" applyBorder="1" applyAlignment="1" applyProtection="1">
      <alignment horizontal="center" vertical="center"/>
      <protection hidden="1"/>
    </xf>
    <xf numFmtId="0" fontId="43" fillId="3" borderId="0" xfId="2" applyFont="1" applyFill="1" applyBorder="1" applyAlignment="1" applyProtection="1">
      <alignment vertical="center"/>
      <protection hidden="1"/>
    </xf>
    <xf numFmtId="2" fontId="3" fillId="4" borderId="6" xfId="2" applyNumberFormat="1" applyFont="1" applyFill="1" applyBorder="1" applyAlignment="1">
      <alignment horizontal="center" vertical="center"/>
    </xf>
    <xf numFmtId="2" fontId="3" fillId="7" borderId="22" xfId="2" applyNumberFormat="1" applyFont="1" applyFill="1" applyBorder="1" applyAlignment="1" applyProtection="1">
      <alignment horizontal="center" vertical="center"/>
      <protection hidden="1"/>
    </xf>
    <xf numFmtId="164" fontId="11" fillId="3" borderId="0" xfId="2" applyNumberFormat="1" applyFont="1" applyFill="1" applyBorder="1" applyAlignment="1" applyProtection="1">
      <alignment horizontal="right" vertical="center"/>
      <protection hidden="1"/>
    </xf>
    <xf numFmtId="1" fontId="35" fillId="4" borderId="14" xfId="2" applyNumberFormat="1" applyFont="1" applyFill="1" applyBorder="1" applyAlignment="1">
      <alignment horizontal="center" vertical="center"/>
    </xf>
    <xf numFmtId="165" fontId="35" fillId="6" borderId="6" xfId="2" applyNumberFormat="1" applyFont="1" applyFill="1" applyBorder="1" applyAlignment="1" applyProtection="1">
      <alignment horizontal="center" vertical="center"/>
      <protection hidden="1"/>
    </xf>
    <xf numFmtId="165" fontId="35" fillId="3" borderId="0" xfId="2" applyNumberFormat="1" applyFont="1" applyFill="1" applyBorder="1" applyAlignment="1" applyProtection="1">
      <alignment vertical="center"/>
      <protection hidden="1"/>
    </xf>
    <xf numFmtId="165" fontId="35" fillId="6" borderId="6" xfId="2" applyNumberFormat="1" applyFont="1" applyFill="1" applyBorder="1" applyAlignment="1">
      <alignment horizontal="center" vertical="center"/>
    </xf>
    <xf numFmtId="1" fontId="35" fillId="5" borderId="25" xfId="2" applyNumberFormat="1" applyFont="1" applyFill="1" applyBorder="1" applyAlignment="1" applyProtection="1">
      <alignment horizontal="center" vertical="center"/>
      <protection hidden="1"/>
    </xf>
    <xf numFmtId="165" fontId="35" fillId="6" borderId="14" xfId="2" applyNumberFormat="1" applyFont="1" applyFill="1" applyBorder="1" applyAlignment="1">
      <alignment horizontal="center" vertical="center"/>
    </xf>
    <xf numFmtId="1" fontId="3" fillId="3" borderId="22" xfId="2" applyNumberFormat="1" applyFont="1" applyFill="1" applyBorder="1" applyAlignment="1" applyProtection="1">
      <alignment horizontal="center" vertical="center"/>
      <protection hidden="1"/>
    </xf>
    <xf numFmtId="1" fontId="3" fillId="4" borderId="6" xfId="2" applyNumberFormat="1" applyFont="1" applyFill="1" applyBorder="1" applyAlignment="1">
      <alignment horizontal="center" vertical="center"/>
    </xf>
    <xf numFmtId="1" fontId="3" fillId="8" borderId="22" xfId="2" applyNumberFormat="1" applyFont="1" applyFill="1" applyBorder="1" applyAlignment="1" applyProtection="1">
      <alignment horizontal="center" vertical="center"/>
      <protection hidden="1"/>
    </xf>
    <xf numFmtId="1" fontId="35" fillId="5" borderId="22" xfId="2" applyNumberFormat="1" applyFont="1" applyFill="1" applyBorder="1" applyAlignment="1" applyProtection="1">
      <alignment horizontal="center" vertical="center"/>
      <protection hidden="1"/>
    </xf>
    <xf numFmtId="2" fontId="35" fillId="3" borderId="0" xfId="2" applyNumberFormat="1" applyFont="1" applyFill="1" applyBorder="1" applyAlignment="1" applyProtection="1">
      <alignment vertical="center"/>
      <protection hidden="1"/>
    </xf>
    <xf numFmtId="1" fontId="35" fillId="4" borderId="6" xfId="2" applyNumberFormat="1" applyFont="1" applyFill="1" applyBorder="1" applyAlignment="1">
      <alignment horizontal="center" vertical="center"/>
    </xf>
    <xf numFmtId="1" fontId="41" fillId="4" borderId="14" xfId="2" applyNumberFormat="1" applyFont="1" applyFill="1" applyBorder="1" applyAlignment="1">
      <alignment horizontal="center" vertical="center"/>
    </xf>
    <xf numFmtId="1" fontId="3" fillId="7" borderId="22" xfId="2" applyNumberFormat="1" applyFont="1" applyFill="1" applyBorder="1" applyAlignment="1" applyProtection="1">
      <alignment horizontal="center" vertical="center"/>
      <protection hidden="1"/>
    </xf>
    <xf numFmtId="2" fontId="39" fillId="3" borderId="0" xfId="2" applyNumberFormat="1" applyFont="1" applyFill="1" applyBorder="1" applyAlignment="1" applyProtection="1">
      <alignment vertical="center"/>
      <protection hidden="1"/>
    </xf>
    <xf numFmtId="1" fontId="3" fillId="6" borderId="6" xfId="2" applyNumberFormat="1" applyFont="1" applyFill="1" applyBorder="1" applyAlignment="1">
      <alignment horizontal="center" vertical="center"/>
    </xf>
    <xf numFmtId="1" fontId="35" fillId="6" borderId="14" xfId="2" applyNumberFormat="1" applyFont="1" applyFill="1" applyBorder="1" applyAlignment="1">
      <alignment horizontal="center" vertical="center"/>
    </xf>
    <xf numFmtId="165" fontId="35" fillId="4" borderId="6" xfId="2" applyNumberFormat="1" applyFont="1" applyFill="1" applyBorder="1" applyAlignment="1">
      <alignment horizontal="center" vertical="center"/>
    </xf>
    <xf numFmtId="165" fontId="3" fillId="4" borderId="14" xfId="2" applyNumberFormat="1" applyFont="1" applyFill="1" applyBorder="1" applyAlignment="1">
      <alignment horizontal="center" vertical="center"/>
    </xf>
    <xf numFmtId="165" fontId="35" fillId="8" borderId="22" xfId="2" applyNumberFormat="1" applyFont="1" applyFill="1" applyBorder="1" applyAlignment="1" applyProtection="1">
      <alignment horizontal="center" vertical="center"/>
      <protection hidden="1"/>
    </xf>
    <xf numFmtId="2" fontId="3" fillId="5" borderId="22" xfId="2" applyNumberFormat="1" applyFont="1" applyFill="1" applyBorder="1" applyAlignment="1" applyProtection="1">
      <alignment horizontal="center" vertical="center"/>
      <protection hidden="1"/>
    </xf>
    <xf numFmtId="2" fontId="35" fillId="5" borderId="22" xfId="2" applyNumberFormat="1" applyFont="1" applyFill="1" applyBorder="1" applyAlignment="1" applyProtection="1">
      <alignment horizontal="center" vertical="center"/>
      <protection hidden="1"/>
    </xf>
    <xf numFmtId="1" fontId="3" fillId="4" borderId="14" xfId="2" applyNumberFormat="1" applyFont="1" applyFill="1" applyBorder="1" applyAlignment="1">
      <alignment horizontal="center" vertical="center"/>
    </xf>
    <xf numFmtId="1" fontId="35" fillId="8" borderId="22" xfId="2" applyNumberFormat="1" applyFont="1" applyFill="1" applyBorder="1" applyAlignment="1" applyProtection="1">
      <alignment horizontal="center" vertical="center"/>
      <protection hidden="1"/>
    </xf>
    <xf numFmtId="1" fontId="35" fillId="6" borderId="6" xfId="2" applyNumberFormat="1" applyFont="1" applyFill="1" applyBorder="1" applyAlignment="1">
      <alignment horizontal="center" vertical="center"/>
    </xf>
    <xf numFmtId="1" fontId="35" fillId="5" borderId="18" xfId="2" applyNumberFormat="1" applyFont="1" applyFill="1" applyBorder="1" applyAlignment="1" applyProtection="1">
      <alignment horizontal="center" vertical="center"/>
      <protection hidden="1"/>
    </xf>
    <xf numFmtId="165" fontId="35" fillId="5" borderId="18" xfId="2" applyNumberFormat="1" applyFont="1" applyFill="1" applyBorder="1" applyAlignment="1" applyProtection="1">
      <alignment horizontal="center" vertical="center"/>
      <protection hidden="1"/>
    </xf>
    <xf numFmtId="1" fontId="35" fillId="4" borderId="16" xfId="2" applyNumberFormat="1" applyFont="1" applyFill="1" applyBorder="1" applyAlignment="1">
      <alignment horizontal="center" vertical="center"/>
    </xf>
    <xf numFmtId="2" fontId="35" fillId="8" borderId="6" xfId="2" applyNumberFormat="1" applyFont="1" applyFill="1" applyBorder="1" applyAlignment="1" applyProtection="1">
      <alignment horizontal="center" vertical="center"/>
      <protection hidden="1"/>
    </xf>
    <xf numFmtId="165" fontId="35" fillId="7" borderId="6" xfId="2" applyNumberFormat="1" applyFont="1" applyFill="1" applyBorder="1" applyAlignment="1" applyProtection="1">
      <alignment horizontal="center" vertical="center"/>
      <protection hidden="1"/>
    </xf>
    <xf numFmtId="0" fontId="35" fillId="3" borderId="5" xfId="2" applyFont="1" applyFill="1" applyBorder="1" applyAlignment="1" applyProtection="1">
      <alignment vertical="center"/>
      <protection hidden="1"/>
    </xf>
    <xf numFmtId="1" fontId="35" fillId="3" borderId="36" xfId="2" applyNumberFormat="1" applyFont="1" applyFill="1" applyBorder="1" applyAlignment="1" applyProtection="1">
      <alignment horizontal="center" vertical="center"/>
      <protection hidden="1"/>
    </xf>
    <xf numFmtId="165" fontId="35" fillId="6" borderId="9" xfId="2" applyNumberFormat="1" applyFont="1" applyFill="1" applyBorder="1" applyAlignment="1" applyProtection="1">
      <alignment horizontal="center" vertical="center"/>
      <protection hidden="1"/>
    </xf>
    <xf numFmtId="2" fontId="3" fillId="7" borderId="18" xfId="2" applyNumberFormat="1" applyFont="1" applyFill="1" applyBorder="1" applyAlignment="1" applyProtection="1">
      <alignment horizontal="center" vertical="center"/>
      <protection hidden="1"/>
    </xf>
    <xf numFmtId="1" fontId="35" fillId="3" borderId="6" xfId="2" applyNumberFormat="1" applyFont="1" applyFill="1" applyBorder="1" applyAlignment="1" applyProtection="1">
      <alignment horizontal="center" vertical="center"/>
      <protection hidden="1"/>
    </xf>
    <xf numFmtId="1" fontId="44" fillId="3" borderId="0" xfId="2" applyNumberFormat="1" applyFont="1" applyFill="1" applyBorder="1" applyAlignment="1" applyProtection="1">
      <alignment horizontal="center" vertical="center"/>
      <protection hidden="1"/>
    </xf>
    <xf numFmtId="0" fontId="45" fillId="3" borderId="0" xfId="2" applyFont="1" applyFill="1" applyBorder="1" applyAlignment="1" applyProtection="1">
      <alignment vertical="center"/>
      <protection hidden="1"/>
    </xf>
    <xf numFmtId="1" fontId="44" fillId="4" borderId="0" xfId="2" applyNumberFormat="1" applyFont="1" applyFill="1" applyBorder="1" applyAlignment="1">
      <alignment horizontal="center" vertical="center"/>
    </xf>
    <xf numFmtId="0" fontId="46" fillId="4" borderId="0" xfId="2" applyFont="1" applyFill="1" applyBorder="1" applyAlignment="1">
      <alignment vertical="center"/>
    </xf>
    <xf numFmtId="0" fontId="47" fillId="4" borderId="0" xfId="2" applyFont="1" applyFill="1" applyAlignment="1">
      <alignment vertical="center"/>
    </xf>
    <xf numFmtId="0" fontId="44" fillId="5" borderId="0" xfId="2" applyFont="1" applyFill="1" applyBorder="1" applyAlignment="1" applyProtection="1">
      <alignment vertical="center"/>
      <protection hidden="1"/>
    </xf>
    <xf numFmtId="0" fontId="44" fillId="5" borderId="0" xfId="2" applyFont="1" applyFill="1" applyBorder="1" applyAlignment="1" applyProtection="1">
      <alignment horizontal="center" vertical="center"/>
      <protection hidden="1"/>
    </xf>
    <xf numFmtId="2" fontId="44" fillId="5" borderId="0" xfId="2" applyNumberFormat="1" applyFont="1" applyFill="1" applyBorder="1" applyAlignment="1" applyProtection="1">
      <alignment horizontal="center" vertical="center"/>
      <protection hidden="1"/>
    </xf>
    <xf numFmtId="2" fontId="44" fillId="4" borderId="0" xfId="2" applyNumberFormat="1" applyFont="1" applyFill="1" applyBorder="1" applyAlignment="1">
      <alignment horizontal="center" vertical="center"/>
    </xf>
    <xf numFmtId="0" fontId="48" fillId="3" borderId="0" xfId="2" applyFont="1" applyFill="1" applyBorder="1" applyAlignment="1" applyProtection="1">
      <alignment vertical="center"/>
      <protection hidden="1"/>
    </xf>
    <xf numFmtId="0" fontId="20" fillId="4" borderId="0" xfId="2" applyFont="1" applyFill="1" applyBorder="1" applyAlignment="1">
      <alignment vertical="center"/>
    </xf>
    <xf numFmtId="0" fontId="44" fillId="3" borderId="0" xfId="2" applyFont="1" applyFill="1" applyBorder="1" applyAlignment="1" applyProtection="1">
      <alignment vertical="center"/>
      <protection hidden="1"/>
    </xf>
    <xf numFmtId="0" fontId="20" fillId="4" borderId="0" xfId="2" applyFont="1" applyFill="1" applyBorder="1" applyAlignment="1" applyProtection="1">
      <alignment vertical="center"/>
      <protection hidden="1"/>
    </xf>
    <xf numFmtId="2" fontId="20" fillId="4" borderId="0" xfId="2" applyNumberFormat="1" applyFont="1" applyFill="1" applyBorder="1" applyAlignment="1" applyProtection="1">
      <alignment horizontal="center" vertical="center"/>
      <protection hidden="1"/>
    </xf>
    <xf numFmtId="0" fontId="44" fillId="3" borderId="0" xfId="2" applyFont="1" applyFill="1" applyBorder="1" applyAlignment="1" applyProtection="1">
      <alignment horizontal="center" vertical="center"/>
      <protection hidden="1"/>
    </xf>
    <xf numFmtId="165" fontId="44" fillId="3" borderId="0" xfId="2" applyNumberFormat="1" applyFont="1" applyFill="1" applyBorder="1" applyAlignment="1" applyProtection="1">
      <alignment horizontal="center" vertical="center"/>
      <protection hidden="1"/>
    </xf>
    <xf numFmtId="165" fontId="44" fillId="5" borderId="0" xfId="2" applyNumberFormat="1" applyFont="1" applyFill="1" applyBorder="1" applyAlignment="1" applyProtection="1">
      <alignment horizontal="center" vertical="center"/>
      <protection hidden="1"/>
    </xf>
    <xf numFmtId="164" fontId="49" fillId="3" borderId="0" xfId="2" applyNumberFormat="1" applyFont="1" applyFill="1" applyBorder="1" applyAlignment="1" applyProtection="1">
      <alignment horizontal="center" vertical="center"/>
      <protection hidden="1"/>
    </xf>
    <xf numFmtId="164" fontId="49" fillId="3" borderId="0" xfId="2" applyNumberFormat="1" applyFont="1" applyFill="1" applyBorder="1" applyAlignment="1" applyProtection="1">
      <alignment horizontal="right" vertical="center"/>
      <protection hidden="1"/>
    </xf>
    <xf numFmtId="0" fontId="47" fillId="4" borderId="0" xfId="2" applyFont="1" applyFill="1" applyBorder="1" applyAlignment="1">
      <alignment vertical="center"/>
    </xf>
    <xf numFmtId="0" fontId="20" fillId="4" borderId="0" xfId="2" applyFont="1" applyFill="1" applyAlignment="1" applyProtection="1">
      <alignment horizontal="center" vertical="center"/>
      <protection hidden="1"/>
    </xf>
    <xf numFmtId="0" fontId="20" fillId="4" borderId="0" xfId="2" applyFont="1" applyFill="1" applyAlignment="1" applyProtection="1">
      <alignment horizontal="center"/>
      <protection hidden="1"/>
    </xf>
    <xf numFmtId="0" fontId="17" fillId="3" borderId="0" xfId="2" applyFont="1" applyFill="1" applyBorder="1" applyAlignment="1" applyProtection="1">
      <alignment horizontal="center" vertical="center" wrapText="1"/>
      <protection hidden="1"/>
    </xf>
    <xf numFmtId="0" fontId="18" fillId="3" borderId="0" xfId="2" applyFont="1" applyFill="1" applyBorder="1" applyAlignment="1" applyProtection="1">
      <alignment horizontal="center" vertical="center"/>
      <protection hidden="1"/>
    </xf>
    <xf numFmtId="166" fontId="17" fillId="3" borderId="0" xfId="2" applyNumberFormat="1" applyFont="1" applyFill="1" applyBorder="1" applyAlignment="1" applyProtection="1">
      <alignment horizontal="center" vertical="center"/>
      <protection hidden="1"/>
    </xf>
    <xf numFmtId="0" fontId="35" fillId="7" borderId="25" xfId="2" applyFont="1" applyFill="1" applyBorder="1" applyAlignment="1" applyProtection="1">
      <alignment vertical="center"/>
      <protection hidden="1"/>
    </xf>
    <xf numFmtId="0" fontId="35" fillId="7" borderId="25" xfId="2" applyFont="1" applyFill="1" applyBorder="1" applyAlignment="1" applyProtection="1">
      <alignment horizontal="center" vertical="center"/>
      <protection hidden="1"/>
    </xf>
    <xf numFmtId="1" fontId="35" fillId="7" borderId="25" xfId="2" applyNumberFormat="1" applyFont="1" applyFill="1" applyBorder="1" applyAlignment="1" applyProtection="1">
      <alignment horizontal="center" vertical="center"/>
      <protection hidden="1"/>
    </xf>
    <xf numFmtId="0" fontId="35" fillId="4" borderId="30" xfId="3" applyFont="1" applyFill="1" applyBorder="1" applyAlignment="1" applyProtection="1">
      <alignment horizontal="left" vertical="center"/>
      <protection hidden="1"/>
    </xf>
    <xf numFmtId="2" fontId="35" fillId="4" borderId="2" xfId="3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0" fillId="4" borderId="0" xfId="0" applyFont="1" applyFill="1" applyAlignment="1">
      <alignment vertical="center"/>
    </xf>
    <xf numFmtId="0" fontId="51" fillId="4" borderId="0" xfId="0" applyFont="1" applyFill="1" applyAlignment="1">
      <alignment horizontal="right" vertical="center"/>
    </xf>
    <xf numFmtId="0" fontId="52" fillId="4" borderId="0" xfId="0" applyFont="1" applyFill="1" applyBorder="1" applyAlignment="1">
      <alignment vertical="center"/>
    </xf>
    <xf numFmtId="2" fontId="53" fillId="2" borderId="6" xfId="0" applyNumberFormat="1" applyFont="1" applyFill="1" applyBorder="1" applyAlignment="1" applyProtection="1">
      <alignment horizontal="center" vertical="center"/>
      <protection locked="0"/>
    </xf>
    <xf numFmtId="0" fontId="50" fillId="4" borderId="0" xfId="0" applyFont="1" applyFill="1" applyBorder="1" applyAlignment="1">
      <alignment vertical="center"/>
    </xf>
    <xf numFmtId="0" fontId="52" fillId="4" borderId="0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right" vertical="center"/>
    </xf>
    <xf numFmtId="0" fontId="51" fillId="11" borderId="9" xfId="0" applyFont="1" applyFill="1" applyBorder="1" applyAlignment="1">
      <alignment horizontal="left" vertical="center"/>
    </xf>
    <xf numFmtId="0" fontId="55" fillId="11" borderId="3" xfId="0" applyFont="1" applyFill="1" applyBorder="1" applyAlignment="1">
      <alignment horizontal="center"/>
    </xf>
    <xf numFmtId="0" fontId="55" fillId="12" borderId="3" xfId="0" applyFont="1" applyFill="1" applyBorder="1" applyAlignment="1">
      <alignment horizontal="center"/>
    </xf>
    <xf numFmtId="0" fontId="58" fillId="3" borderId="0" xfId="0" applyFont="1" applyFill="1" applyBorder="1" applyAlignment="1" applyProtection="1">
      <alignment vertical="center" wrapText="1"/>
      <protection hidden="1"/>
    </xf>
    <xf numFmtId="0" fontId="50" fillId="4" borderId="24" xfId="0" applyFont="1" applyFill="1" applyBorder="1" applyAlignment="1">
      <alignment horizontal="center" vertical="center"/>
    </xf>
    <xf numFmtId="0" fontId="61" fillId="3" borderId="27" xfId="0" applyFont="1" applyFill="1" applyBorder="1" applyAlignment="1" applyProtection="1">
      <alignment vertical="center"/>
      <protection hidden="1"/>
    </xf>
    <xf numFmtId="0" fontId="52" fillId="3" borderId="24" xfId="0" applyFont="1" applyFill="1" applyBorder="1" applyAlignment="1" applyProtection="1">
      <alignment vertical="center"/>
      <protection hidden="1"/>
    </xf>
    <xf numFmtId="0" fontId="61" fillId="3" borderId="24" xfId="0" applyFont="1" applyFill="1" applyBorder="1" applyAlignment="1" applyProtection="1">
      <alignment vertical="center"/>
      <protection hidden="1"/>
    </xf>
    <xf numFmtId="0" fontId="52" fillId="3" borderId="21" xfId="0" applyFont="1" applyFill="1" applyBorder="1" applyAlignment="1" applyProtection="1">
      <alignment vertical="center"/>
      <protection hidden="1"/>
    </xf>
    <xf numFmtId="0" fontId="58" fillId="3" borderId="5" xfId="0" applyFont="1" applyFill="1" applyBorder="1" applyAlignment="1" applyProtection="1">
      <alignment vertical="center" wrapText="1"/>
      <protection hidden="1"/>
    </xf>
    <xf numFmtId="0" fontId="50" fillId="4" borderId="5" xfId="0" applyFont="1" applyFill="1" applyBorder="1" applyAlignment="1">
      <alignment vertical="center"/>
    </xf>
    <xf numFmtId="0" fontId="50" fillId="4" borderId="27" xfId="0" applyFont="1" applyFill="1" applyBorder="1" applyAlignment="1">
      <alignment vertical="center"/>
    </xf>
    <xf numFmtId="0" fontId="50" fillId="4" borderId="37" xfId="0" applyFont="1" applyFill="1" applyBorder="1" applyAlignment="1">
      <alignment vertical="center"/>
    </xf>
    <xf numFmtId="0" fontId="50" fillId="4" borderId="24" xfId="0" applyFont="1" applyFill="1" applyBorder="1" applyAlignment="1">
      <alignment vertical="center"/>
    </xf>
    <xf numFmtId="0" fontId="50" fillId="4" borderId="0" xfId="0" applyFont="1" applyFill="1" applyBorder="1" applyAlignment="1">
      <alignment vertical="top"/>
    </xf>
    <xf numFmtId="0" fontId="50" fillId="4" borderId="0" xfId="0" applyFont="1" applyFill="1" applyBorder="1" applyAlignment="1">
      <alignment horizontal="left" vertical="center"/>
    </xf>
    <xf numFmtId="0" fontId="52" fillId="4" borderId="24" xfId="0" applyFont="1" applyFill="1" applyBorder="1" applyAlignment="1">
      <alignment vertical="center"/>
    </xf>
    <xf numFmtId="0" fontId="50" fillId="4" borderId="38" xfId="0" applyFont="1" applyFill="1" applyBorder="1" applyAlignment="1">
      <alignment vertical="center"/>
    </xf>
    <xf numFmtId="0" fontId="62" fillId="11" borderId="3" xfId="0" applyFont="1" applyFill="1" applyBorder="1" applyAlignment="1">
      <alignment horizontal="center"/>
    </xf>
    <xf numFmtId="0" fontId="62" fillId="12" borderId="3" xfId="0" applyFont="1" applyFill="1" applyBorder="1" applyAlignment="1">
      <alignment horizontal="center"/>
    </xf>
    <xf numFmtId="0" fontId="57" fillId="11" borderId="6" xfId="0" applyFont="1" applyFill="1" applyBorder="1" applyAlignment="1">
      <alignment horizontal="center" vertical="center" wrapText="1"/>
    </xf>
    <xf numFmtId="0" fontId="61" fillId="3" borderId="37" xfId="0" applyFont="1" applyFill="1" applyBorder="1" applyAlignment="1" applyProtection="1">
      <alignment vertical="center"/>
      <protection hidden="1"/>
    </xf>
    <xf numFmtId="0" fontId="52" fillId="3" borderId="0" xfId="0" applyFont="1" applyFill="1" applyBorder="1" applyAlignment="1" applyProtection="1">
      <alignment vertical="center"/>
      <protection hidden="1"/>
    </xf>
    <xf numFmtId="0" fontId="61" fillId="3" borderId="0" xfId="0" applyFont="1" applyFill="1" applyBorder="1" applyAlignment="1" applyProtection="1">
      <alignment vertical="center"/>
      <protection hidden="1"/>
    </xf>
    <xf numFmtId="0" fontId="52" fillId="3" borderId="38" xfId="0" applyFont="1" applyFill="1" applyBorder="1" applyAlignment="1" applyProtection="1">
      <alignment vertical="center"/>
      <protection hidden="1"/>
    </xf>
    <xf numFmtId="0" fontId="59" fillId="3" borderId="6" xfId="0" applyFont="1" applyFill="1" applyBorder="1" applyAlignment="1" applyProtection="1">
      <alignment horizontal="left" vertical="center"/>
      <protection hidden="1"/>
    </xf>
    <xf numFmtId="0" fontId="59" fillId="3" borderId="43" xfId="0" applyFont="1" applyFill="1" applyBorder="1" applyAlignment="1" applyProtection="1">
      <alignment horizontal="left" vertical="center"/>
      <protection hidden="1"/>
    </xf>
    <xf numFmtId="0" fontId="59" fillId="3" borderId="44" xfId="0" applyFont="1" applyFill="1" applyBorder="1" applyAlignment="1" applyProtection="1">
      <alignment horizontal="left" vertical="center"/>
      <protection hidden="1"/>
    </xf>
    <xf numFmtId="0" fontId="50" fillId="4" borderId="0" xfId="0" applyFont="1" applyFill="1" applyBorder="1" applyAlignment="1">
      <alignment horizontal="center" vertical="center"/>
    </xf>
    <xf numFmtId="0" fontId="57" fillId="11" borderId="6" xfId="0" applyFont="1" applyFill="1" applyBorder="1" applyAlignment="1">
      <alignment horizontal="center" vertical="center"/>
    </xf>
    <xf numFmtId="0" fontId="50" fillId="4" borderId="0" xfId="0" applyFont="1" applyFill="1" applyAlignment="1">
      <alignment horizontal="right" vertical="center"/>
    </xf>
    <xf numFmtId="0" fontId="50" fillId="4" borderId="0" xfId="0" applyFont="1" applyFill="1"/>
    <xf numFmtId="0" fontId="50" fillId="4" borderId="37" xfId="0" applyFont="1" applyFill="1" applyBorder="1" applyAlignment="1">
      <alignment horizontal="center" vertical="center"/>
    </xf>
    <xf numFmtId="0" fontId="50" fillId="4" borderId="24" xfId="0" applyFont="1" applyFill="1" applyBorder="1"/>
    <xf numFmtId="0" fontId="50" fillId="4" borderId="0" xfId="0" applyFont="1" applyFill="1" applyBorder="1"/>
    <xf numFmtId="0" fontId="50" fillId="4" borderId="23" xfId="0" applyFont="1" applyFill="1" applyBorder="1"/>
    <xf numFmtId="0" fontId="50" fillId="4" borderId="5" xfId="0" applyFont="1" applyFill="1" applyBorder="1" applyAlignment="1">
      <alignment horizontal="center" vertical="center"/>
    </xf>
    <xf numFmtId="0" fontId="50" fillId="4" borderId="23" xfId="0" applyFont="1" applyFill="1" applyBorder="1" applyAlignment="1">
      <alignment horizontal="center" vertical="center"/>
    </xf>
    <xf numFmtId="0" fontId="50" fillId="4" borderId="11" xfId="0" applyFont="1" applyFill="1" applyBorder="1" applyAlignment="1">
      <alignment vertical="center"/>
    </xf>
    <xf numFmtId="0" fontId="50" fillId="4" borderId="3" xfId="0" applyFont="1" applyFill="1" applyBorder="1" applyAlignment="1">
      <alignment vertical="center"/>
    </xf>
    <xf numFmtId="0" fontId="50" fillId="4" borderId="3" xfId="0" applyFont="1" applyFill="1" applyBorder="1" applyAlignment="1">
      <alignment horizontal="center" vertical="center"/>
    </xf>
    <xf numFmtId="0" fontId="50" fillId="4" borderId="13" xfId="0" applyFont="1" applyFill="1" applyBorder="1" applyAlignment="1">
      <alignment horizontal="center" vertical="center"/>
    </xf>
    <xf numFmtId="0" fontId="50" fillId="4" borderId="12" xfId="0" applyFont="1" applyFill="1" applyBorder="1" applyAlignment="1">
      <alignment vertical="center"/>
    </xf>
    <xf numFmtId="0" fontId="50" fillId="4" borderId="39" xfId="0" applyFont="1" applyFill="1" applyBorder="1"/>
    <xf numFmtId="0" fontId="50" fillId="4" borderId="7" xfId="0" applyFont="1" applyFill="1" applyBorder="1" applyAlignment="1">
      <alignment vertical="center"/>
    </xf>
    <xf numFmtId="0" fontId="50" fillId="4" borderId="8" xfId="0" applyFont="1" applyFill="1" applyBorder="1"/>
    <xf numFmtId="0" fontId="52" fillId="4" borderId="0" xfId="0" applyFont="1" applyFill="1" applyAlignment="1">
      <alignment vertical="center"/>
    </xf>
    <xf numFmtId="0" fontId="50" fillId="4" borderId="13" xfId="0" applyFont="1" applyFill="1" applyBorder="1"/>
    <xf numFmtId="0" fontId="50" fillId="4" borderId="8" xfId="0" applyFont="1" applyFill="1" applyBorder="1" applyAlignment="1">
      <alignment horizontal="center" vertical="center"/>
    </xf>
    <xf numFmtId="0" fontId="63" fillId="4" borderId="0" xfId="0" applyFont="1" applyFill="1" applyAlignment="1"/>
    <xf numFmtId="0" fontId="50" fillId="4" borderId="21" xfId="0" applyFont="1" applyFill="1" applyBorder="1"/>
    <xf numFmtId="0" fontId="50" fillId="4" borderId="38" xfId="0" applyFont="1" applyFill="1" applyBorder="1" applyAlignment="1">
      <alignment horizontal="center" vertical="center"/>
    </xf>
    <xf numFmtId="0" fontId="50" fillId="4" borderId="38" xfId="0" applyFont="1" applyFill="1" applyBorder="1"/>
    <xf numFmtId="0" fontId="50" fillId="4" borderId="20" xfId="0" applyFont="1" applyFill="1" applyBorder="1"/>
    <xf numFmtId="0" fontId="52" fillId="3" borderId="24" xfId="0" applyFont="1" applyFill="1" applyBorder="1" applyAlignment="1" applyProtection="1">
      <alignment vertical="top" wrapText="1"/>
      <protection hidden="1"/>
    </xf>
    <xf numFmtId="0" fontId="52" fillId="3" borderId="0" xfId="0" applyFont="1" applyFill="1" applyBorder="1" applyAlignment="1" applyProtection="1">
      <alignment vertical="top" wrapText="1"/>
      <protection hidden="1"/>
    </xf>
    <xf numFmtId="0" fontId="52" fillId="4" borderId="0" xfId="0" applyFont="1" applyFill="1" applyBorder="1" applyAlignment="1" applyProtection="1">
      <alignment vertical="center"/>
      <protection hidden="1"/>
    </xf>
    <xf numFmtId="0" fontId="52" fillId="3" borderId="37" xfId="0" applyFont="1" applyFill="1" applyBorder="1" applyAlignment="1" applyProtection="1">
      <alignment vertical="center"/>
      <protection hidden="1"/>
    </xf>
    <xf numFmtId="0" fontId="50" fillId="4" borderId="26" xfId="0" applyFont="1" applyFill="1" applyBorder="1" applyAlignment="1">
      <alignment horizontal="center" vertical="center"/>
    </xf>
    <xf numFmtId="0" fontId="50" fillId="4" borderId="20" xfId="0" applyFont="1" applyFill="1" applyBorder="1" applyAlignment="1">
      <alignment horizontal="center" vertical="center"/>
    </xf>
    <xf numFmtId="0" fontId="50" fillId="4" borderId="39" xfId="0" applyFont="1" applyFill="1" applyBorder="1" applyAlignment="1">
      <alignment horizontal="center" vertical="center"/>
    </xf>
    <xf numFmtId="0" fontId="50" fillId="4" borderId="39" xfId="0" applyFont="1" applyFill="1" applyBorder="1" applyAlignment="1">
      <alignment vertical="center"/>
    </xf>
    <xf numFmtId="0" fontId="52" fillId="4" borderId="39" xfId="0" applyFont="1" applyFill="1" applyBorder="1" applyAlignment="1">
      <alignment horizontal="center" vertical="center"/>
    </xf>
    <xf numFmtId="2" fontId="64" fillId="2" borderId="1" xfId="0" applyNumberFormat="1" applyFont="1" applyFill="1" applyBorder="1" applyAlignment="1" applyProtection="1">
      <alignment horizontal="center" vertical="center"/>
      <protection locked="0"/>
    </xf>
    <xf numFmtId="0" fontId="65" fillId="4" borderId="0" xfId="0" applyFont="1" applyFill="1" applyBorder="1" applyAlignment="1">
      <alignment vertical="center"/>
    </xf>
    <xf numFmtId="2" fontId="64" fillId="2" borderId="42" xfId="0" applyNumberFormat="1" applyFont="1" applyFill="1" applyBorder="1" applyAlignment="1" applyProtection="1">
      <alignment horizontal="center" vertical="center"/>
      <protection locked="0"/>
    </xf>
    <xf numFmtId="1" fontId="64" fillId="2" borderId="1" xfId="0" applyNumberFormat="1" applyFont="1" applyFill="1" applyBorder="1" applyAlignment="1" applyProtection="1">
      <alignment horizontal="center" vertical="center"/>
      <protection locked="0"/>
    </xf>
    <xf numFmtId="1" fontId="64" fillId="2" borderId="2" xfId="0" applyNumberFormat="1" applyFont="1" applyFill="1" applyBorder="1" applyAlignment="1" applyProtection="1">
      <alignment horizontal="center" vertical="center"/>
      <protection locked="0"/>
    </xf>
    <xf numFmtId="165" fontId="64" fillId="2" borderId="1" xfId="0" applyNumberFormat="1" applyFont="1" applyFill="1" applyBorder="1" applyAlignment="1" applyProtection="1">
      <alignment horizontal="center" vertical="center"/>
      <protection locked="0"/>
    </xf>
    <xf numFmtId="165" fontId="64" fillId="2" borderId="28" xfId="0" applyNumberFormat="1" applyFont="1" applyFill="1" applyBorder="1" applyAlignment="1" applyProtection="1">
      <alignment horizontal="center" vertical="center"/>
      <protection locked="0"/>
    </xf>
    <xf numFmtId="0" fontId="59" fillId="3" borderId="40" xfId="0" applyFont="1" applyFill="1" applyBorder="1" applyAlignment="1" applyProtection="1">
      <alignment horizontal="left" vertical="center"/>
      <protection hidden="1"/>
    </xf>
    <xf numFmtId="0" fontId="59" fillId="3" borderId="41" xfId="0" applyFont="1" applyFill="1" applyBorder="1" applyAlignment="1" applyProtection="1">
      <alignment horizontal="left" vertical="center"/>
      <protection hidden="1"/>
    </xf>
    <xf numFmtId="0" fontId="53" fillId="4" borderId="0" xfId="0" applyFont="1" applyFill="1" applyAlignment="1">
      <alignment vertical="center"/>
    </xf>
    <xf numFmtId="0" fontId="50" fillId="4" borderId="26" xfId="0" applyFont="1" applyFill="1" applyBorder="1" applyAlignment="1">
      <alignment vertical="center"/>
    </xf>
    <xf numFmtId="0" fontId="50" fillId="4" borderId="23" xfId="0" applyFont="1" applyFill="1" applyBorder="1" applyAlignment="1">
      <alignment vertical="center"/>
    </xf>
    <xf numFmtId="0" fontId="67" fillId="3" borderId="0" xfId="0" applyFont="1" applyFill="1" applyBorder="1" applyAlignment="1" applyProtection="1">
      <alignment vertical="center" wrapText="1"/>
      <protection hidden="1"/>
    </xf>
    <xf numFmtId="0" fontId="58" fillId="3" borderId="23" xfId="0" applyFont="1" applyFill="1" applyBorder="1" applyAlignment="1" applyProtection="1">
      <alignment vertical="center" wrapText="1"/>
      <protection hidden="1"/>
    </xf>
    <xf numFmtId="0" fontId="50" fillId="4" borderId="11" xfId="0" applyFont="1" applyFill="1" applyBorder="1" applyAlignment="1">
      <alignment horizontal="center" vertical="center"/>
    </xf>
    <xf numFmtId="0" fontId="50" fillId="4" borderId="12" xfId="0" applyFont="1" applyFill="1" applyBorder="1" applyAlignment="1">
      <alignment horizontal="center" vertical="center"/>
    </xf>
    <xf numFmtId="0" fontId="52" fillId="4" borderId="23" xfId="0" applyFont="1" applyFill="1" applyBorder="1" applyAlignment="1">
      <alignment vertical="center"/>
    </xf>
    <xf numFmtId="0" fontId="50" fillId="4" borderId="7" xfId="0" applyFont="1" applyFill="1" applyBorder="1" applyAlignment="1">
      <alignment horizontal="center" vertical="center"/>
    </xf>
    <xf numFmtId="0" fontId="50" fillId="4" borderId="20" xfId="0" applyFont="1" applyFill="1" applyBorder="1" applyAlignment="1">
      <alignment vertical="center"/>
    </xf>
    <xf numFmtId="2" fontId="59" fillId="2" borderId="28" xfId="0" applyNumberFormat="1" applyFont="1" applyFill="1" applyBorder="1" applyAlignment="1" applyProtection="1">
      <alignment horizontal="center" vertical="center"/>
      <protection locked="0"/>
    </xf>
    <xf numFmtId="0" fontId="68" fillId="4" borderId="0" xfId="0" applyFont="1" applyFill="1" applyBorder="1" applyAlignment="1">
      <alignment vertical="center"/>
    </xf>
    <xf numFmtId="0" fontId="68" fillId="4" borderId="0" xfId="0" applyFont="1" applyFill="1" applyAlignment="1">
      <alignment vertical="center"/>
    </xf>
    <xf numFmtId="2" fontId="65" fillId="11" borderId="9" xfId="0" applyNumberFormat="1" applyFont="1" applyFill="1" applyBorder="1" applyAlignment="1">
      <alignment horizontal="right" vertical="center"/>
    </xf>
    <xf numFmtId="165" fontId="65" fillId="12" borderId="9" xfId="0" applyNumberFormat="1" applyFont="1" applyFill="1" applyBorder="1" applyAlignment="1">
      <alignment horizontal="right" vertical="center"/>
    </xf>
    <xf numFmtId="165" fontId="59" fillId="4" borderId="0" xfId="1" applyNumberFormat="1" applyFont="1" applyFill="1" applyBorder="1" applyAlignment="1">
      <alignment horizontal="center" vertical="center"/>
    </xf>
    <xf numFmtId="2" fontId="65" fillId="12" borderId="9" xfId="0" applyNumberFormat="1" applyFont="1" applyFill="1" applyBorder="1" applyAlignment="1">
      <alignment horizontal="right" vertical="center"/>
    </xf>
    <xf numFmtId="165" fontId="65" fillId="11" borderId="9" xfId="0" applyNumberFormat="1" applyFont="1" applyFill="1" applyBorder="1" applyAlignment="1">
      <alignment horizontal="right" vertical="center"/>
    </xf>
    <xf numFmtId="1" fontId="65" fillId="11" borderId="9" xfId="0" applyNumberFormat="1" applyFont="1" applyFill="1" applyBorder="1" applyAlignment="1">
      <alignment horizontal="right" vertical="center"/>
    </xf>
    <xf numFmtId="1" fontId="65" fillId="12" borderId="9" xfId="0" applyNumberFormat="1" applyFont="1" applyFill="1" applyBorder="1" applyAlignment="1">
      <alignment horizontal="right" vertical="center"/>
    </xf>
    <xf numFmtId="0" fontId="65" fillId="4" borderId="0" xfId="0" applyFont="1" applyFill="1" applyAlignment="1">
      <alignment vertical="center"/>
    </xf>
    <xf numFmtId="0" fontId="54" fillId="11" borderId="10" xfId="0" applyFont="1" applyFill="1" applyBorder="1" applyAlignment="1">
      <alignment vertical="center"/>
    </xf>
    <xf numFmtId="0" fontId="54" fillId="12" borderId="10" xfId="0" applyFont="1" applyFill="1" applyBorder="1" applyAlignment="1">
      <alignment vertical="center"/>
    </xf>
    <xf numFmtId="0" fontId="54" fillId="4" borderId="0" xfId="0" applyFont="1" applyFill="1" applyBorder="1" applyAlignment="1">
      <alignment vertical="center"/>
    </xf>
    <xf numFmtId="0" fontId="50" fillId="11" borderId="10" xfId="0" applyFont="1" applyFill="1" applyBorder="1" applyAlignment="1">
      <alignment vertical="center"/>
    </xf>
    <xf numFmtId="0" fontId="50" fillId="12" borderId="10" xfId="0" applyFont="1" applyFill="1" applyBorder="1" applyAlignment="1">
      <alignment vertical="center"/>
    </xf>
    <xf numFmtId="0" fontId="57" fillId="11" borderId="6" xfId="0" applyFont="1" applyFill="1" applyBorder="1" applyAlignment="1">
      <alignment horizontal="left" vertical="center" wrapText="1"/>
    </xf>
    <xf numFmtId="0" fontId="57" fillId="12" borderId="6" xfId="0" applyFont="1" applyFill="1" applyBorder="1" applyAlignment="1">
      <alignment horizontal="left" vertical="center" wrapText="1"/>
    </xf>
    <xf numFmtId="0" fontId="68" fillId="4" borderId="0" xfId="0" applyFont="1" applyFill="1" applyBorder="1" applyAlignment="1">
      <alignment horizontal="left" vertical="center"/>
    </xf>
    <xf numFmtId="0" fontId="57" fillId="11" borderId="9" xfId="0" applyFont="1" applyFill="1" applyBorder="1" applyAlignment="1">
      <alignment horizontal="left" vertical="center"/>
    </xf>
    <xf numFmtId="2" fontId="64" fillId="2" borderId="6" xfId="0" applyNumberFormat="1" applyFont="1" applyFill="1" applyBorder="1" applyAlignment="1" applyProtection="1">
      <alignment horizontal="center" vertical="center"/>
      <protection locked="0"/>
    </xf>
    <xf numFmtId="0" fontId="65" fillId="4" borderId="0" xfId="0" applyFont="1" applyFill="1" applyBorder="1" applyAlignment="1">
      <alignment horizontal="left" vertical="center"/>
    </xf>
    <xf numFmtId="0" fontId="65" fillId="4" borderId="0" xfId="0" applyFont="1" applyFill="1" applyBorder="1" applyAlignment="1">
      <alignment horizontal="center" vertical="center"/>
    </xf>
    <xf numFmtId="1" fontId="64" fillId="2" borderId="42" xfId="0" applyNumberFormat="1" applyFont="1" applyFill="1" applyBorder="1" applyAlignment="1" applyProtection="1">
      <alignment horizontal="center" vertical="center"/>
      <protection locked="0"/>
    </xf>
    <xf numFmtId="0" fontId="68" fillId="4" borderId="0" xfId="0" applyFont="1" applyFill="1" applyBorder="1" applyAlignment="1">
      <alignment horizontal="center" vertical="center"/>
    </xf>
    <xf numFmtId="0" fontId="68" fillId="4" borderId="0" xfId="0" applyFont="1" applyFill="1" applyBorder="1"/>
    <xf numFmtId="0" fontId="54" fillId="4" borderId="0" xfId="0" applyFont="1" applyFill="1" applyBorder="1"/>
    <xf numFmtId="0" fontId="65" fillId="4" borderId="0" xfId="0" applyFont="1" applyFill="1" applyBorder="1"/>
    <xf numFmtId="0" fontId="68" fillId="4" borderId="21" xfId="0" applyFont="1" applyFill="1" applyBorder="1" applyAlignment="1">
      <alignment vertical="center"/>
    </xf>
    <xf numFmtId="1" fontId="64" fillId="13" borderId="28" xfId="0" applyNumberFormat="1" applyFont="1" applyFill="1" applyBorder="1" applyAlignment="1" applyProtection="1">
      <alignment horizontal="center" vertical="center"/>
    </xf>
    <xf numFmtId="0" fontId="53" fillId="4" borderId="0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right" vertical="center"/>
    </xf>
    <xf numFmtId="0" fontId="70" fillId="4" borderId="0" xfId="0" applyFont="1" applyFill="1" applyBorder="1" applyAlignment="1">
      <alignment horizontal="right" vertical="center"/>
    </xf>
    <xf numFmtId="0" fontId="53" fillId="4" borderId="0" xfId="0" applyFont="1" applyFill="1" applyBorder="1" applyAlignment="1">
      <alignment horizontal="center" vertical="center"/>
    </xf>
    <xf numFmtId="0" fontId="53" fillId="4" borderId="0" xfId="0" applyFont="1" applyFill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1" fontId="72" fillId="4" borderId="0" xfId="0" applyNumberFormat="1" applyFont="1" applyFill="1" applyBorder="1" applyAlignment="1">
      <alignment horizontal="center" vertical="center"/>
    </xf>
    <xf numFmtId="1" fontId="53" fillId="4" borderId="0" xfId="0" applyNumberFormat="1" applyFont="1" applyFill="1" applyBorder="1" applyAlignment="1">
      <alignment horizontal="center" vertical="center"/>
    </xf>
    <xf numFmtId="1" fontId="70" fillId="4" borderId="0" xfId="0" applyNumberFormat="1" applyFont="1" applyFill="1" applyBorder="1" applyAlignment="1">
      <alignment horizontal="center" vertical="center"/>
    </xf>
    <xf numFmtId="164" fontId="53" fillId="4" borderId="0" xfId="0" applyNumberFormat="1" applyFont="1" applyFill="1" applyBorder="1" applyAlignment="1">
      <alignment horizontal="center" vertical="center"/>
    </xf>
    <xf numFmtId="2" fontId="70" fillId="4" borderId="0" xfId="0" applyNumberFormat="1" applyFont="1" applyFill="1" applyBorder="1" applyAlignment="1">
      <alignment horizontal="center" vertical="center"/>
    </xf>
    <xf numFmtId="2" fontId="53" fillId="4" borderId="0" xfId="0" applyNumberFormat="1" applyFont="1" applyFill="1" applyBorder="1" applyAlignment="1">
      <alignment horizontal="center" vertical="center"/>
    </xf>
    <xf numFmtId="165" fontId="53" fillId="4" borderId="0" xfId="0" applyNumberFormat="1" applyFont="1" applyFill="1" applyBorder="1" applyAlignment="1">
      <alignment horizontal="center" vertical="center"/>
    </xf>
    <xf numFmtId="0" fontId="73" fillId="4" borderId="0" xfId="0" applyFont="1" applyFill="1" applyBorder="1" applyAlignment="1">
      <alignment horizontal="right" vertical="center"/>
    </xf>
    <xf numFmtId="2" fontId="73" fillId="4" borderId="0" xfId="0" applyNumberFormat="1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right" vertical="center"/>
    </xf>
    <xf numFmtId="165" fontId="74" fillId="4" borderId="0" xfId="0" applyNumberFormat="1" applyFont="1" applyFill="1" applyBorder="1" applyAlignment="1">
      <alignment horizontal="center" vertical="center"/>
    </xf>
    <xf numFmtId="1" fontId="73" fillId="4" borderId="0" xfId="0" applyNumberFormat="1" applyFont="1" applyFill="1" applyBorder="1" applyAlignment="1">
      <alignment horizontal="center" vertical="center"/>
    </xf>
    <xf numFmtId="165" fontId="73" fillId="4" borderId="0" xfId="0" applyNumberFormat="1" applyFont="1" applyFill="1" applyBorder="1" applyAlignment="1">
      <alignment horizontal="center" vertical="center"/>
    </xf>
    <xf numFmtId="2" fontId="74" fillId="4" borderId="0" xfId="0" applyNumberFormat="1" applyFont="1" applyFill="1" applyBorder="1" applyAlignment="1">
      <alignment horizontal="center" vertical="center"/>
    </xf>
    <xf numFmtId="0" fontId="73" fillId="4" borderId="0" xfId="0" applyFont="1" applyFill="1" applyBorder="1" applyAlignment="1">
      <alignment vertical="center"/>
    </xf>
    <xf numFmtId="2" fontId="74" fillId="4" borderId="0" xfId="0" applyNumberFormat="1" applyFont="1" applyFill="1" applyBorder="1" applyAlignment="1">
      <alignment horizontal="left" vertical="center"/>
    </xf>
    <xf numFmtId="1" fontId="74" fillId="4" borderId="0" xfId="0" applyNumberFormat="1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center" vertical="center"/>
    </xf>
    <xf numFmtId="164" fontId="73" fillId="4" borderId="0" xfId="0" applyNumberFormat="1" applyFont="1" applyFill="1" applyBorder="1" applyAlignment="1">
      <alignment horizontal="center" vertical="center"/>
    </xf>
    <xf numFmtId="0" fontId="75" fillId="4" borderId="0" xfId="0" applyFont="1" applyFill="1" applyBorder="1" applyAlignment="1">
      <alignment horizontal="right" vertical="center"/>
    </xf>
    <xf numFmtId="2" fontId="75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76" fillId="4" borderId="0" xfId="0" applyFont="1" applyFill="1" applyBorder="1" applyAlignment="1">
      <alignment horizontal="right" vertical="center"/>
    </xf>
    <xf numFmtId="2" fontId="76" fillId="4" borderId="0" xfId="0" applyNumberFormat="1" applyFont="1" applyFill="1" applyBorder="1" applyAlignment="1">
      <alignment horizontal="center" vertical="center"/>
    </xf>
    <xf numFmtId="0" fontId="53" fillId="4" borderId="0" xfId="0" applyFont="1" applyFill="1" applyBorder="1"/>
    <xf numFmtId="0" fontId="77" fillId="4" borderId="0" xfId="0" applyFont="1" applyFill="1" applyBorder="1" applyAlignment="1">
      <alignment horizontal="right" vertical="center"/>
    </xf>
    <xf numFmtId="0" fontId="78" fillId="4" borderId="0" xfId="0" applyFont="1" applyFill="1" applyBorder="1" applyAlignment="1">
      <alignment horizontal="right" vertical="center"/>
    </xf>
    <xf numFmtId="1" fontId="79" fillId="4" borderId="0" xfId="0" applyNumberFormat="1" applyFont="1" applyFill="1" applyBorder="1" applyAlignment="1">
      <alignment horizontal="center" vertical="center"/>
    </xf>
    <xf numFmtId="2" fontId="72" fillId="4" borderId="0" xfId="0" applyNumberFormat="1" applyFont="1" applyFill="1" applyBorder="1" applyAlignment="1">
      <alignment horizontal="center" vertical="center"/>
    </xf>
    <xf numFmtId="9" fontId="53" fillId="4" borderId="0" xfId="1" applyFont="1" applyFill="1" applyBorder="1" applyAlignment="1">
      <alignment horizontal="center" vertical="center"/>
    </xf>
    <xf numFmtId="1" fontId="53" fillId="4" borderId="0" xfId="0" applyNumberFormat="1" applyFont="1" applyFill="1" applyBorder="1" applyAlignment="1">
      <alignment horizontal="right" vertical="center"/>
    </xf>
    <xf numFmtId="1" fontId="75" fillId="4" borderId="0" xfId="0" applyNumberFormat="1" applyFont="1" applyFill="1" applyBorder="1" applyAlignment="1">
      <alignment horizontal="center" vertical="center"/>
    </xf>
    <xf numFmtId="165" fontId="75" fillId="4" borderId="0" xfId="0" applyNumberFormat="1" applyFont="1" applyFill="1" applyBorder="1" applyAlignment="1">
      <alignment horizontal="center" vertical="center"/>
    </xf>
    <xf numFmtId="1" fontId="76" fillId="4" borderId="0" xfId="0" applyNumberFormat="1" applyFont="1" applyFill="1" applyBorder="1" applyAlignment="1">
      <alignment horizontal="center" vertical="center"/>
    </xf>
    <xf numFmtId="165" fontId="76" fillId="4" borderId="0" xfId="0" applyNumberFormat="1" applyFont="1" applyFill="1" applyBorder="1" applyAlignment="1">
      <alignment horizontal="center" vertical="center"/>
    </xf>
    <xf numFmtId="2" fontId="64" fillId="2" borderId="42" xfId="0" applyNumberFormat="1" applyFont="1" applyFill="1" applyBorder="1" applyAlignment="1" applyProtection="1">
      <alignment horizontal="center" vertical="center"/>
    </xf>
    <xf numFmtId="0" fontId="50" fillId="4" borderId="3" xfId="0" applyFont="1" applyFill="1" applyBorder="1"/>
    <xf numFmtId="165" fontId="5" fillId="4" borderId="4" xfId="0" applyNumberFormat="1" applyFon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165" fontId="59" fillId="11" borderId="3" xfId="0" applyNumberFormat="1" applyFont="1" applyFill="1" applyBorder="1" applyAlignment="1">
      <alignment horizontal="right" vertical="center"/>
    </xf>
    <xf numFmtId="165" fontId="59" fillId="11" borderId="5" xfId="0" applyNumberFormat="1" applyFont="1" applyFill="1" applyBorder="1" applyAlignment="1">
      <alignment horizontal="right" vertical="center"/>
    </xf>
    <xf numFmtId="0" fontId="51" fillId="12" borderId="11" xfId="0" applyFont="1" applyFill="1" applyBorder="1" applyAlignment="1">
      <alignment horizontal="left" vertical="center"/>
    </xf>
    <xf numFmtId="0" fontId="51" fillId="12" borderId="7" xfId="0" applyFont="1" applyFill="1" applyBorder="1" applyAlignment="1">
      <alignment horizontal="left" vertical="center"/>
    </xf>
    <xf numFmtId="165" fontId="59" fillId="12" borderId="3" xfId="0" applyNumberFormat="1" applyFont="1" applyFill="1" applyBorder="1" applyAlignment="1">
      <alignment horizontal="right" vertical="center"/>
    </xf>
    <xf numFmtId="165" fontId="59" fillId="12" borderId="5" xfId="0" applyNumberFormat="1" applyFont="1" applyFill="1" applyBorder="1" applyAlignment="1">
      <alignment horizontal="right" vertical="center"/>
    </xf>
    <xf numFmtId="0" fontId="50" fillId="11" borderId="13" xfId="0" applyFont="1" applyFill="1" applyBorder="1" applyAlignment="1">
      <alignment horizontal="left" vertical="center"/>
    </xf>
    <xf numFmtId="0" fontId="50" fillId="11" borderId="8" xfId="0" applyFont="1" applyFill="1" applyBorder="1" applyAlignment="1">
      <alignment horizontal="left" vertical="center"/>
    </xf>
    <xf numFmtId="0" fontId="50" fillId="12" borderId="13" xfId="0" applyFont="1" applyFill="1" applyBorder="1" applyAlignment="1">
      <alignment horizontal="left" vertical="center"/>
    </xf>
    <xf numFmtId="0" fontId="50" fillId="12" borderId="8" xfId="0" applyFont="1" applyFill="1" applyBorder="1" applyAlignment="1">
      <alignment horizontal="left" vertical="center"/>
    </xf>
    <xf numFmtId="0" fontId="51" fillId="11" borderId="11" xfId="0" applyFont="1" applyFill="1" applyBorder="1" applyAlignment="1">
      <alignment horizontal="left" vertical="center"/>
    </xf>
    <xf numFmtId="0" fontId="51" fillId="11" borderId="7" xfId="0" applyFont="1" applyFill="1" applyBorder="1" applyAlignment="1">
      <alignment horizontal="left" vertical="center"/>
    </xf>
    <xf numFmtId="0" fontId="57" fillId="12" borderId="11" xfId="0" applyFont="1" applyFill="1" applyBorder="1" applyAlignment="1">
      <alignment horizontal="left" vertical="center"/>
    </xf>
    <xf numFmtId="0" fontId="57" fillId="12" borderId="7" xfId="0" applyFont="1" applyFill="1" applyBorder="1" applyAlignment="1">
      <alignment horizontal="left" vertical="center"/>
    </xf>
    <xf numFmtId="0" fontId="57" fillId="11" borderId="15" xfId="0" applyFont="1" applyFill="1" applyBorder="1" applyAlignment="1">
      <alignment horizontal="center" vertical="center"/>
    </xf>
    <xf numFmtId="0" fontId="57" fillId="11" borderId="16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1" fontId="59" fillId="12" borderId="3" xfId="0" applyNumberFormat="1" applyFont="1" applyFill="1" applyBorder="1" applyAlignment="1">
      <alignment horizontal="right" vertical="center"/>
    </xf>
    <xf numFmtId="1" fontId="59" fillId="12" borderId="5" xfId="0" applyNumberFormat="1" applyFont="1" applyFill="1" applyBorder="1" applyAlignment="1">
      <alignment horizontal="right" vertical="center"/>
    </xf>
    <xf numFmtId="0" fontId="57" fillId="11" borderId="11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1" fontId="59" fillId="11" borderId="3" xfId="0" applyNumberFormat="1" applyFont="1" applyFill="1" applyBorder="1" applyAlignment="1">
      <alignment horizontal="right" vertical="center"/>
    </xf>
    <xf numFmtId="1" fontId="59" fillId="11" borderId="5" xfId="0" applyNumberFormat="1" applyFont="1" applyFill="1" applyBorder="1" applyAlignment="1">
      <alignment horizontal="right" vertical="center"/>
    </xf>
    <xf numFmtId="2" fontId="59" fillId="12" borderId="3" xfId="0" applyNumberFormat="1" applyFont="1" applyFill="1" applyBorder="1" applyAlignment="1">
      <alignment horizontal="right" vertical="center"/>
    </xf>
    <xf numFmtId="2" fontId="59" fillId="12" borderId="5" xfId="0" applyNumberFormat="1" applyFont="1" applyFill="1" applyBorder="1" applyAlignment="1">
      <alignment horizontal="right" vertical="center"/>
    </xf>
    <xf numFmtId="0" fontId="53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57" fillId="11" borderId="15" xfId="0" applyFont="1" applyFill="1" applyBorder="1" applyAlignment="1">
      <alignment horizontal="center" vertical="center" wrapText="1"/>
    </xf>
    <xf numFmtId="0" fontId="57" fillId="11" borderId="16" xfId="0" applyFont="1" applyFill="1" applyBorder="1" applyAlignment="1">
      <alignment horizontal="center" vertical="center" wrapText="1"/>
    </xf>
    <xf numFmtId="0" fontId="57" fillId="11" borderId="14" xfId="0" applyFont="1" applyFill="1" applyBorder="1" applyAlignment="1">
      <alignment horizontal="center" vertical="center" wrapText="1"/>
    </xf>
    <xf numFmtId="0" fontId="74" fillId="4" borderId="0" xfId="0" applyFont="1" applyFill="1" applyBorder="1" applyAlignment="1">
      <alignment horizontal="center" vertical="center" wrapText="1"/>
    </xf>
    <xf numFmtId="0" fontId="59" fillId="10" borderId="45" xfId="3" applyFont="1" applyFill="1" applyBorder="1" applyAlignment="1" applyProtection="1">
      <alignment horizontal="left" vertical="center"/>
      <protection hidden="1"/>
    </xf>
    <xf numFmtId="0" fontId="59" fillId="10" borderId="46" xfId="3" applyFont="1" applyFill="1" applyBorder="1" applyAlignment="1" applyProtection="1">
      <alignment horizontal="left" vertical="center"/>
      <protection hidden="1"/>
    </xf>
    <xf numFmtId="0" fontId="59" fillId="10" borderId="21" xfId="3" applyFont="1" applyFill="1" applyBorder="1" applyAlignment="1" applyProtection="1">
      <alignment horizontal="left" vertical="center"/>
      <protection hidden="1"/>
    </xf>
    <xf numFmtId="0" fontId="59" fillId="10" borderId="38" xfId="3" applyFont="1" applyFill="1" applyBorder="1" applyAlignment="1" applyProtection="1">
      <alignment horizontal="left" vertical="center"/>
      <protection hidden="1"/>
    </xf>
    <xf numFmtId="0" fontId="59" fillId="10" borderId="40" xfId="3" applyFont="1" applyFill="1" applyBorder="1" applyAlignment="1" applyProtection="1">
      <alignment horizontal="left" vertical="center"/>
      <protection hidden="1"/>
    </xf>
    <xf numFmtId="0" fontId="59" fillId="10" borderId="41" xfId="3" applyFont="1" applyFill="1" applyBorder="1" applyAlignment="1" applyProtection="1">
      <alignment horizontal="left" vertical="center"/>
      <protection hidden="1"/>
    </xf>
    <xf numFmtId="0" fontId="56" fillId="4" borderId="0" xfId="0" applyFont="1" applyFill="1" applyBorder="1" applyAlignment="1">
      <alignment horizontal="left" vertical="center"/>
    </xf>
    <xf numFmtId="0" fontId="56" fillId="4" borderId="38" xfId="0" applyFont="1" applyFill="1" applyBorder="1" applyAlignment="1">
      <alignment horizontal="left" vertical="center"/>
    </xf>
    <xf numFmtId="0" fontId="60" fillId="3" borderId="0" xfId="0" applyFont="1" applyFill="1" applyBorder="1" applyAlignment="1" applyProtection="1">
      <alignment horizontal="left" vertical="center"/>
      <protection hidden="1"/>
    </xf>
    <xf numFmtId="0" fontId="52" fillId="3" borderId="24" xfId="0" applyFont="1" applyFill="1" applyBorder="1" applyAlignment="1" applyProtection="1">
      <alignment horizontal="left" vertical="top" wrapText="1"/>
      <protection hidden="1"/>
    </xf>
    <xf numFmtId="0" fontId="52" fillId="3" borderId="0" xfId="0" applyFont="1" applyFill="1" applyBorder="1" applyAlignment="1" applyProtection="1">
      <alignment horizontal="left" vertical="top" wrapText="1"/>
      <protection hidden="1"/>
    </xf>
    <xf numFmtId="0" fontId="52" fillId="3" borderId="23" xfId="0" applyFont="1" applyFill="1" applyBorder="1" applyAlignment="1" applyProtection="1">
      <alignment horizontal="left" vertical="top" wrapText="1"/>
      <protection hidden="1"/>
    </xf>
    <xf numFmtId="0" fontId="74" fillId="4" borderId="0" xfId="0" applyFont="1" applyFill="1" applyBorder="1" applyAlignment="1">
      <alignment horizontal="center" vertical="center"/>
    </xf>
    <xf numFmtId="0" fontId="56" fillId="4" borderId="3" xfId="0" applyFont="1" applyFill="1" applyBorder="1" applyAlignment="1">
      <alignment horizontal="center"/>
    </xf>
    <xf numFmtId="0" fontId="56" fillId="4" borderId="5" xfId="0" applyFont="1" applyFill="1" applyBorder="1" applyAlignment="1">
      <alignment horizontal="center"/>
    </xf>
    <xf numFmtId="0" fontId="71" fillId="4" borderId="0" xfId="0" applyFont="1" applyFill="1" applyBorder="1" applyAlignment="1">
      <alignment horizontal="center" vertical="center" wrapText="1"/>
    </xf>
    <xf numFmtId="0" fontId="53" fillId="4" borderId="0" xfId="0" applyFont="1" applyFill="1" applyBorder="1" applyAlignment="1">
      <alignment horizontal="center" vertical="center"/>
    </xf>
    <xf numFmtId="0" fontId="59" fillId="3" borderId="27" xfId="0" applyFont="1" applyFill="1" applyBorder="1" applyAlignment="1" applyProtection="1">
      <alignment horizontal="left" vertical="center"/>
      <protection hidden="1"/>
    </xf>
    <xf numFmtId="0" fontId="59" fillId="3" borderId="37" xfId="0" applyFont="1" applyFill="1" applyBorder="1" applyAlignment="1" applyProtection="1">
      <alignment horizontal="left" vertical="center"/>
      <protection hidden="1"/>
    </xf>
    <xf numFmtId="0" fontId="59" fillId="3" borderId="21" xfId="0" applyFont="1" applyFill="1" applyBorder="1" applyAlignment="1" applyProtection="1">
      <alignment horizontal="left" vertical="center"/>
      <protection hidden="1"/>
    </xf>
    <xf numFmtId="0" fontId="59" fillId="3" borderId="38" xfId="0" applyFont="1" applyFill="1" applyBorder="1" applyAlignment="1" applyProtection="1">
      <alignment horizontal="left" vertical="center"/>
      <protection hidden="1"/>
    </xf>
    <xf numFmtId="0" fontId="59" fillId="3" borderId="40" xfId="0" applyFont="1" applyFill="1" applyBorder="1" applyAlignment="1" applyProtection="1">
      <alignment horizontal="left" vertical="center"/>
      <protection hidden="1"/>
    </xf>
    <xf numFmtId="0" fontId="59" fillId="3" borderId="41" xfId="0" applyFont="1" applyFill="1" applyBorder="1" applyAlignment="1" applyProtection="1">
      <alignment horizontal="left" vertical="center"/>
      <protection hidden="1"/>
    </xf>
    <xf numFmtId="0" fontId="59" fillId="3" borderId="24" xfId="0" applyFont="1" applyFill="1" applyBorder="1" applyAlignment="1" applyProtection="1">
      <alignment horizontal="left" vertical="center"/>
      <protection hidden="1"/>
    </xf>
    <xf numFmtId="0" fontId="60" fillId="3" borderId="37" xfId="0" applyFont="1" applyFill="1" applyBorder="1" applyAlignment="1" applyProtection="1">
      <alignment horizontal="center" vertical="center" wrapText="1"/>
      <protection hidden="1"/>
    </xf>
    <xf numFmtId="0" fontId="60" fillId="3" borderId="0" xfId="0" applyFont="1" applyFill="1" applyBorder="1" applyAlignment="1" applyProtection="1">
      <alignment horizontal="center" vertical="center" wrapText="1"/>
      <protection hidden="1"/>
    </xf>
    <xf numFmtId="0" fontId="60" fillId="3" borderId="5" xfId="0" applyFont="1" applyFill="1" applyBorder="1" applyAlignment="1" applyProtection="1">
      <alignment horizontal="center" vertical="center" wrapText="1"/>
      <protection hidden="1"/>
    </xf>
    <xf numFmtId="2" fontId="59" fillId="11" borderId="4" xfId="0" applyNumberFormat="1" applyFont="1" applyFill="1" applyBorder="1" applyAlignment="1">
      <alignment horizontal="center" vertical="center"/>
    </xf>
    <xf numFmtId="2" fontId="59" fillId="11" borderId="10" xfId="0" applyNumberFormat="1" applyFont="1" applyFill="1" applyBorder="1" applyAlignment="1">
      <alignment horizontal="center" vertical="center"/>
    </xf>
    <xf numFmtId="0" fontId="57" fillId="12" borderId="15" xfId="0" applyFont="1" applyFill="1" applyBorder="1" applyAlignment="1">
      <alignment horizontal="left" vertical="center" wrapText="1"/>
    </xf>
    <xf numFmtId="0" fontId="57" fillId="12" borderId="14" xfId="0" applyFont="1" applyFill="1" applyBorder="1" applyAlignment="1">
      <alignment horizontal="left" vertical="center" wrapText="1"/>
    </xf>
    <xf numFmtId="0" fontId="57" fillId="11" borderId="15" xfId="0" applyFont="1" applyFill="1" applyBorder="1" applyAlignment="1">
      <alignment horizontal="left" vertical="center" wrapText="1"/>
    </xf>
    <xf numFmtId="0" fontId="57" fillId="11" borderId="14" xfId="0" applyFont="1" applyFill="1" applyBorder="1" applyAlignment="1">
      <alignment horizontal="left" vertical="center" wrapText="1"/>
    </xf>
    <xf numFmtId="0" fontId="57" fillId="11" borderId="12" xfId="0" applyFont="1" applyFill="1" applyBorder="1" applyAlignment="1">
      <alignment horizontal="center" vertical="center"/>
    </xf>
    <xf numFmtId="0" fontId="54" fillId="11" borderId="13" xfId="0" applyFont="1" applyFill="1" applyBorder="1" applyAlignment="1">
      <alignment horizontal="left" vertical="center"/>
    </xf>
    <xf numFmtId="0" fontId="54" fillId="11" borderId="8" xfId="0" applyFont="1" applyFill="1" applyBorder="1" applyAlignment="1">
      <alignment horizontal="left" vertical="center"/>
    </xf>
    <xf numFmtId="0" fontId="54" fillId="12" borderId="13" xfId="0" applyFont="1" applyFill="1" applyBorder="1" applyAlignment="1">
      <alignment horizontal="left" vertical="center"/>
    </xf>
    <xf numFmtId="0" fontId="54" fillId="12" borderId="8" xfId="0" applyFont="1" applyFill="1" applyBorder="1" applyAlignment="1">
      <alignment horizontal="left" vertical="center"/>
    </xf>
    <xf numFmtId="0" fontId="74" fillId="4" borderId="0" xfId="0" applyFont="1" applyFill="1" applyBorder="1" applyAlignment="1">
      <alignment horizontal="right" vertical="center" wrapText="1"/>
    </xf>
    <xf numFmtId="2" fontId="59" fillId="11" borderId="3" xfId="0" applyNumberFormat="1" applyFont="1" applyFill="1" applyBorder="1" applyAlignment="1">
      <alignment horizontal="right" vertical="center"/>
    </xf>
    <xf numFmtId="2" fontId="59" fillId="11" borderId="5" xfId="0" applyNumberFormat="1" applyFont="1" applyFill="1" applyBorder="1" applyAlignment="1">
      <alignment horizontal="right" vertical="center"/>
    </xf>
    <xf numFmtId="0" fontId="59" fillId="3" borderId="47" xfId="0" applyFont="1" applyFill="1" applyBorder="1" applyAlignment="1" applyProtection="1">
      <alignment horizontal="left" vertical="center"/>
      <protection hidden="1"/>
    </xf>
    <xf numFmtId="0" fontId="74" fillId="4" borderId="0" xfId="0" applyFont="1" applyFill="1" applyBorder="1" applyAlignment="1">
      <alignment horizontal="right"/>
    </xf>
    <xf numFmtId="0" fontId="63" fillId="4" borderId="0" xfId="0" applyFont="1" applyFill="1" applyAlignment="1">
      <alignment horizontal="left" vertical="center"/>
    </xf>
    <xf numFmtId="0" fontId="66" fillId="4" borderId="0" xfId="0" applyFont="1" applyFill="1" applyBorder="1" applyAlignment="1">
      <alignment horizontal="left" vertical="center"/>
    </xf>
    <xf numFmtId="0" fontId="66" fillId="4" borderId="38" xfId="0" applyFont="1" applyFill="1" applyBorder="1" applyAlignment="1">
      <alignment horizontal="left" vertical="center"/>
    </xf>
    <xf numFmtId="0" fontId="58" fillId="3" borderId="27" xfId="0" applyFont="1" applyFill="1" applyBorder="1" applyAlignment="1" applyProtection="1">
      <alignment horizontal="center" vertical="center" wrapText="1"/>
      <protection hidden="1"/>
    </xf>
    <xf numFmtId="0" fontId="58" fillId="3" borderId="37" xfId="0" applyFont="1" applyFill="1" applyBorder="1" applyAlignment="1" applyProtection="1">
      <alignment horizontal="center" vertical="center" wrapText="1"/>
      <protection hidden="1"/>
    </xf>
    <xf numFmtId="0" fontId="58" fillId="3" borderId="26" xfId="0" applyFont="1" applyFill="1" applyBorder="1" applyAlignment="1" applyProtection="1">
      <alignment horizontal="center" vertical="center" wrapText="1"/>
      <protection hidden="1"/>
    </xf>
    <xf numFmtId="0" fontId="58" fillId="3" borderId="24" xfId="0" applyFont="1" applyFill="1" applyBorder="1" applyAlignment="1" applyProtection="1">
      <alignment horizontal="center" vertical="center" wrapText="1"/>
      <protection hidden="1"/>
    </xf>
    <xf numFmtId="0" fontId="58" fillId="3" borderId="0" xfId="0" applyFont="1" applyFill="1" applyBorder="1" applyAlignment="1" applyProtection="1">
      <alignment horizontal="center" vertical="center" wrapText="1"/>
      <protection hidden="1"/>
    </xf>
    <xf numFmtId="0" fontId="58" fillId="3" borderId="23" xfId="0" applyFont="1" applyFill="1" applyBorder="1" applyAlignment="1" applyProtection="1">
      <alignment horizontal="center" vertical="center" wrapText="1"/>
      <protection hidden="1"/>
    </xf>
    <xf numFmtId="0" fontId="75" fillId="4" borderId="0" xfId="0" applyFont="1" applyFill="1" applyBorder="1" applyAlignment="1">
      <alignment horizontal="right" vertical="center"/>
    </xf>
    <xf numFmtId="0" fontId="60" fillId="3" borderId="38" xfId="0" applyFont="1" applyFill="1" applyBorder="1" applyAlignment="1" applyProtection="1">
      <alignment horizontal="left" vertical="center"/>
      <protection hidden="1"/>
    </xf>
    <xf numFmtId="0" fontId="34" fillId="3" borderId="0" xfId="2" applyFont="1" applyFill="1" applyBorder="1" applyAlignment="1" applyProtection="1">
      <alignment horizontal="center" vertical="center" wrapText="1"/>
      <protection hidden="1"/>
    </xf>
    <xf numFmtId="0" fontId="28" fillId="3" borderId="6" xfId="2" applyFont="1" applyFill="1" applyBorder="1" applyAlignment="1" applyProtection="1">
      <alignment horizontal="left" vertical="center"/>
      <protection hidden="1"/>
    </xf>
    <xf numFmtId="0" fontId="41" fillId="3" borderId="15" xfId="2" applyFont="1" applyFill="1" applyBorder="1" applyAlignment="1" applyProtection="1">
      <alignment horizontal="center" vertical="center"/>
      <protection hidden="1"/>
    </xf>
    <xf numFmtId="0" fontId="41" fillId="3" borderId="14" xfId="2" applyFont="1" applyFill="1" applyBorder="1" applyAlignment="1" applyProtection="1">
      <alignment horizontal="center" vertical="center"/>
      <protection hidden="1"/>
    </xf>
    <xf numFmtId="0" fontId="17" fillId="3" borderId="0" xfId="2" applyFont="1" applyFill="1" applyBorder="1" applyAlignment="1" applyProtection="1">
      <alignment horizontal="center" vertical="center"/>
      <protection hidden="1"/>
    </xf>
    <xf numFmtId="0" fontId="17" fillId="4" borderId="0" xfId="2" applyFont="1" applyFill="1" applyBorder="1" applyProtection="1">
      <protection hidden="1"/>
    </xf>
    <xf numFmtId="0" fontId="28" fillId="3" borderId="0" xfId="2" applyFont="1" applyFill="1" applyBorder="1" applyAlignment="1" applyProtection="1">
      <alignment horizontal="left" vertical="center"/>
      <protection hidden="1"/>
    </xf>
    <xf numFmtId="0" fontId="27" fillId="4" borderId="0" xfId="2" applyFont="1" applyFill="1" applyBorder="1" applyAlignment="1" applyProtection="1">
      <alignment vertical="center"/>
      <protection hidden="1"/>
    </xf>
    <xf numFmtId="0" fontId="30" fillId="3" borderId="32" xfId="2" applyFont="1" applyFill="1" applyBorder="1" applyAlignment="1" applyProtection="1">
      <alignment horizontal="left" vertical="center"/>
      <protection hidden="1"/>
    </xf>
    <xf numFmtId="0" fontId="30" fillId="4" borderId="30" xfId="2" applyFont="1" applyFill="1" applyBorder="1" applyAlignment="1" applyProtection="1">
      <alignment vertical="center"/>
      <protection hidden="1"/>
    </xf>
    <xf numFmtId="0" fontId="23" fillId="3" borderId="0" xfId="2" applyFont="1" applyFill="1" applyBorder="1" applyAlignment="1" applyProtection="1">
      <alignment horizontal="left" vertical="center"/>
      <protection hidden="1"/>
    </xf>
    <xf numFmtId="0" fontId="23" fillId="4" borderId="0" xfId="2" applyFont="1" applyFill="1" applyBorder="1" applyAlignment="1" applyProtection="1">
      <alignment vertical="center"/>
      <protection hidden="1"/>
    </xf>
    <xf numFmtId="0" fontId="33" fillId="7" borderId="36" xfId="2" applyFont="1" applyFill="1" applyBorder="1" applyAlignment="1" applyProtection="1">
      <alignment horizontal="center" vertical="center"/>
      <protection hidden="1"/>
    </xf>
    <xf numFmtId="0" fontId="33" fillId="7" borderId="35" xfId="2" applyFont="1" applyFill="1" applyBorder="1" applyAlignment="1" applyProtection="1">
      <alignment horizontal="center" vertical="center"/>
      <protection hidden="1"/>
    </xf>
    <xf numFmtId="0" fontId="33" fillId="7" borderId="34" xfId="2" applyFont="1" applyFill="1" applyBorder="1" applyAlignment="1" applyProtection="1">
      <alignment horizontal="center" vertical="center"/>
      <protection hidden="1"/>
    </xf>
    <xf numFmtId="0" fontId="40" fillId="7" borderId="15" xfId="2" applyFont="1" applyFill="1" applyBorder="1" applyAlignment="1" applyProtection="1">
      <alignment horizontal="center" vertical="center"/>
      <protection hidden="1"/>
    </xf>
    <xf numFmtId="164" fontId="41" fillId="3" borderId="6" xfId="2" applyNumberFormat="1" applyFont="1" applyFill="1" applyBorder="1" applyAlignment="1" applyProtection="1">
      <alignment horizontal="center" vertical="center" wrapText="1"/>
      <protection hidden="1"/>
    </xf>
    <xf numFmtId="0" fontId="41" fillId="3" borderId="6" xfId="2" applyFont="1" applyFill="1" applyBorder="1" applyAlignment="1" applyProtection="1">
      <alignment horizontal="center" vertical="center"/>
      <protection hidden="1"/>
    </xf>
    <xf numFmtId="0" fontId="28" fillId="3" borderId="6" xfId="2" applyFont="1" applyFill="1" applyBorder="1" applyAlignment="1" applyProtection="1">
      <alignment horizontal="center" vertical="center"/>
      <protection hidden="1"/>
    </xf>
    <xf numFmtId="0" fontId="13" fillId="3" borderId="24" xfId="2" applyFont="1" applyFill="1" applyBorder="1" applyAlignment="1" applyProtection="1">
      <alignment horizontal="left" vertical="center" wrapText="1"/>
      <protection hidden="1"/>
    </xf>
    <xf numFmtId="0" fontId="13" fillId="3" borderId="23" xfId="2" applyFont="1" applyFill="1" applyBorder="1" applyAlignment="1" applyProtection="1">
      <alignment horizontal="left" vertical="center" wrapText="1"/>
      <protection hidden="1"/>
    </xf>
  </cellXfs>
  <cellStyles count="4">
    <cellStyle name="Normal" xfId="0" builtinId="0"/>
    <cellStyle name="Normal 2" xfId="2" xr:uid="{2DEB8044-5983-4B53-9131-13C9312AE6C0}"/>
    <cellStyle name="Normal 5" xfId="3" xr:uid="{F90E2F95-946E-4A23-AD47-011FFEF70122}"/>
    <cellStyle name="Porcentagem" xfId="1" builtinId="5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Medium7"/>
  <colors>
    <mruColors>
      <color rgb="FFFFF799"/>
      <color rgb="FFFFF3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46990</xdr:colOff>
      <xdr:row>2</xdr:row>
      <xdr:rowOff>167818</xdr:rowOff>
    </xdr:from>
    <xdr:to>
      <xdr:col>14</xdr:col>
      <xdr:colOff>1009272</xdr:colOff>
      <xdr:row>7</xdr:row>
      <xdr:rowOff>2497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A31A24E-3ED1-4149-BC61-C6CCE3A39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240" y="562425"/>
          <a:ext cx="962282" cy="828000"/>
        </a:xfrm>
        <a:prstGeom prst="rect">
          <a:avLst/>
        </a:prstGeom>
      </xdr:spPr>
    </xdr:pic>
    <xdr:clientData/>
  </xdr:twoCellAnchor>
  <xdr:twoCellAnchor editAs="oneCell">
    <xdr:from>
      <xdr:col>27</xdr:col>
      <xdr:colOff>95395</xdr:colOff>
      <xdr:row>3</xdr:row>
      <xdr:rowOff>54897</xdr:rowOff>
    </xdr:from>
    <xdr:to>
      <xdr:col>28</xdr:col>
      <xdr:colOff>541042</xdr:colOff>
      <xdr:row>7</xdr:row>
      <xdr:rowOff>2497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C7E9362-7A7A-4680-8E1F-2DD6E0300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62609" y="640004"/>
          <a:ext cx="1074820" cy="750421"/>
        </a:xfrm>
        <a:prstGeom prst="rect">
          <a:avLst/>
        </a:prstGeom>
      </xdr:spPr>
    </xdr:pic>
    <xdr:clientData/>
  </xdr:twoCellAnchor>
  <xdr:twoCellAnchor editAs="oneCell">
    <xdr:from>
      <xdr:col>7</xdr:col>
      <xdr:colOff>201828</xdr:colOff>
      <xdr:row>29</xdr:row>
      <xdr:rowOff>27215</xdr:rowOff>
    </xdr:from>
    <xdr:to>
      <xdr:col>10</xdr:col>
      <xdr:colOff>1184777</xdr:colOff>
      <xdr:row>39</xdr:row>
      <xdr:rowOff>54428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476061E-0961-4E7D-B8C6-1034F0FCA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4471" y="6994072"/>
          <a:ext cx="4343913" cy="2476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</xdr:colOff>
      <xdr:row>2</xdr:row>
      <xdr:rowOff>229465</xdr:rowOff>
    </xdr:from>
    <xdr:to>
      <xdr:col>13</xdr:col>
      <xdr:colOff>38898</xdr:colOff>
      <xdr:row>6</xdr:row>
      <xdr:rowOff>228705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BD86D2F-49E0-4627-9B9B-1BD5F65ED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8239" y="593147"/>
          <a:ext cx="1148704" cy="847831"/>
        </a:xfrm>
        <a:prstGeom prst="rect">
          <a:avLst/>
        </a:prstGeom>
      </xdr:spPr>
    </xdr:pic>
    <xdr:clientData/>
  </xdr:twoCellAnchor>
  <xdr:twoCellAnchor editAs="oneCell">
    <xdr:from>
      <xdr:col>31</xdr:col>
      <xdr:colOff>348502</xdr:colOff>
      <xdr:row>2</xdr:row>
      <xdr:rowOff>229465</xdr:rowOff>
    </xdr:from>
    <xdr:to>
      <xdr:col>33</xdr:col>
      <xdr:colOff>72468</xdr:colOff>
      <xdr:row>6</xdr:row>
      <xdr:rowOff>228705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2C569B-5F82-4A96-B650-04C5E3A3E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8726149" y="599259"/>
          <a:ext cx="1135907" cy="817270"/>
        </a:xfrm>
        <a:prstGeom prst="rect">
          <a:avLst/>
        </a:prstGeom>
      </xdr:spPr>
    </xdr:pic>
    <xdr:clientData/>
  </xdr:twoCellAnchor>
  <xdr:twoCellAnchor editAs="oneCell">
    <xdr:from>
      <xdr:col>6</xdr:col>
      <xdr:colOff>271317</xdr:colOff>
      <xdr:row>29</xdr:row>
      <xdr:rowOff>209632</xdr:rowOff>
    </xdr:from>
    <xdr:to>
      <xdr:col>8</xdr:col>
      <xdr:colOff>777875</xdr:colOff>
      <xdr:row>37</xdr:row>
      <xdr:rowOff>211934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31CDC3-4CBE-4A7D-812D-2E392CD4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942" y="6877132"/>
          <a:ext cx="3395808" cy="1907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1117600</xdr:colOff>
      <xdr:row>46</xdr:row>
      <xdr:rowOff>241300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F29C5670-B181-4AE6-BD3A-5A7B9222CE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80375" cy="8956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pt-BR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1117600</xdr:colOff>
      <xdr:row>46</xdr:row>
      <xdr:rowOff>241300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A3338D13-A1A2-4DDD-A45C-F31F974005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80375" cy="8956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2FB0F-0314-4D57-BB50-B91255CCF4C1}">
  <dimension ref="A1:B100"/>
  <sheetViews>
    <sheetView workbookViewId="0">
      <selection activeCell="B37" sqref="B37"/>
    </sheetView>
  </sheetViews>
  <sheetFormatPr defaultColWidth="15.140625" defaultRowHeight="15" customHeight="1" x14ac:dyDescent="0.25"/>
  <cols>
    <col min="1" max="1" width="15.140625" style="24"/>
    <col min="2" max="2" width="115.140625" style="24" customWidth="1"/>
    <col min="3" max="16384" width="15.140625" style="24"/>
  </cols>
  <sheetData>
    <row r="1" spans="1:2" x14ac:dyDescent="0.25">
      <c r="A1" s="25">
        <f>((120*'Cálculo de exigências'!$I$16)+('Cálculo de exigências'!$I$30-(120*'Cálculo de exigências'!$I$16)*0.64)/0.8)/1000</f>
        <v>1.0660600151909212</v>
      </c>
      <c r="B1" s="25">
        <f>-53.07 + (304.89 * (A1)) + (90.79 *'Cálculo de exigências'!$I$16) - (3.13 * 'Cálculo de exigências'!$I$16*'Cálculo de exigências'!$I$16)</f>
        <v>730.32447414513717</v>
      </c>
    </row>
    <row r="2" spans="1:2" x14ac:dyDescent="0.25">
      <c r="A2" s="24">
        <f>(B1+('Cálculo de exigências'!$I$30-(B1*0.64))/0.8)/1000</f>
        <v>1.0558991792409698</v>
      </c>
      <c r="B2" s="25">
        <f>-53.07 + (304.89 * (A2)) + (90.79 *'Cálculo de exigências'!$I$16) - (3.13 * 'Cálculo de exigências'!$I$16*'Cálculo de exigências'!$I$16)</f>
        <v>727.22653687235652</v>
      </c>
    </row>
    <row r="3" spans="1:2" x14ac:dyDescent="0.25">
      <c r="A3" s="24">
        <f>(B2+('Cálculo de exigências'!$I$30-(B2*0.64))/0.8)/1000</f>
        <v>1.0552795917864137</v>
      </c>
      <c r="B3" s="25">
        <f>-53.07 + (304.89 * (A3)) + (90.79 *'Cálculo de exigências'!$I$16) - (3.13 * 'Cálculo de exigências'!$I$16*'Cálculo de exigências'!$I$16)</f>
        <v>727.03763085333685</v>
      </c>
    </row>
    <row r="4" spans="1:2" x14ac:dyDescent="0.25">
      <c r="A4" s="24">
        <f>(B3+('Cálculo de exigências'!$I$30-(B3*0.64))/0.8)/1000</f>
        <v>1.0552418105826098</v>
      </c>
      <c r="B4" s="25">
        <f>-53.07 + (304.89 * (A4)) + (90.79 *'Cálculo de exigências'!$I$16) - (3.13 * 'Cálculo de exigências'!$I$16*'Cálculo de exigências'!$I$16)</f>
        <v>727.02611174210915</v>
      </c>
    </row>
    <row r="5" spans="1:2" x14ac:dyDescent="0.25">
      <c r="A5" s="24">
        <f>(B4+('Cálculo de exigências'!$I$30-(B4*0.64))/0.8)/1000</f>
        <v>1.0552395067603642</v>
      </c>
      <c r="B5" s="25">
        <f>-53.07 + (304.89 * (A5)) + (90.79 *'Cálculo de exigências'!$I$16) - (3.13 * 'Cálculo de exigências'!$I$16*'Cálculo de exigências'!$I$16)</f>
        <v>727.02540932974466</v>
      </c>
    </row>
    <row r="6" spans="1:2" x14ac:dyDescent="0.25">
      <c r="A6" s="24">
        <f>(B5+('Cálculo de exigências'!$I$30-(B5*0.64))/0.8)/1000</f>
        <v>1.0552393662778914</v>
      </c>
      <c r="B6" s="25">
        <f>-53.07 + (304.89 * (A6)) + (90.79 *'Cálculo de exigências'!$I$16) - (3.13 * 'Cálculo de exigências'!$I$16*'Cálculo de exigências'!$I$16)</f>
        <v>727.02536649804347</v>
      </c>
    </row>
    <row r="7" spans="1:2" x14ac:dyDescent="0.25">
      <c r="A7" s="24">
        <f>(B6+('Cálculo de exigências'!$I$30-(B6*0.64))/0.8)/1000</f>
        <v>1.0552393577115511</v>
      </c>
      <c r="B7" s="25">
        <f>-53.07 + (304.89 * (A7)) + (90.79 *'Cálculo de exigências'!$I$16) - (3.13 * 'Cálculo de exigências'!$I$16*'Cálculo de exigências'!$I$16)</f>
        <v>727.02536388625208</v>
      </c>
    </row>
    <row r="8" spans="1:2" x14ac:dyDescent="0.25">
      <c r="A8" s="24">
        <f>(B7+('Cálculo de exigências'!$I$30-(B7*0.64))/0.8)/1000</f>
        <v>1.0552393571891927</v>
      </c>
      <c r="B8" s="25">
        <f>-53.07 + (304.89 * (A8)) + (90.79 *'Cálculo de exigências'!$I$16) - (3.13 * 'Cálculo de exigências'!$I$16*'Cálculo de exigências'!$I$16)</f>
        <v>727.02536372699024</v>
      </c>
    </row>
    <row r="9" spans="1:2" x14ac:dyDescent="0.25">
      <c r="A9" s="24">
        <f>(B8+('Cálculo de exigências'!$I$30-(B8*0.64))/0.8)/1000</f>
        <v>1.0552393571573402</v>
      </c>
      <c r="B9" s="25">
        <f>-53.07 + (304.89 * (A9)) + (90.79 *'Cálculo de exigências'!$I$16) - (3.13 * 'Cálculo de exigências'!$I$16*'Cálculo de exigências'!$I$16)</f>
        <v>727.02536371727865</v>
      </c>
    </row>
    <row r="10" spans="1:2" x14ac:dyDescent="0.25">
      <c r="A10" s="24">
        <f>(B9+('Cálculo de exigências'!$I$30-(B9*0.64))/0.8)/1000</f>
        <v>1.055239357155398</v>
      </c>
      <c r="B10" s="25">
        <f>-53.07 + (304.89 * (A10)) + (90.79 *'Cálculo de exigências'!$I$16) - (3.13 * 'Cálculo de exigências'!$I$16*'Cálculo de exigências'!$I$16)</f>
        <v>727.02536371668657</v>
      </c>
    </row>
    <row r="11" spans="1:2" x14ac:dyDescent="0.25">
      <c r="A11" s="24">
        <f>(B10+('Cálculo de exigências'!$I$30-(B10*0.64))/0.8)/1000</f>
        <v>1.0552393571552796</v>
      </c>
      <c r="B11" s="25">
        <f>-53.07 + (304.89 * (A11)) + (90.79 *'Cálculo de exigências'!$I$16) - (3.13 * 'Cálculo de exigências'!$I$16*'Cálculo de exigências'!$I$16)</f>
        <v>727.02536371665042</v>
      </c>
    </row>
    <row r="12" spans="1:2" x14ac:dyDescent="0.25">
      <c r="A12" s="24">
        <f>(B11+('Cálculo de exigências'!$I$30-(B11*0.64))/0.8)/1000</f>
        <v>1.0552393571552725</v>
      </c>
      <c r="B12" s="25">
        <f>-53.07 + (304.89 * (A12)) + (90.79 *'Cálculo de exigências'!$I$16) - (3.13 * 'Cálculo de exigências'!$I$16*'Cálculo de exigências'!$I$16)</f>
        <v>727.02536371664826</v>
      </c>
    </row>
    <row r="13" spans="1:2" x14ac:dyDescent="0.25">
      <c r="A13" s="24">
        <f>(B12+('Cálculo de exigências'!$I$30-(B12*0.64))/0.8)/1000</f>
        <v>1.0552393571552721</v>
      </c>
      <c r="B13" s="25">
        <f>-53.07 + (304.89 * (A13)) + (90.79 *'Cálculo de exigências'!$I$16) - (3.13 * 'Cálculo de exigências'!$I$16*'Cálculo de exigências'!$I$16)</f>
        <v>727.02536371664814</v>
      </c>
    </row>
    <row r="14" spans="1:2" x14ac:dyDescent="0.25">
      <c r="A14" s="24">
        <f>(B13+('Cálculo de exigências'!$I$30-(B13*0.64))/0.8)/1000</f>
        <v>1.0552393571552721</v>
      </c>
      <c r="B14" s="25">
        <f>-53.07 + (304.89 * (A14)) + (90.79 *'Cálculo de exigências'!$I$16) - (3.13 * 'Cálculo de exigências'!$I$16*'Cálculo de exigências'!$I$16)</f>
        <v>727.02536371664814</v>
      </c>
    </row>
    <row r="15" spans="1:2" x14ac:dyDescent="0.25">
      <c r="A15" s="24">
        <f>(B14+('Cálculo de exigências'!$I$30-(B14*0.64))/0.8)/1000</f>
        <v>1.0552393571552721</v>
      </c>
      <c r="B15" s="25">
        <f>-53.07 + (304.89 * (A15)) + (90.79 *'Cálculo de exigências'!$I$16) - (3.13 * 'Cálculo de exigências'!$I$16*'Cálculo de exigências'!$I$16)</f>
        <v>727.02536371664814</v>
      </c>
    </row>
    <row r="16" spans="1:2" x14ac:dyDescent="0.25">
      <c r="A16" s="24">
        <f>(B15+('Cálculo de exigências'!$I$30-(B15*0.64))/0.8)/1000</f>
        <v>1.0552393571552721</v>
      </c>
      <c r="B16" s="25">
        <f>-53.07 + (304.89 * (A16)) + (90.79 *'Cálculo de exigências'!$I$16) - (3.13 * 'Cálculo de exigências'!$I$16*'Cálculo de exigências'!$I$16)</f>
        <v>727.02536371664814</v>
      </c>
    </row>
    <row r="17" spans="1:2" x14ac:dyDescent="0.25">
      <c r="A17" s="24">
        <f>(B16+('Cálculo de exigências'!$I$30-(B16*0.64))/0.8)/1000</f>
        <v>1.0552393571552721</v>
      </c>
      <c r="B17" s="25">
        <f>-53.07 + (304.89 * (A17)) + (90.79 *'Cálculo de exigências'!$I$16) - (3.13 * 'Cálculo de exigências'!$I$16*'Cálculo de exigências'!$I$16)</f>
        <v>727.02536371664814</v>
      </c>
    </row>
    <row r="18" spans="1:2" x14ac:dyDescent="0.25">
      <c r="A18" s="24">
        <f>(B17+('Cálculo de exigências'!$I$30-(B17*0.64))/0.8)/1000</f>
        <v>1.0552393571552721</v>
      </c>
      <c r="B18" s="25">
        <f>-53.07 + (304.89 * (A18)) + (90.79 *'Cálculo de exigências'!$I$16) - (3.13 * 'Cálculo de exigências'!$I$16*'Cálculo de exigências'!$I$16)</f>
        <v>727.02536371664814</v>
      </c>
    </row>
    <row r="19" spans="1:2" x14ac:dyDescent="0.25">
      <c r="A19" s="24">
        <f>(B18+('Cálculo de exigências'!$I$30-(B18*0.64))/0.8)/1000</f>
        <v>1.0552393571552721</v>
      </c>
      <c r="B19" s="25">
        <f>-53.07 + (304.89 * (A19)) + (90.79 *'Cálculo de exigências'!$I$16) - (3.13 * 'Cálculo de exigências'!$I$16*'Cálculo de exigências'!$I$16)</f>
        <v>727.02536371664814</v>
      </c>
    </row>
    <row r="20" spans="1:2" x14ac:dyDescent="0.25">
      <c r="A20" s="24">
        <f>(B19+('Cálculo de exigências'!$I$30-(B19*0.64))/0.8)/1000</f>
        <v>1.0552393571552721</v>
      </c>
      <c r="B20" s="25">
        <f>-53.07 + (304.89 * (A20)) + (90.79 *'Cálculo de exigências'!$I$16) - (3.13 * 'Cálculo de exigências'!$I$16*'Cálculo de exigências'!$I$16)</f>
        <v>727.02536371664814</v>
      </c>
    </row>
    <row r="21" spans="1:2" x14ac:dyDescent="0.25">
      <c r="A21" s="24">
        <f>(B20+('Cálculo de exigências'!$I$30-(B20*0.64))/0.8)/1000</f>
        <v>1.0552393571552721</v>
      </c>
      <c r="B21" s="25">
        <f>-53.07 + (304.89 * (A21)) + (90.79 *'Cálculo de exigências'!$I$16) - (3.13 * 'Cálculo de exigências'!$I$16*'Cálculo de exigências'!$I$16)</f>
        <v>727.02536371664814</v>
      </c>
    </row>
    <row r="22" spans="1:2" x14ac:dyDescent="0.25">
      <c r="A22" s="24">
        <f>(B21+('Cálculo de exigências'!$I$30-(B21*0.64))/0.8)/1000</f>
        <v>1.0552393571552721</v>
      </c>
      <c r="B22" s="25">
        <f>-53.07 + (304.89 * (A22)) + (90.79 *'Cálculo de exigências'!$I$16) - (3.13 * 'Cálculo de exigências'!$I$16*'Cálculo de exigências'!$I$16)</f>
        <v>727.02536371664814</v>
      </c>
    </row>
    <row r="23" spans="1:2" x14ac:dyDescent="0.25">
      <c r="A23" s="24">
        <f>(B22+('Cálculo de exigências'!$I$30-(B22*0.64))/0.8)/1000</f>
        <v>1.0552393571552721</v>
      </c>
      <c r="B23" s="25">
        <f>-53.07 + (304.89 * (A23)) + (90.79 *'Cálculo de exigências'!$I$16) - (3.13 * 'Cálculo de exigências'!$I$16*'Cálculo de exigências'!$I$16)</f>
        <v>727.02536371664814</v>
      </c>
    </row>
    <row r="24" spans="1:2" x14ac:dyDescent="0.25">
      <c r="A24" s="24">
        <f>(B23+('Cálculo de exigências'!$I$30-(B23*0.64))/0.8)/1000</f>
        <v>1.0552393571552721</v>
      </c>
      <c r="B24" s="25">
        <f>-53.07 + (304.89 * (A24)) + (90.79 *'Cálculo de exigências'!$I$16) - (3.13 * 'Cálculo de exigências'!$I$16*'Cálculo de exigências'!$I$16)</f>
        <v>727.02536371664814</v>
      </c>
    </row>
    <row r="25" spans="1:2" x14ac:dyDescent="0.25">
      <c r="A25" s="24">
        <f>(B24+('Cálculo de exigências'!$I$30-(B24*0.64))/0.8)/1000</f>
        <v>1.0552393571552721</v>
      </c>
      <c r="B25" s="25">
        <f>-53.07 + (304.89 * (A25)) + (90.79 *'Cálculo de exigências'!$I$16) - (3.13 * 'Cálculo de exigências'!$I$16*'Cálculo de exigências'!$I$16)</f>
        <v>727.02536371664814</v>
      </c>
    </row>
    <row r="26" spans="1:2" x14ac:dyDescent="0.25">
      <c r="A26" s="24">
        <f>(B25+('Cálculo de exigências'!$I$30-(B25*0.64))/0.8)/1000</f>
        <v>1.0552393571552721</v>
      </c>
      <c r="B26" s="25">
        <f>-53.07 + (304.89 * (A26)) + (90.79 *'Cálculo de exigências'!$I$16) - (3.13 * 'Cálculo de exigências'!$I$16*'Cálculo de exigências'!$I$16)</f>
        <v>727.02536371664814</v>
      </c>
    </row>
    <row r="27" spans="1:2" x14ac:dyDescent="0.25">
      <c r="A27" s="24">
        <f>(B26+('Cálculo de exigências'!$I$30-(B26*0.64))/0.8)/1000</f>
        <v>1.0552393571552721</v>
      </c>
      <c r="B27" s="25">
        <f>-53.07 + (304.89 * (A27)) + (90.79 *'Cálculo de exigências'!$I$16) - (3.13 * 'Cálculo de exigências'!$I$16*'Cálculo de exigências'!$I$16)</f>
        <v>727.02536371664814</v>
      </c>
    </row>
    <row r="28" spans="1:2" x14ac:dyDescent="0.25">
      <c r="A28" s="24">
        <f>(B27+('Cálculo de exigências'!$I$30-(B27*0.64))/0.8)/1000</f>
        <v>1.0552393571552721</v>
      </c>
      <c r="B28" s="25">
        <f>-53.07 + (304.89 * (A28)) + (90.79 *'Cálculo de exigências'!$I$16) - (3.13 * 'Cálculo de exigências'!$I$16*'Cálculo de exigências'!$I$16)</f>
        <v>727.02536371664814</v>
      </c>
    </row>
    <row r="29" spans="1:2" x14ac:dyDescent="0.25">
      <c r="A29" s="24">
        <f>(B28+('Cálculo de exigências'!$I$30-(B28*0.64))/0.8)/1000</f>
        <v>1.0552393571552721</v>
      </c>
      <c r="B29" s="25">
        <f>-53.07 + (304.89 * (A29)) + (90.79 *'Cálculo de exigências'!$I$16) - (3.13 * 'Cálculo de exigências'!$I$16*'Cálculo de exigências'!$I$16)</f>
        <v>727.02536371664814</v>
      </c>
    </row>
    <row r="30" spans="1:2" x14ac:dyDescent="0.25">
      <c r="A30" s="24">
        <f>(B29+('Cálculo de exigências'!$I$30-(B29*0.64))/0.8)/1000</f>
        <v>1.0552393571552721</v>
      </c>
      <c r="B30" s="25">
        <f>-53.07 + (304.89 * (A30)) + (90.79 *'Cálculo de exigências'!$I$16) - (3.13 * 'Cálculo de exigências'!$I$16*'Cálculo de exigências'!$I$16)</f>
        <v>727.02536371664814</v>
      </c>
    </row>
    <row r="31" spans="1:2" x14ac:dyDescent="0.25">
      <c r="A31" s="24">
        <f>(B30+('Cálculo de exigências'!$I$30-(B30*0.64))/0.8)/1000</f>
        <v>1.0552393571552721</v>
      </c>
      <c r="B31" s="25">
        <f>-53.07 + (304.89 * (A31)) + (90.79 *'Cálculo de exigências'!$I$16) - (3.13 * 'Cálculo de exigências'!$I$16*'Cálculo de exigências'!$I$16)</f>
        <v>727.02536371664814</v>
      </c>
    </row>
    <row r="32" spans="1:2" x14ac:dyDescent="0.25">
      <c r="A32" s="24">
        <f>(B31+('Cálculo de exigências'!$I$30-(B31*0.64))/0.8)/1000</f>
        <v>1.0552393571552721</v>
      </c>
      <c r="B32" s="25">
        <f>-53.07 + (304.89 * (A32)) + (90.79 *'Cálculo de exigências'!$I$16) - (3.13 * 'Cálculo de exigências'!$I$16*'Cálculo de exigências'!$I$16)</f>
        <v>727.02536371664814</v>
      </c>
    </row>
    <row r="33" spans="1:2" x14ac:dyDescent="0.25">
      <c r="A33" s="24">
        <f>(B32+('Cálculo de exigências'!$I$30-(B32*0.64))/0.8)/1000</f>
        <v>1.0552393571552721</v>
      </c>
      <c r="B33" s="25">
        <f>-53.07 + (304.89 * (A33)) + (90.79 *'Cálculo de exigências'!$I$16) - (3.13 * 'Cálculo de exigências'!$I$16*'Cálculo de exigências'!$I$16)</f>
        <v>727.02536371664814</v>
      </c>
    </row>
    <row r="34" spans="1:2" x14ac:dyDescent="0.25">
      <c r="A34" s="24">
        <f>(B33+('Cálculo de exigências'!$I$30-(B33*0.64))/0.8)/1000</f>
        <v>1.0552393571552721</v>
      </c>
      <c r="B34" s="25">
        <f>-53.07 + (304.89 * (A34)) + (90.79 *'Cálculo de exigências'!$I$16) - (3.13 * 'Cálculo de exigências'!$I$16*'Cálculo de exigências'!$I$16)</f>
        <v>727.02536371664814</v>
      </c>
    </row>
    <row r="35" spans="1:2" x14ac:dyDescent="0.25">
      <c r="A35" s="24">
        <f>(B34+('Cálculo de exigências'!$I$30-(B34*0.64))/0.8)/1000</f>
        <v>1.0552393571552721</v>
      </c>
      <c r="B35" s="25">
        <f>-53.07 + (304.89 * (A35)) + (90.79 *'Cálculo de exigências'!$I$16) - (3.13 * 'Cálculo de exigências'!$I$16*'Cálculo de exigências'!$I$16)</f>
        <v>727.02536371664814</v>
      </c>
    </row>
    <row r="36" spans="1:2" x14ac:dyDescent="0.25">
      <c r="A36" s="24">
        <f>(B35+('Cálculo de exigências'!$I$30-(B35*0.64))/0.8)/1000</f>
        <v>1.0552393571552721</v>
      </c>
      <c r="B36" s="25">
        <f>-53.07 + (304.89 * (A36)) + (90.79 *'Cálculo de exigências'!$I$16) - (3.13 * 'Cálculo de exigências'!$I$16*'Cálculo de exigências'!$I$16)</f>
        <v>727.02536371664814</v>
      </c>
    </row>
    <row r="37" spans="1:2" x14ac:dyDescent="0.25">
      <c r="A37" s="24">
        <f>(B36+('Cálculo de exigências'!$I$30-(B36*0.64))/0.8)/1000</f>
        <v>1.0552393571552721</v>
      </c>
      <c r="B37" s="25">
        <f>-53.07 + (304.89 * (A37)) + (90.79 *'Cálculo de exigências'!$I$16) - (3.13 * 'Cálculo de exigências'!$I$16*'Cálculo de exigências'!$I$16)</f>
        <v>727.02536371664814</v>
      </c>
    </row>
    <row r="38" spans="1:2" x14ac:dyDescent="0.25">
      <c r="A38" s="24">
        <f>(B37+('Cálculo de exigências'!$I$30-(B37*0.64))/0.8)/1000</f>
        <v>1.0552393571552721</v>
      </c>
      <c r="B38" s="25">
        <f>-53.07 + (304.89 * (A38)) + (90.79 *'Cálculo de exigências'!$I$16) - (3.13 * 'Cálculo de exigências'!$I$16*'Cálculo de exigências'!$I$16)</f>
        <v>727.02536371664814</v>
      </c>
    </row>
    <row r="39" spans="1:2" x14ac:dyDescent="0.25">
      <c r="A39" s="24">
        <f>(B38+('Cálculo de exigências'!$I$30-(B38*0.64))/0.8)/1000</f>
        <v>1.0552393571552721</v>
      </c>
      <c r="B39" s="25">
        <f>-53.07 + (304.89 * (A39)) + (90.79 *'Cálculo de exigências'!$I$16) - (3.13 * 'Cálculo de exigências'!$I$16*'Cálculo de exigências'!$I$16)</f>
        <v>727.02536371664814</v>
      </c>
    </row>
    <row r="40" spans="1:2" x14ac:dyDescent="0.25">
      <c r="A40" s="24">
        <f>(B39+('Cálculo de exigências'!$I$30-(B39*0.64))/0.8)/1000</f>
        <v>1.0552393571552721</v>
      </c>
      <c r="B40" s="25">
        <f>-53.07 + (304.89 * (A40)) + (90.79 *'Cálculo de exigências'!$I$16) - (3.13 * 'Cálculo de exigências'!$I$16*'Cálculo de exigências'!$I$16)</f>
        <v>727.02536371664814</v>
      </c>
    </row>
    <row r="41" spans="1:2" x14ac:dyDescent="0.25">
      <c r="A41" s="24">
        <f>(B40+('Cálculo de exigências'!$I$30-(B40*0.64))/0.8)/1000</f>
        <v>1.0552393571552721</v>
      </c>
      <c r="B41" s="25">
        <f>-53.07 + (304.89 * (A41)) + (90.79 *'Cálculo de exigências'!$I$16) - (3.13 * 'Cálculo de exigências'!$I$16*'Cálculo de exigências'!$I$16)</f>
        <v>727.02536371664814</v>
      </c>
    </row>
    <row r="42" spans="1:2" x14ac:dyDescent="0.25">
      <c r="A42" s="24">
        <f>(B41+('Cálculo de exigências'!$I$30-(B41*0.64))/0.8)/1000</f>
        <v>1.0552393571552721</v>
      </c>
      <c r="B42" s="25">
        <f>-53.07 + (304.89 * (A42)) + (90.79 *'Cálculo de exigências'!$I$16) - (3.13 * 'Cálculo de exigências'!$I$16*'Cálculo de exigências'!$I$16)</f>
        <v>727.02536371664814</v>
      </c>
    </row>
    <row r="43" spans="1:2" x14ac:dyDescent="0.25">
      <c r="A43" s="24">
        <f>(B42+('Cálculo de exigências'!$I$30-(B42*0.64))/0.8)/1000</f>
        <v>1.0552393571552721</v>
      </c>
      <c r="B43" s="25">
        <f>-53.07 + (304.89 * (A43)) + (90.79 *'Cálculo de exigências'!$I$16) - (3.13 * 'Cálculo de exigências'!$I$16*'Cálculo de exigências'!$I$16)</f>
        <v>727.02536371664814</v>
      </c>
    </row>
    <row r="44" spans="1:2" x14ac:dyDescent="0.25">
      <c r="A44" s="24">
        <f>(B43+('Cálculo de exigências'!$I$30-(B43*0.64))/0.8)/1000</f>
        <v>1.0552393571552721</v>
      </c>
      <c r="B44" s="25">
        <f>-53.07 + (304.89 * (A44)) + (90.79 *'Cálculo de exigências'!$I$16) - (3.13 * 'Cálculo de exigências'!$I$16*'Cálculo de exigências'!$I$16)</f>
        <v>727.02536371664814</v>
      </c>
    </row>
    <row r="45" spans="1:2" x14ac:dyDescent="0.25">
      <c r="A45" s="24">
        <f>(B44+('Cálculo de exigências'!$I$30-(B44*0.64))/0.8)/1000</f>
        <v>1.0552393571552721</v>
      </c>
      <c r="B45" s="25">
        <f>-53.07 + (304.89 * (A45)) + (90.79 *'Cálculo de exigências'!$I$16) - (3.13 * 'Cálculo de exigências'!$I$16*'Cálculo de exigências'!$I$16)</f>
        <v>727.02536371664814</v>
      </c>
    </row>
    <row r="46" spans="1:2" x14ac:dyDescent="0.25">
      <c r="A46" s="24">
        <f>(B45+('Cálculo de exigências'!$I$30-(B45*0.64))/0.8)/1000</f>
        <v>1.0552393571552721</v>
      </c>
      <c r="B46" s="25">
        <f>-53.07 + (304.89 * (A46)) + (90.79 *'Cálculo de exigências'!$I$16) - (3.13 * 'Cálculo de exigências'!$I$16*'Cálculo de exigências'!$I$16)</f>
        <v>727.02536371664814</v>
      </c>
    </row>
    <row r="47" spans="1:2" x14ac:dyDescent="0.25">
      <c r="A47" s="24">
        <f>(B46+('Cálculo de exigências'!$I$30-(B46*0.64))/0.8)/1000</f>
        <v>1.0552393571552721</v>
      </c>
      <c r="B47" s="25">
        <f>-53.07 + (304.89 * (A47)) + (90.79 *'Cálculo de exigências'!$I$16) - (3.13 * 'Cálculo de exigências'!$I$16*'Cálculo de exigências'!$I$16)</f>
        <v>727.02536371664814</v>
      </c>
    </row>
    <row r="48" spans="1:2" x14ac:dyDescent="0.25">
      <c r="A48" s="24">
        <f>(B47+('Cálculo de exigências'!$I$30-(B47*0.64))/0.8)/1000</f>
        <v>1.0552393571552721</v>
      </c>
      <c r="B48" s="25">
        <f>-53.07 + (304.89 * (A48)) + (90.79 *'Cálculo de exigências'!$I$16) - (3.13 * 'Cálculo de exigências'!$I$16*'Cálculo de exigências'!$I$16)</f>
        <v>727.02536371664814</v>
      </c>
    </row>
    <row r="49" spans="1:2" x14ac:dyDescent="0.25">
      <c r="A49" s="24">
        <f>(B48+('Cálculo de exigências'!$I$30-(B48*0.64))/0.8)/1000</f>
        <v>1.0552393571552721</v>
      </c>
      <c r="B49" s="25">
        <f>-53.07 + (304.89 * (A49)) + (90.79 *'Cálculo de exigências'!$I$16) - (3.13 * 'Cálculo de exigências'!$I$16*'Cálculo de exigências'!$I$16)</f>
        <v>727.02536371664814</v>
      </c>
    </row>
    <row r="50" spans="1:2" x14ac:dyDescent="0.25">
      <c r="A50" s="24">
        <f>(B49+('Cálculo de exigências'!$I$30-(B49*0.64))/0.8)/1000</f>
        <v>1.0552393571552721</v>
      </c>
      <c r="B50" s="25">
        <f>-53.07 + (304.89 * (A50)) + (90.79 *'Cálculo de exigências'!$I$16) - (3.13 * 'Cálculo de exigências'!$I$16*'Cálculo de exigências'!$I$16)</f>
        <v>727.02536371664814</v>
      </c>
    </row>
    <row r="51" spans="1:2" x14ac:dyDescent="0.25">
      <c r="A51" s="24">
        <f>(B50+('Cálculo de exigências'!$I$30-(B50*0.64))/0.8)/1000</f>
        <v>1.0552393571552721</v>
      </c>
      <c r="B51" s="25">
        <f>-53.07 + (304.89 * (A51)) + (90.79 *'Cálculo de exigências'!$I$16) - (3.13 * 'Cálculo de exigências'!$I$16*'Cálculo de exigências'!$I$16)</f>
        <v>727.02536371664814</v>
      </c>
    </row>
    <row r="52" spans="1:2" x14ac:dyDescent="0.25">
      <c r="A52" s="24">
        <f>(B51+('Cálculo de exigências'!$I$30-(B51*0.64))/0.8)/1000</f>
        <v>1.0552393571552721</v>
      </c>
      <c r="B52" s="25">
        <f>-53.07 + (304.89 * (A52)) + (90.79 *'Cálculo de exigências'!$I$16) - (3.13 * 'Cálculo de exigências'!$I$16*'Cálculo de exigências'!$I$16)</f>
        <v>727.02536371664814</v>
      </c>
    </row>
    <row r="53" spans="1:2" x14ac:dyDescent="0.25">
      <c r="A53" s="24">
        <f>(B52+('Cálculo de exigências'!$I$30-(B52*0.64))/0.8)/1000</f>
        <v>1.0552393571552721</v>
      </c>
      <c r="B53" s="25">
        <f>-53.07 + (304.89 * (A53)) + (90.79 *'Cálculo de exigências'!$I$16) - (3.13 * 'Cálculo de exigências'!$I$16*'Cálculo de exigências'!$I$16)</f>
        <v>727.02536371664814</v>
      </c>
    </row>
    <row r="54" spans="1:2" x14ac:dyDescent="0.25">
      <c r="A54" s="24">
        <f>(B53+('Cálculo de exigências'!$I$30-(B53*0.64))/0.8)/1000</f>
        <v>1.0552393571552721</v>
      </c>
      <c r="B54" s="25">
        <f>-53.07 + (304.89 * (A54)) + (90.79 *'Cálculo de exigências'!$I$16) - (3.13 * 'Cálculo de exigências'!$I$16*'Cálculo de exigências'!$I$16)</f>
        <v>727.02536371664814</v>
      </c>
    </row>
    <row r="55" spans="1:2" x14ac:dyDescent="0.25">
      <c r="A55" s="24">
        <f>(B54+('Cálculo de exigências'!$I$30-(B54*0.64))/0.8)/1000</f>
        <v>1.0552393571552721</v>
      </c>
      <c r="B55" s="25">
        <f>-53.07 + (304.89 * (A55)) + (90.79 *'Cálculo de exigências'!$I$16) - (3.13 * 'Cálculo de exigências'!$I$16*'Cálculo de exigências'!$I$16)</f>
        <v>727.02536371664814</v>
      </c>
    </row>
    <row r="56" spans="1:2" x14ac:dyDescent="0.25">
      <c r="A56" s="24">
        <f>(B55+('Cálculo de exigências'!$I$30-(B55*0.64))/0.8)/1000</f>
        <v>1.0552393571552721</v>
      </c>
      <c r="B56" s="25">
        <f>-53.07 + (304.89 * (A56)) + (90.79 *'Cálculo de exigências'!$I$16) - (3.13 * 'Cálculo de exigências'!$I$16*'Cálculo de exigências'!$I$16)</f>
        <v>727.02536371664814</v>
      </c>
    </row>
    <row r="57" spans="1:2" x14ac:dyDescent="0.25">
      <c r="A57" s="24">
        <f>(B56+('Cálculo de exigências'!$I$30-(B56*0.64))/0.8)/1000</f>
        <v>1.0552393571552721</v>
      </c>
      <c r="B57" s="25">
        <f>-53.07 + (304.89 * (A57)) + (90.79 *'Cálculo de exigências'!$I$16) - (3.13 * 'Cálculo de exigências'!$I$16*'Cálculo de exigências'!$I$16)</f>
        <v>727.02536371664814</v>
      </c>
    </row>
    <row r="58" spans="1:2" x14ac:dyDescent="0.25">
      <c r="A58" s="24">
        <f>(B57+('Cálculo de exigências'!$I$30-(B57*0.64))/0.8)/1000</f>
        <v>1.0552393571552721</v>
      </c>
      <c r="B58" s="25">
        <f>-53.07 + (304.89 * (A58)) + (90.79 *'Cálculo de exigências'!$I$16) - (3.13 * 'Cálculo de exigências'!$I$16*'Cálculo de exigências'!$I$16)</f>
        <v>727.02536371664814</v>
      </c>
    </row>
    <row r="59" spans="1:2" x14ac:dyDescent="0.25">
      <c r="A59" s="24">
        <f>(B58+('Cálculo de exigências'!$I$30-(B58*0.64))/0.8)/1000</f>
        <v>1.0552393571552721</v>
      </c>
      <c r="B59" s="25">
        <f>-53.07 + (304.89 * (A59)) + (90.79 *'Cálculo de exigências'!$I$16) - (3.13 * 'Cálculo de exigências'!$I$16*'Cálculo de exigências'!$I$16)</f>
        <v>727.02536371664814</v>
      </c>
    </row>
    <row r="60" spans="1:2" x14ac:dyDescent="0.25">
      <c r="A60" s="24">
        <f>(B59+('Cálculo de exigências'!$I$30-(B59*0.64))/0.8)/1000</f>
        <v>1.0552393571552721</v>
      </c>
      <c r="B60" s="25">
        <f>-53.07 + (304.89 * (A60)) + (90.79 *'Cálculo de exigências'!$I$16) - (3.13 * 'Cálculo de exigências'!$I$16*'Cálculo de exigências'!$I$16)</f>
        <v>727.02536371664814</v>
      </c>
    </row>
    <row r="61" spans="1:2" x14ac:dyDescent="0.25">
      <c r="A61" s="24">
        <f>(B60+('Cálculo de exigências'!$I$30-(B60*0.64))/0.8)/1000</f>
        <v>1.0552393571552721</v>
      </c>
      <c r="B61" s="25">
        <f>-53.07 + (304.89 * (A61)) + (90.79 *'Cálculo de exigências'!$I$16) - (3.13 * 'Cálculo de exigências'!$I$16*'Cálculo de exigências'!$I$16)</f>
        <v>727.02536371664814</v>
      </c>
    </row>
    <row r="62" spans="1:2" x14ac:dyDescent="0.25">
      <c r="A62" s="24">
        <f>(B61+('Cálculo de exigências'!$I$30-(B61*0.64))/0.8)/1000</f>
        <v>1.0552393571552721</v>
      </c>
      <c r="B62" s="25">
        <f>-53.07 + (304.89 * (A62)) + (90.79 *'Cálculo de exigências'!$I$16) - (3.13 * 'Cálculo de exigências'!$I$16*'Cálculo de exigências'!$I$16)</f>
        <v>727.02536371664814</v>
      </c>
    </row>
    <row r="63" spans="1:2" x14ac:dyDescent="0.25">
      <c r="A63" s="24">
        <f>(B62+('Cálculo de exigências'!$I$30-(B62*0.64))/0.8)/1000</f>
        <v>1.0552393571552721</v>
      </c>
      <c r="B63" s="25">
        <f>-53.07 + (304.89 * (A63)) + (90.79 *'Cálculo de exigências'!$I$16) - (3.13 * 'Cálculo de exigências'!$I$16*'Cálculo de exigências'!$I$16)</f>
        <v>727.02536371664814</v>
      </c>
    </row>
    <row r="64" spans="1:2" x14ac:dyDescent="0.25">
      <c r="A64" s="24">
        <f>(B63+('Cálculo de exigências'!$I$30-(B63*0.64))/0.8)/1000</f>
        <v>1.0552393571552721</v>
      </c>
      <c r="B64" s="25">
        <f>-53.07 + (304.89 * (A64)) + (90.79 *'Cálculo de exigências'!$I$16) - (3.13 * 'Cálculo de exigências'!$I$16*'Cálculo de exigências'!$I$16)</f>
        <v>727.02536371664814</v>
      </c>
    </row>
    <row r="65" spans="1:2" x14ac:dyDescent="0.25">
      <c r="A65" s="24">
        <f>(B64+('Cálculo de exigências'!$I$30-(B64*0.64))/0.8)/1000</f>
        <v>1.0552393571552721</v>
      </c>
      <c r="B65" s="25">
        <f>-53.07 + (304.89 * (A65)) + (90.79 *'Cálculo de exigências'!$I$16) - (3.13 * 'Cálculo de exigências'!$I$16*'Cálculo de exigências'!$I$16)</f>
        <v>727.02536371664814</v>
      </c>
    </row>
    <row r="66" spans="1:2" x14ac:dyDescent="0.25">
      <c r="A66" s="24">
        <f>(B65+('Cálculo de exigências'!$I$30-(B65*0.64))/0.8)/1000</f>
        <v>1.0552393571552721</v>
      </c>
      <c r="B66" s="25">
        <f>-53.07 + (304.89 * (A66)) + (90.79 *'Cálculo de exigências'!$I$16) - (3.13 * 'Cálculo de exigências'!$I$16*'Cálculo de exigências'!$I$16)</f>
        <v>727.02536371664814</v>
      </c>
    </row>
    <row r="67" spans="1:2" x14ac:dyDescent="0.25">
      <c r="A67" s="24">
        <f>(B66+('Cálculo de exigências'!$I$30-(B66*0.64))/0.8)/1000</f>
        <v>1.0552393571552721</v>
      </c>
      <c r="B67" s="25">
        <f>-53.07 + (304.89 * (A67)) + (90.79 *'Cálculo de exigências'!$I$16) - (3.13 * 'Cálculo de exigências'!$I$16*'Cálculo de exigências'!$I$16)</f>
        <v>727.02536371664814</v>
      </c>
    </row>
    <row r="68" spans="1:2" x14ac:dyDescent="0.25">
      <c r="A68" s="24">
        <f>(B67+('Cálculo de exigências'!$I$30-(B67*0.64))/0.8)/1000</f>
        <v>1.0552393571552721</v>
      </c>
      <c r="B68" s="25">
        <f>-53.07 + (304.89 * (A68)) + (90.79 *'Cálculo de exigências'!$I$16) - (3.13 * 'Cálculo de exigências'!$I$16*'Cálculo de exigências'!$I$16)</f>
        <v>727.02536371664814</v>
      </c>
    </row>
    <row r="69" spans="1:2" x14ac:dyDescent="0.25">
      <c r="A69" s="24">
        <f>(B68+('Cálculo de exigências'!$I$30-(B68*0.64))/0.8)/1000</f>
        <v>1.0552393571552721</v>
      </c>
      <c r="B69" s="25">
        <f>-53.07 + (304.89 * (A69)) + (90.79 *'Cálculo de exigências'!$I$16) - (3.13 * 'Cálculo de exigências'!$I$16*'Cálculo de exigências'!$I$16)</f>
        <v>727.02536371664814</v>
      </c>
    </row>
    <row r="70" spans="1:2" x14ac:dyDescent="0.25">
      <c r="A70" s="24">
        <f>(B69+('Cálculo de exigências'!$I$30-(B69*0.64))/0.8)/1000</f>
        <v>1.0552393571552721</v>
      </c>
      <c r="B70" s="25">
        <f>-53.07 + (304.89 * (A70)) + (90.79 *'Cálculo de exigências'!$I$16) - (3.13 * 'Cálculo de exigências'!$I$16*'Cálculo de exigências'!$I$16)</f>
        <v>727.02536371664814</v>
      </c>
    </row>
    <row r="71" spans="1:2" x14ac:dyDescent="0.25">
      <c r="A71" s="24">
        <f>(B70+('Cálculo de exigências'!$I$30-(B70*0.64))/0.8)/1000</f>
        <v>1.0552393571552721</v>
      </c>
      <c r="B71" s="25">
        <f>-53.07 + (304.89 * (A71)) + (90.79 *'Cálculo de exigências'!$I$16) - (3.13 * 'Cálculo de exigências'!$I$16*'Cálculo de exigências'!$I$16)</f>
        <v>727.02536371664814</v>
      </c>
    </row>
    <row r="72" spans="1:2" x14ac:dyDescent="0.25">
      <c r="A72" s="24">
        <f>(B71+('Cálculo de exigências'!$I$30-(B71*0.64))/0.8)/1000</f>
        <v>1.0552393571552721</v>
      </c>
      <c r="B72" s="25">
        <f>-53.07 + (304.89 * (A72)) + (90.79 *'Cálculo de exigências'!$I$16) - (3.13 * 'Cálculo de exigências'!$I$16*'Cálculo de exigências'!$I$16)</f>
        <v>727.02536371664814</v>
      </c>
    </row>
    <row r="73" spans="1:2" x14ac:dyDescent="0.25">
      <c r="A73" s="24">
        <f>(B72+('Cálculo de exigências'!$I$30-(B72*0.64))/0.8)/1000</f>
        <v>1.0552393571552721</v>
      </c>
      <c r="B73" s="25">
        <f>-53.07 + (304.89 * (A73)) + (90.79 *'Cálculo de exigências'!$I$16) - (3.13 * 'Cálculo de exigências'!$I$16*'Cálculo de exigências'!$I$16)</f>
        <v>727.02536371664814</v>
      </c>
    </row>
    <row r="74" spans="1:2" x14ac:dyDescent="0.25">
      <c r="A74" s="24">
        <f>(B73+('Cálculo de exigências'!$I$30-(B73*0.64))/0.8)/1000</f>
        <v>1.0552393571552721</v>
      </c>
      <c r="B74" s="25">
        <f>-53.07 + (304.89 * (A74)) + (90.79 *'Cálculo de exigências'!$I$16) - (3.13 * 'Cálculo de exigências'!$I$16*'Cálculo de exigências'!$I$16)</f>
        <v>727.02536371664814</v>
      </c>
    </row>
    <row r="75" spans="1:2" x14ac:dyDescent="0.25">
      <c r="A75" s="24">
        <f>(B74+('Cálculo de exigências'!$I$30-(B74*0.64))/0.8)/1000</f>
        <v>1.0552393571552721</v>
      </c>
      <c r="B75" s="25">
        <f>-53.07 + (304.89 * (A75)) + (90.79 *'Cálculo de exigências'!$I$16) - (3.13 * 'Cálculo de exigências'!$I$16*'Cálculo de exigências'!$I$16)</f>
        <v>727.02536371664814</v>
      </c>
    </row>
    <row r="76" spans="1:2" x14ac:dyDescent="0.25">
      <c r="A76" s="24">
        <f>(B75+('Cálculo de exigências'!$I$30-(B75*0.64))/0.8)/1000</f>
        <v>1.0552393571552721</v>
      </c>
      <c r="B76" s="25">
        <f>-53.07 + (304.89 * (A76)) + (90.79 *'Cálculo de exigências'!$I$16) - (3.13 * 'Cálculo de exigências'!$I$16*'Cálculo de exigências'!$I$16)</f>
        <v>727.02536371664814</v>
      </c>
    </row>
    <row r="77" spans="1:2" x14ac:dyDescent="0.25">
      <c r="A77" s="24">
        <f>(B76+('Cálculo de exigências'!$I$30-(B76*0.64))/0.8)/1000</f>
        <v>1.0552393571552721</v>
      </c>
      <c r="B77" s="25">
        <f>-53.07 + (304.89 * (A77)) + (90.79 *'Cálculo de exigências'!$I$16) - (3.13 * 'Cálculo de exigências'!$I$16*'Cálculo de exigências'!$I$16)</f>
        <v>727.02536371664814</v>
      </c>
    </row>
    <row r="78" spans="1:2" x14ac:dyDescent="0.25">
      <c r="A78" s="24">
        <f>(B77+('Cálculo de exigências'!$I$30-(B77*0.64))/0.8)/1000</f>
        <v>1.0552393571552721</v>
      </c>
      <c r="B78" s="25">
        <f>-53.07 + (304.89 * (A78)) + (90.79 *'Cálculo de exigências'!$I$16) - (3.13 * 'Cálculo de exigências'!$I$16*'Cálculo de exigências'!$I$16)</f>
        <v>727.02536371664814</v>
      </c>
    </row>
    <row r="79" spans="1:2" x14ac:dyDescent="0.25">
      <c r="A79" s="24">
        <f>(B78+('Cálculo de exigências'!$I$30-(B78*0.64))/0.8)/1000</f>
        <v>1.0552393571552721</v>
      </c>
      <c r="B79" s="25">
        <f>-53.07 + (304.89 * (A79)) + (90.79 *'Cálculo de exigências'!$I$16) - (3.13 * 'Cálculo de exigências'!$I$16*'Cálculo de exigências'!$I$16)</f>
        <v>727.02536371664814</v>
      </c>
    </row>
    <row r="80" spans="1:2" x14ac:dyDescent="0.25">
      <c r="A80" s="24">
        <f>(B79+('Cálculo de exigências'!$I$30-(B79*0.64))/0.8)/1000</f>
        <v>1.0552393571552721</v>
      </c>
      <c r="B80" s="25">
        <f>-53.07 + (304.89 * (A80)) + (90.79 *'Cálculo de exigências'!$I$16) - (3.13 * 'Cálculo de exigências'!$I$16*'Cálculo de exigências'!$I$16)</f>
        <v>727.02536371664814</v>
      </c>
    </row>
    <row r="81" spans="1:2" x14ac:dyDescent="0.25">
      <c r="A81" s="24">
        <f>(B80+('Cálculo de exigências'!$I$30-(B80*0.64))/0.8)/1000</f>
        <v>1.0552393571552721</v>
      </c>
      <c r="B81" s="25">
        <f>-53.07 + (304.89 * (A81)) + (90.79 *'Cálculo de exigências'!$I$16) - (3.13 * 'Cálculo de exigências'!$I$16*'Cálculo de exigências'!$I$16)</f>
        <v>727.02536371664814</v>
      </c>
    </row>
    <row r="82" spans="1:2" x14ac:dyDescent="0.25">
      <c r="A82" s="24">
        <f>(B81+('Cálculo de exigências'!$I$30-(B81*0.64))/0.8)/1000</f>
        <v>1.0552393571552721</v>
      </c>
      <c r="B82" s="25">
        <f>-53.07 + (304.89 * (A82)) + (90.79 *'Cálculo de exigências'!$I$16) - (3.13 * 'Cálculo de exigências'!$I$16*'Cálculo de exigências'!$I$16)</f>
        <v>727.02536371664814</v>
      </c>
    </row>
    <row r="83" spans="1:2" x14ac:dyDescent="0.25">
      <c r="A83" s="24">
        <f>(B82+('Cálculo de exigências'!$I$30-(B82*0.64))/0.8)/1000</f>
        <v>1.0552393571552721</v>
      </c>
      <c r="B83" s="25">
        <f>-53.07 + (304.89 * (A83)) + (90.79 *'Cálculo de exigências'!$I$16) - (3.13 * 'Cálculo de exigências'!$I$16*'Cálculo de exigências'!$I$16)</f>
        <v>727.02536371664814</v>
      </c>
    </row>
    <row r="84" spans="1:2" x14ac:dyDescent="0.25">
      <c r="A84" s="24">
        <f>(B83+('Cálculo de exigências'!$I$30-(B83*0.64))/0.8)/1000</f>
        <v>1.0552393571552721</v>
      </c>
      <c r="B84" s="25">
        <f>-53.07 + (304.89 * (A84)) + (90.79 *'Cálculo de exigências'!$I$16) - (3.13 * 'Cálculo de exigências'!$I$16*'Cálculo de exigências'!$I$16)</f>
        <v>727.02536371664814</v>
      </c>
    </row>
    <row r="85" spans="1:2" x14ac:dyDescent="0.25">
      <c r="A85" s="24">
        <f>(B84+('Cálculo de exigências'!$I$30-(B84*0.64))/0.8)/1000</f>
        <v>1.0552393571552721</v>
      </c>
      <c r="B85" s="25">
        <f>-53.07 + (304.89 * (A85)) + (90.79 *'Cálculo de exigências'!$I$16) - (3.13 * 'Cálculo de exigências'!$I$16*'Cálculo de exigências'!$I$16)</f>
        <v>727.02536371664814</v>
      </c>
    </row>
    <row r="86" spans="1:2" x14ac:dyDescent="0.25">
      <c r="A86" s="24">
        <f>(B85+('Cálculo de exigências'!$I$30-(B85*0.64))/0.8)/1000</f>
        <v>1.0552393571552721</v>
      </c>
      <c r="B86" s="25">
        <f>-53.07 + (304.89 * (A86)) + (90.79 *'Cálculo de exigências'!$I$16) - (3.13 * 'Cálculo de exigências'!$I$16*'Cálculo de exigências'!$I$16)</f>
        <v>727.02536371664814</v>
      </c>
    </row>
    <row r="87" spans="1:2" x14ac:dyDescent="0.25">
      <c r="A87" s="24">
        <f>(B86+('Cálculo de exigências'!$I$30-(B86*0.64))/0.8)/1000</f>
        <v>1.0552393571552721</v>
      </c>
      <c r="B87" s="25">
        <f>-53.07 + (304.89 * (A87)) + (90.79 *'Cálculo de exigências'!$I$16) - (3.13 * 'Cálculo de exigências'!$I$16*'Cálculo de exigências'!$I$16)</f>
        <v>727.02536371664814</v>
      </c>
    </row>
    <row r="88" spans="1:2" x14ac:dyDescent="0.25">
      <c r="A88" s="24">
        <f>(B87+('Cálculo de exigências'!$I$30-(B87*0.64))/0.8)/1000</f>
        <v>1.0552393571552721</v>
      </c>
      <c r="B88" s="25">
        <f>-53.07 + (304.89 * (A88)) + (90.79 *'Cálculo de exigências'!$I$16) - (3.13 * 'Cálculo de exigências'!$I$16*'Cálculo de exigências'!$I$16)</f>
        <v>727.02536371664814</v>
      </c>
    </row>
    <row r="89" spans="1:2" x14ac:dyDescent="0.25">
      <c r="A89" s="24">
        <f>(B88+('Cálculo de exigências'!$I$30-(B88*0.64))/0.8)/1000</f>
        <v>1.0552393571552721</v>
      </c>
      <c r="B89" s="25">
        <f>-53.07 + (304.89 * (A89)) + (90.79 *'Cálculo de exigências'!$I$16) - (3.13 * 'Cálculo de exigências'!$I$16*'Cálculo de exigências'!$I$16)</f>
        <v>727.02536371664814</v>
      </c>
    </row>
    <row r="90" spans="1:2" x14ac:dyDescent="0.25">
      <c r="A90" s="24">
        <f>(B89+('Cálculo de exigências'!$I$30-(B89*0.64))/0.8)/1000</f>
        <v>1.0552393571552721</v>
      </c>
      <c r="B90" s="25">
        <f>-53.07 + (304.89 * (A90)) + (90.79 *'Cálculo de exigências'!$I$16) - (3.13 * 'Cálculo de exigências'!$I$16*'Cálculo de exigências'!$I$16)</f>
        <v>727.02536371664814</v>
      </c>
    </row>
    <row r="91" spans="1:2" x14ac:dyDescent="0.25">
      <c r="A91" s="24">
        <f>(B90+('Cálculo de exigências'!$I$30-(B90*0.64))/0.8)/1000</f>
        <v>1.0552393571552721</v>
      </c>
      <c r="B91" s="25">
        <f>-53.07 + (304.89 * (A91)) + (90.79 *'Cálculo de exigências'!$I$16) - (3.13 * 'Cálculo de exigências'!$I$16*'Cálculo de exigências'!$I$16)</f>
        <v>727.02536371664814</v>
      </c>
    </row>
    <row r="92" spans="1:2" x14ac:dyDescent="0.25">
      <c r="A92" s="24">
        <f>(B91+('Cálculo de exigências'!$I$30-(B91*0.64))/0.8)/1000</f>
        <v>1.0552393571552721</v>
      </c>
      <c r="B92" s="25">
        <f>-53.07 + (304.89 * (A92)) + (90.79 *'Cálculo de exigências'!$I$16) - (3.13 * 'Cálculo de exigências'!$I$16*'Cálculo de exigências'!$I$16)</f>
        <v>727.02536371664814</v>
      </c>
    </row>
    <row r="93" spans="1:2" x14ac:dyDescent="0.25">
      <c r="A93" s="24">
        <f>(B92+('Cálculo de exigências'!$I$30-(B92*0.64))/0.8)/1000</f>
        <v>1.0552393571552721</v>
      </c>
      <c r="B93" s="25">
        <f>-53.07 + (304.89 * (A93)) + (90.79 *'Cálculo de exigências'!$I$16) - (3.13 * 'Cálculo de exigências'!$I$16*'Cálculo de exigências'!$I$16)</f>
        <v>727.02536371664814</v>
      </c>
    </row>
    <row r="94" spans="1:2" x14ac:dyDescent="0.25">
      <c r="A94" s="24">
        <f>(B93+('Cálculo de exigências'!$I$30-(B93*0.64))/0.8)/1000</f>
        <v>1.0552393571552721</v>
      </c>
      <c r="B94" s="25">
        <f>-53.07 + (304.89 * (A94)) + (90.79 *'Cálculo de exigências'!$I$16) - (3.13 * 'Cálculo de exigências'!$I$16*'Cálculo de exigências'!$I$16)</f>
        <v>727.02536371664814</v>
      </c>
    </row>
    <row r="95" spans="1:2" x14ac:dyDescent="0.25">
      <c r="A95" s="24">
        <f>(B94+('Cálculo de exigências'!$I$30-(B94*0.64))/0.8)/1000</f>
        <v>1.0552393571552721</v>
      </c>
      <c r="B95" s="25">
        <f>-53.07 + (304.89 * (A95)) + (90.79 *'Cálculo de exigências'!$I$16) - (3.13 * 'Cálculo de exigências'!$I$16*'Cálculo de exigências'!$I$16)</f>
        <v>727.02536371664814</v>
      </c>
    </row>
    <row r="96" spans="1:2" x14ac:dyDescent="0.25">
      <c r="A96" s="24">
        <f>(B95+('Cálculo de exigências'!$I$30-(B95*0.64))/0.8)/1000</f>
        <v>1.0552393571552721</v>
      </c>
      <c r="B96" s="25">
        <f>-53.07 + (304.89 * (A96)) + (90.79 *'Cálculo de exigências'!$I$16) - (3.13 * 'Cálculo de exigências'!$I$16*'Cálculo de exigências'!$I$16)</f>
        <v>727.02536371664814</v>
      </c>
    </row>
    <row r="97" spans="1:2" x14ac:dyDescent="0.25">
      <c r="A97" s="24">
        <f>(B96+('Cálculo de exigências'!$I$30-(B96*0.64))/0.8)/1000</f>
        <v>1.0552393571552721</v>
      </c>
      <c r="B97" s="25">
        <f>-53.07 + (304.89 * (A97)) + (90.79 *'Cálculo de exigências'!$I$16) - (3.13 * 'Cálculo de exigências'!$I$16*'Cálculo de exigências'!$I$16)</f>
        <v>727.02536371664814</v>
      </c>
    </row>
    <row r="98" spans="1:2" x14ac:dyDescent="0.25">
      <c r="A98" s="24">
        <f>(B97+('Cálculo de exigências'!$I$30-(B97*0.64))/0.8)/1000</f>
        <v>1.0552393571552721</v>
      </c>
      <c r="B98" s="25">
        <f>-53.07 + (304.89 * (A98)) + (90.79 *'Cálculo de exigências'!$I$16) - (3.13 * 'Cálculo de exigências'!$I$16*'Cálculo de exigências'!$I$16)</f>
        <v>727.02536371664814</v>
      </c>
    </row>
    <row r="99" spans="1:2" x14ac:dyDescent="0.25">
      <c r="A99" s="24">
        <f>(B98+('Cálculo de exigências'!$I$30-(B98*0.64))/0.8)/1000</f>
        <v>1.0552393571552721</v>
      </c>
      <c r="B99" s="25">
        <f>-53.07 + (304.89 * (A99)) + (90.79 *'Cálculo de exigências'!$I$16) - (3.13 * 'Cálculo de exigências'!$I$16*'Cálculo de exigências'!$I$16)</f>
        <v>727.02536371664814</v>
      </c>
    </row>
    <row r="100" spans="1:2" x14ac:dyDescent="0.25">
      <c r="A100" s="24">
        <f>(B99+('Cálculo de exigências'!$I$30-(B99*0.64))/0.8)/1000</f>
        <v>1.0552393571552721</v>
      </c>
      <c r="B100" s="25">
        <f>-53.07 + (304.89 * (A100)) + (90.79 *'Cálculo de exigências'!$I$16) - (3.13 * 'Cálculo de exigências'!$I$16*'Cálculo de exigências'!$I$16)</f>
        <v>727.02536371664814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7DBF-B831-4DBC-9D30-F7237B604C56}">
  <dimension ref="A1:CS105"/>
  <sheetViews>
    <sheetView workbookViewId="0">
      <selection activeCell="C3" sqref="C3"/>
    </sheetView>
  </sheetViews>
  <sheetFormatPr defaultColWidth="15.140625" defaultRowHeight="15" x14ac:dyDescent="0.25"/>
  <cols>
    <col min="1" max="1" width="16.140625" customWidth="1"/>
    <col min="2" max="3" width="15.7109375" customWidth="1"/>
    <col min="4" max="4" width="1.42578125" customWidth="1"/>
    <col min="7" max="7" width="1.7109375" customWidth="1"/>
    <col min="10" max="10" width="1.140625" customWidth="1"/>
    <col min="13" max="13" width="1.140625" customWidth="1"/>
    <col min="14" max="15" width="15.7109375" customWidth="1"/>
    <col min="16" max="16" width="1.42578125" customWidth="1"/>
    <col min="19" max="19" width="1.7109375" customWidth="1"/>
    <col min="22" max="22" width="1.140625" customWidth="1"/>
    <col min="25" max="25" width="1.140625" customWidth="1"/>
    <col min="26" max="27" width="15.7109375" customWidth="1"/>
    <col min="28" max="28" width="1.42578125" customWidth="1"/>
    <col min="31" max="31" width="1.7109375" customWidth="1"/>
    <col min="34" max="34" width="1.140625" customWidth="1"/>
    <col min="37" max="37" width="1.140625" customWidth="1"/>
    <col min="38" max="39" width="15.7109375" customWidth="1"/>
    <col min="40" max="40" width="1.42578125" customWidth="1"/>
    <col min="43" max="43" width="1.7109375" customWidth="1"/>
    <col min="46" max="46" width="1.140625" customWidth="1"/>
    <col min="49" max="49" width="1.140625" customWidth="1"/>
    <col min="50" max="51" width="15.7109375" customWidth="1"/>
    <col min="52" max="52" width="1.42578125" customWidth="1"/>
    <col min="55" max="55" width="1.7109375" customWidth="1"/>
    <col min="58" max="58" width="1.140625" customWidth="1"/>
    <col min="61" max="61" width="1.140625" customWidth="1"/>
    <col min="62" max="63" width="15.7109375" customWidth="1"/>
    <col min="64" max="64" width="1.42578125" customWidth="1"/>
    <col min="67" max="67" width="1.7109375" customWidth="1"/>
    <col min="70" max="70" width="1.140625" customWidth="1"/>
    <col min="73" max="73" width="1.140625" customWidth="1"/>
    <col min="74" max="75" width="15.7109375" customWidth="1"/>
    <col min="76" max="76" width="1.42578125" customWidth="1"/>
    <col min="79" max="79" width="1.7109375" customWidth="1"/>
    <col min="82" max="82" width="1.140625" customWidth="1"/>
    <col min="85" max="85" width="1.140625" customWidth="1"/>
    <col min="86" max="87" width="15.7109375" customWidth="1"/>
    <col min="88" max="88" width="1.42578125" customWidth="1"/>
    <col min="91" max="91" width="1.7109375" customWidth="1"/>
    <col min="94" max="94" width="1.140625" customWidth="1"/>
    <col min="97" max="97" width="1.140625" customWidth="1"/>
  </cols>
  <sheetData>
    <row r="1" spans="1:97" x14ac:dyDescent="0.25">
      <c r="A1" s="2" t="s">
        <v>72</v>
      </c>
      <c r="B1" s="423">
        <v>210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>
        <v>270</v>
      </c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>
        <v>330</v>
      </c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>
        <v>390</v>
      </c>
      <c r="AM1" s="423"/>
      <c r="AN1" s="423"/>
      <c r="AO1" s="423"/>
      <c r="AP1" s="423"/>
      <c r="AQ1" s="423"/>
      <c r="AR1" s="423"/>
      <c r="AS1" s="423"/>
      <c r="AT1" s="423"/>
      <c r="AU1" s="423"/>
      <c r="AV1" s="423"/>
      <c r="AW1" s="423"/>
      <c r="AX1" s="423">
        <v>450</v>
      </c>
      <c r="AY1" s="423"/>
      <c r="AZ1" s="423"/>
      <c r="BA1" s="423"/>
      <c r="BB1" s="423"/>
      <c r="BC1" s="423"/>
      <c r="BD1" s="423"/>
      <c r="BE1" s="423"/>
      <c r="BF1" s="423"/>
      <c r="BG1" s="423"/>
      <c r="BH1" s="423"/>
      <c r="BI1" s="423"/>
      <c r="BJ1" s="423">
        <v>510</v>
      </c>
      <c r="BK1" s="423"/>
      <c r="BL1" s="423"/>
      <c r="BM1" s="423"/>
      <c r="BN1" s="423"/>
      <c r="BO1" s="423"/>
      <c r="BP1" s="423"/>
      <c r="BQ1" s="423"/>
      <c r="BR1" s="423"/>
      <c r="BS1" s="423"/>
      <c r="BT1" s="423"/>
      <c r="BU1" s="423"/>
      <c r="BV1" s="423">
        <v>570</v>
      </c>
      <c r="BW1" s="423"/>
      <c r="BX1" s="423"/>
      <c r="BY1" s="423"/>
      <c r="BZ1" s="423"/>
      <c r="CA1" s="423"/>
      <c r="CB1" s="423"/>
      <c r="CC1" s="423"/>
      <c r="CD1" s="423"/>
      <c r="CE1" s="423"/>
      <c r="CF1" s="423"/>
      <c r="CG1" s="423"/>
      <c r="CH1" s="423">
        <v>630</v>
      </c>
      <c r="CI1" s="423"/>
      <c r="CJ1" s="423"/>
      <c r="CK1" s="423"/>
      <c r="CL1" s="423"/>
      <c r="CM1" s="423"/>
      <c r="CN1" s="423"/>
      <c r="CO1" s="423"/>
      <c r="CP1" s="423"/>
      <c r="CQ1" s="423"/>
      <c r="CR1" s="423"/>
      <c r="CS1" s="423"/>
    </row>
    <row r="2" spans="1:97" x14ac:dyDescent="0.25">
      <c r="A2" s="5" t="s">
        <v>69</v>
      </c>
      <c r="B2" s="421">
        <v>0.3</v>
      </c>
      <c r="C2" s="421"/>
      <c r="D2" s="3"/>
      <c r="E2" s="422">
        <v>0.8</v>
      </c>
      <c r="F2" s="422"/>
      <c r="G2" s="4"/>
      <c r="H2" s="422">
        <v>1.3</v>
      </c>
      <c r="I2" s="422"/>
      <c r="J2" s="4"/>
      <c r="K2" s="422">
        <v>1.8</v>
      </c>
      <c r="L2" s="422"/>
      <c r="N2" s="421">
        <v>0.3</v>
      </c>
      <c r="O2" s="421"/>
      <c r="P2" s="3"/>
      <c r="Q2" s="422">
        <v>0.8</v>
      </c>
      <c r="R2" s="422"/>
      <c r="S2" s="4"/>
      <c r="T2" s="422">
        <v>1.3</v>
      </c>
      <c r="U2" s="422"/>
      <c r="V2" s="4"/>
      <c r="W2" s="422">
        <v>1.8</v>
      </c>
      <c r="X2" s="422"/>
      <c r="Z2" s="421">
        <v>0.3</v>
      </c>
      <c r="AA2" s="421"/>
      <c r="AB2" s="3"/>
      <c r="AC2" s="422">
        <v>0.8</v>
      </c>
      <c r="AD2" s="422"/>
      <c r="AE2" s="4"/>
      <c r="AF2" s="422">
        <v>1.3</v>
      </c>
      <c r="AG2" s="422"/>
      <c r="AH2" s="4"/>
      <c r="AI2" s="422">
        <v>1.8</v>
      </c>
      <c r="AJ2" s="422"/>
      <c r="AL2" s="421">
        <v>0.3</v>
      </c>
      <c r="AM2" s="421"/>
      <c r="AN2" s="3"/>
      <c r="AO2" s="422">
        <v>0.8</v>
      </c>
      <c r="AP2" s="422"/>
      <c r="AQ2" s="4"/>
      <c r="AR2" s="422">
        <v>1.3</v>
      </c>
      <c r="AS2" s="422"/>
      <c r="AT2" s="4"/>
      <c r="AU2" s="422">
        <v>1.8</v>
      </c>
      <c r="AV2" s="422"/>
      <c r="AX2" s="421">
        <v>0.3</v>
      </c>
      <c r="AY2" s="421"/>
      <c r="AZ2" s="3"/>
      <c r="BA2" s="422">
        <v>0.8</v>
      </c>
      <c r="BB2" s="422"/>
      <c r="BC2" s="4"/>
      <c r="BD2" s="422">
        <v>1.3</v>
      </c>
      <c r="BE2" s="422"/>
      <c r="BF2" s="4"/>
      <c r="BG2" s="422">
        <v>1.8</v>
      </c>
      <c r="BH2" s="422"/>
      <c r="BJ2" s="421">
        <v>0.3</v>
      </c>
      <c r="BK2" s="421"/>
      <c r="BL2" s="3"/>
      <c r="BM2" s="422">
        <v>0.8</v>
      </c>
      <c r="BN2" s="422"/>
      <c r="BO2" s="4"/>
      <c r="BP2" s="422">
        <v>1.3</v>
      </c>
      <c r="BQ2" s="422"/>
      <c r="BR2" s="4"/>
      <c r="BS2" s="422">
        <v>1.8</v>
      </c>
      <c r="BT2" s="422"/>
      <c r="BV2" s="421">
        <v>0.3</v>
      </c>
      <c r="BW2" s="421"/>
      <c r="BX2" s="3"/>
      <c r="BY2" s="422">
        <v>0.8</v>
      </c>
      <c r="BZ2" s="422"/>
      <c r="CA2" s="4"/>
      <c r="CB2" s="422">
        <v>1.3</v>
      </c>
      <c r="CC2" s="422"/>
      <c r="CD2" s="4"/>
      <c r="CE2" s="422">
        <v>1.8</v>
      </c>
      <c r="CF2" s="422"/>
      <c r="CH2" s="421">
        <v>0.3</v>
      </c>
      <c r="CI2" s="421"/>
      <c r="CJ2" s="3"/>
      <c r="CK2" s="422">
        <v>0.8</v>
      </c>
      <c r="CL2" s="422"/>
      <c r="CM2" s="4"/>
      <c r="CN2" s="422">
        <v>1.3</v>
      </c>
      <c r="CO2" s="422"/>
      <c r="CP2" s="4"/>
      <c r="CQ2" s="422">
        <v>1.8</v>
      </c>
      <c r="CR2" s="422"/>
    </row>
    <row r="3" spans="1:97" x14ac:dyDescent="0.25">
      <c r="B3" s="9">
        <f>((120*Crescimento!Q20)+(Crescimento!Q27-(120*Crescimento!Q20)*0.64)/0.8)/1000</f>
        <v>1.1289017289602932</v>
      </c>
      <c r="C3" s="8">
        <f>-53.07 + (304.89 * (B3)) + (90.79 *Crescimento!$Q$20) - (3.13 * Crescimento!$Q$20*Crescimento!$Q$20)</f>
        <v>760.5088110726814</v>
      </c>
      <c r="D3" s="1"/>
      <c r="E3" s="6" t="e">
        <f>((120*Crescimento!#REF!)+(Crescimento!#REF!-(120*Crescimento!#REF!)*0.64)/0.8)/1000</f>
        <v>#REF!</v>
      </c>
      <c r="F3" s="7" t="e">
        <f>-53.07 + (304.89 * (E3)) + (90.79 *Crescimento!#REF!) - (3.13 * Crescimento!#REF!*Crescimento!#REF!)</f>
        <v>#REF!</v>
      </c>
      <c r="H3" s="6" t="e">
        <f>((120*Crescimento!#REF!)+(Crescimento!#REF!-(120*Crescimento!#REF!)*0.64)/0.8)/1000</f>
        <v>#REF!</v>
      </c>
      <c r="I3" s="7" t="e">
        <f>-53.07 + (304.89 * (H3)) + (90.79 *Crescimento!#REF!) - (3.13 * Crescimento!#REF!*Crescimento!#REF!)</f>
        <v>#REF!</v>
      </c>
      <c r="K3" s="6" t="e">
        <f>((120*Crescimento!#REF!)+(Crescimento!#REF!-(120*Crescimento!#REF!)*0.64)/0.8)/1000</f>
        <v>#REF!</v>
      </c>
      <c r="L3" s="7" t="e">
        <f>-53.07 + (304.89 * (K3)) + (90.79 *Crescimento!#REF!) - (3.13 * Crescimento!#REF!*Crescimento!#REF!)</f>
        <v>#REF!</v>
      </c>
      <c r="N3" s="6" t="e">
        <f>((120*Crescimento!#REF!)+(Crescimento!#REF!-(120*Crescimento!#REF!)*0.64)/0.8)/1000</f>
        <v>#REF!</v>
      </c>
      <c r="O3" s="7" t="e">
        <f>-53.07 + (304.89 * (N3)) + (90.79 *Crescimento!#REF!) - (3.13 * Crescimento!#REF!*Crescimento!#REF!)</f>
        <v>#REF!</v>
      </c>
      <c r="P3" s="1"/>
      <c r="Q3" s="6" t="e">
        <f>((120*Crescimento!#REF!)+(Crescimento!#REF!-(120*Crescimento!#REF!)*0.64)/0.8)/1000</f>
        <v>#REF!</v>
      </c>
      <c r="R3" s="7" t="e">
        <f>-53.07 + (304.89 * (Q3)) + (90.79 *Crescimento!#REF!) - (3.13 * Crescimento!#REF!*Crescimento!#REF!)</f>
        <v>#REF!</v>
      </c>
      <c r="T3" s="6" t="e">
        <f>((120*Crescimento!#REF!)+(Crescimento!#REF!-(120*Crescimento!#REF!)*0.64)/0.8)/1000</f>
        <v>#REF!</v>
      </c>
      <c r="U3" s="7" t="e">
        <f>-53.07 + (304.89 * (T3)) + (90.79 *Crescimento!#REF!) - (3.13 * Crescimento!#REF!*Crescimento!#REF!)</f>
        <v>#REF!</v>
      </c>
      <c r="W3" s="6" t="e">
        <f>((120*Crescimento!#REF!)+(Crescimento!#REF!-(120*Crescimento!#REF!)*0.64)/0.8)/1000</f>
        <v>#REF!</v>
      </c>
      <c r="X3" s="7" t="e">
        <f>-53.07 + (304.89 * (W3)) + (90.79 *Crescimento!#REF!) - (3.13 * Crescimento!#REF!*Crescimento!#REF!)</f>
        <v>#REF!</v>
      </c>
      <c r="Z3" s="6" t="e">
        <f>((120*Crescimento!#REF!)+(Crescimento!#REF!-(120*Crescimento!#REF!)*0.64)/0.8)/1000</f>
        <v>#REF!</v>
      </c>
      <c r="AA3" s="7" t="e">
        <f>-53.07 + (304.89 * (Z3)) + (90.79 *Crescimento!#REF!) - (3.13 * Crescimento!#REF!*Crescimento!#REF!)</f>
        <v>#REF!</v>
      </c>
      <c r="AB3" s="1"/>
      <c r="AC3" s="6" t="e">
        <f>((120*Crescimento!#REF!)+(Crescimento!#REF!-(120*Crescimento!#REF!)*0.64)/0.8)/1000</f>
        <v>#REF!</v>
      </c>
      <c r="AD3" s="7" t="e">
        <f>-53.07 + (304.89 * (AC3)) + (90.79 *Crescimento!#REF!) - (3.13 * Crescimento!#REF!*Crescimento!#REF!)</f>
        <v>#REF!</v>
      </c>
      <c r="AF3" s="6" t="e">
        <f>((120*Crescimento!#REF!)+(Crescimento!#REF!-(120*Crescimento!#REF!)*0.64)/0.8)/1000</f>
        <v>#REF!</v>
      </c>
      <c r="AG3" s="7" t="e">
        <f>-53.07 + (304.89 * (AF3)) + (90.79 *Crescimento!#REF!) - (3.13 * Crescimento!#REF!*Crescimento!#REF!)</f>
        <v>#REF!</v>
      </c>
      <c r="AI3" s="6" t="e">
        <f>((120*Crescimento!#REF!)+(Crescimento!#REF!-(120*Crescimento!#REF!)*0.64)/0.8)/1000</f>
        <v>#REF!</v>
      </c>
      <c r="AJ3" s="7" t="e">
        <f>-53.07 + (304.89 * (AI3)) + (90.79 *Crescimento!#REF!) - (3.13 * Crescimento!#REF!*Crescimento!#REF!)</f>
        <v>#REF!</v>
      </c>
      <c r="AL3" s="6" t="e">
        <f>((120*Crescimento!#REF!)+(Crescimento!#REF!-(120*Crescimento!#REF!)*0.64)/0.8)/1000</f>
        <v>#REF!</v>
      </c>
      <c r="AM3" s="7" t="e">
        <f>-53.07 + (304.89 * (AL3)) + (90.79 *Crescimento!#REF!) - (3.13 * Crescimento!#REF!*Crescimento!#REF!)</f>
        <v>#REF!</v>
      </c>
      <c r="AN3" s="1"/>
      <c r="AO3" s="6" t="e">
        <f>((120*Crescimento!#REF!)+(Crescimento!#REF!-(120*Crescimento!#REF!)*0.64)/0.8)/1000</f>
        <v>#REF!</v>
      </c>
      <c r="AP3" s="7" t="e">
        <f>-53.07 + (304.89 * (AO3)) + (90.79 *Crescimento!#REF!) - (3.13 * Crescimento!#REF!*Crescimento!#REF!)</f>
        <v>#REF!</v>
      </c>
      <c r="AR3" s="6" t="e">
        <f>((120*Crescimento!#REF!)+(Crescimento!#REF!-(120*Crescimento!#REF!)*0.64)/0.8)/1000</f>
        <v>#REF!</v>
      </c>
      <c r="AS3" s="7" t="e">
        <f>-53.07 + (304.89 * (AR3)) + (90.79 *Crescimento!#REF!) - (3.13 * Crescimento!#REF!*Crescimento!#REF!)</f>
        <v>#REF!</v>
      </c>
      <c r="AU3" s="6" t="e">
        <f>((120*Crescimento!#REF!)+(Crescimento!#REF!-(120*Crescimento!#REF!)*0.64)/0.8)/1000</f>
        <v>#REF!</v>
      </c>
      <c r="AV3" s="7" t="e">
        <f>-53.07 + (304.89 * (AU3)) + (90.79 *Crescimento!#REF!) - (3.13 * Crescimento!#REF!*Crescimento!#REF!)</f>
        <v>#REF!</v>
      </c>
      <c r="AX3" s="6" t="e">
        <f>((120*Crescimento!#REF!)+(Crescimento!#REF!-(120*Crescimento!#REF!)*0.64)/0.8)/1000</f>
        <v>#REF!</v>
      </c>
      <c r="AY3" s="7" t="e">
        <f>-53.07 + (304.89 * (AX3)) + (90.79 *Crescimento!#REF!) - (3.13 * Crescimento!#REF!*Crescimento!#REF!)</f>
        <v>#REF!</v>
      </c>
      <c r="AZ3" s="1"/>
      <c r="BA3" s="6" t="e">
        <f>((120*Crescimento!#REF!)+(Crescimento!#REF!-(120*Crescimento!#REF!)*0.64)/0.8)/1000</f>
        <v>#REF!</v>
      </c>
      <c r="BB3" s="7" t="e">
        <f>-53.07 + (304.89 * (BA3)) + (90.79 *Crescimento!#REF!) - (3.13 * Crescimento!#REF!*Crescimento!#REF!)</f>
        <v>#REF!</v>
      </c>
      <c r="BD3" s="6" t="e">
        <f>((120*Crescimento!#REF!)+(Crescimento!#REF!-(120*Crescimento!#REF!)*0.64)/0.8)/1000</f>
        <v>#REF!</v>
      </c>
      <c r="BE3" s="7" t="e">
        <f>-53.07 + (304.89 * (BD3)) + (90.79 *Crescimento!#REF!) - (3.13 * Crescimento!#REF!*Crescimento!#REF!)</f>
        <v>#REF!</v>
      </c>
      <c r="BG3" s="6" t="e">
        <f>((120*Crescimento!#REF!)+(Crescimento!#REF!-(120*Crescimento!#REF!)*0.64)/0.8)/1000</f>
        <v>#REF!</v>
      </c>
      <c r="BH3" s="7" t="e">
        <f>-53.07 + (304.89 * (BG3)) + (90.79 *Crescimento!#REF!) - (3.13 * Crescimento!#REF!*Crescimento!#REF!)</f>
        <v>#REF!</v>
      </c>
      <c r="BJ3" s="6" t="e">
        <f>((120*Crescimento!#REF!)+(Crescimento!#REF!-(120*Crescimento!#REF!)*0.64)/0.8)/1000</f>
        <v>#REF!</v>
      </c>
      <c r="BK3" s="7" t="e">
        <f>-53.07 + (304.89 * (BJ3)) + (90.79 *Crescimento!#REF!) - (3.13 * Crescimento!#REF!*Crescimento!#REF!)</f>
        <v>#REF!</v>
      </c>
      <c r="BL3" s="1"/>
      <c r="BM3" s="6" t="e">
        <f>((120*Crescimento!#REF!)+(Crescimento!#REF!-(120*Crescimento!#REF!)*0.64)/0.8)/1000</f>
        <v>#REF!</v>
      </c>
      <c r="BN3" s="7" t="e">
        <f>-53.07 + (304.89 * (BM3)) + (90.79 *Crescimento!#REF!) - (3.13 * Crescimento!#REF!*Crescimento!#REF!)</f>
        <v>#REF!</v>
      </c>
      <c r="BP3" s="6" t="e">
        <f>((120*Crescimento!#REF!)+(Crescimento!#REF!-(120*Crescimento!#REF!)*0.64)/0.8)/1000</f>
        <v>#REF!</v>
      </c>
      <c r="BQ3" s="7" t="e">
        <f>-53.07 + (304.89 * (BP3)) + (90.79 *Crescimento!#REF!) - (3.13 * Crescimento!#REF!*Crescimento!#REF!)</f>
        <v>#REF!</v>
      </c>
      <c r="BS3" s="6" t="e">
        <f>((120*Crescimento!#REF!)+(Crescimento!#REF!-(120*Crescimento!#REF!)*0.64)/0.8)/1000</f>
        <v>#REF!</v>
      </c>
      <c r="BT3" s="7" t="e">
        <f>-53.07 + (304.89 * (BS3)) + (90.79 *Crescimento!#REF!) - (3.13 * Crescimento!#REF!*Crescimento!#REF!)</f>
        <v>#REF!</v>
      </c>
      <c r="BV3" s="6" t="e">
        <f>((120*Crescimento!#REF!)+(Crescimento!#REF!-(120*Crescimento!#REF!)*0.64)/0.8)/1000</f>
        <v>#REF!</v>
      </c>
      <c r="BW3" s="7" t="e">
        <f>-53.07 + (304.89 * (BV3)) + (90.79 *Crescimento!#REF!) - (3.13 * Crescimento!#REF!*Crescimento!#REF!)</f>
        <v>#REF!</v>
      </c>
      <c r="BX3" s="1"/>
      <c r="BY3" s="6" t="e">
        <f>((120*Crescimento!#REF!)+(Crescimento!#REF!-(120*Crescimento!#REF!)*0.64)/0.8)/1000</f>
        <v>#REF!</v>
      </c>
      <c r="BZ3" s="7" t="e">
        <f>-53.07 + (304.89 * (BY3)) + (90.79 *Crescimento!#REF!) - (3.13 * Crescimento!#REF!*Crescimento!#REF!)</f>
        <v>#REF!</v>
      </c>
      <c r="CB3" s="6" t="e">
        <f>((120*Crescimento!#REF!)+(Crescimento!#REF!-(120*Crescimento!#REF!)*0.64)/0.8)/1000</f>
        <v>#REF!</v>
      </c>
      <c r="CC3" s="7" t="e">
        <f>-53.07 + (304.89 * (CB3)) + (90.79 *Crescimento!#REF!) - (3.13 * Crescimento!#REF!*Crescimento!#REF!)</f>
        <v>#REF!</v>
      </c>
      <c r="CE3" s="6" t="e">
        <f>((120*Crescimento!#REF!)+(Crescimento!#REF!-(120*Crescimento!#REF!)*0.64)/0.8)/1000</f>
        <v>#REF!</v>
      </c>
      <c r="CF3" s="7" t="e">
        <f>-53.07 + (304.89 * (CE3)) + (90.79 *Crescimento!#REF!) - (3.13 * Crescimento!#REF!*Crescimento!#REF!)</f>
        <v>#REF!</v>
      </c>
      <c r="CH3" s="6" t="e">
        <f>((120*Crescimento!#REF!)+(Crescimento!#REF!-(120*Crescimento!#REF!)*0.64)/0.8)/1000</f>
        <v>#REF!</v>
      </c>
      <c r="CI3" s="7" t="e">
        <f>-53.07 + (304.89 * (CH3)) + (90.79 *Crescimento!#REF!) - (3.13 * Crescimento!#REF!*Crescimento!#REF!)</f>
        <v>#REF!</v>
      </c>
      <c r="CJ3" s="1"/>
      <c r="CK3" s="6" t="e">
        <f>((120*Crescimento!#REF!)+(Crescimento!#REF!-(120*Crescimento!#REF!)*0.64)/0.8)/1000</f>
        <v>#REF!</v>
      </c>
      <c r="CL3" s="7" t="e">
        <f>-53.07 + (304.89 * (CK3)) + (90.79 *Crescimento!#REF!) - (3.13 * Crescimento!#REF!*Crescimento!#REF!)</f>
        <v>#REF!</v>
      </c>
      <c r="CN3" s="6" t="e">
        <f>((120*Crescimento!#REF!)+(Crescimento!#REF!-(120*Crescimento!#REF!)*0.64)/0.8)/1000</f>
        <v>#REF!</v>
      </c>
      <c r="CO3" s="7" t="e">
        <f>-53.07 + (304.89 * (CN3)) + (90.79 *Crescimento!#REF!) - (3.13 * Crescimento!#REF!*Crescimento!#REF!)</f>
        <v>#REF!</v>
      </c>
      <c r="CQ3" s="6" t="e">
        <f>((120*Crescimento!#REF!)+(Crescimento!#REF!-(120*Crescimento!#REF!)*0.64)/0.8)/1000</f>
        <v>#REF!</v>
      </c>
      <c r="CR3" s="7" t="e">
        <f>-53.07 + (304.89 * (CQ3)) + (90.79 *Crescimento!#REF!) - (3.13 * Crescimento!#REF!*Crescimento!#REF!)</f>
        <v>#REF!</v>
      </c>
    </row>
    <row r="4" spans="1:97" x14ac:dyDescent="0.25">
      <c r="B4" s="6">
        <f>(C3+(Crescimento!$Q$27-(C3*0.64))/0.8)/1000</f>
        <v>1.1194153952140782</v>
      </c>
      <c r="C4" s="8">
        <f>-53.07 + (304.89 * (B4)) + (90.79 *Crescimento!$Q$20) - (3.13 * Crescimento!$Q$20*Crescimento!$Q$20)</f>
        <v>757.61652277679798</v>
      </c>
      <c r="D4" s="1"/>
      <c r="E4" s="6" t="e">
        <f>(F3+(Crescimento!#REF!-(F3*0.64))/0.8)/1000</f>
        <v>#REF!</v>
      </c>
      <c r="F4" s="7" t="e">
        <f>-53.07 + (304.89 * (E4)) + (90.79 *Crescimento!#REF!) - (3.13 * Crescimento!#REF!*Crescimento!#REF!)</f>
        <v>#REF!</v>
      </c>
      <c r="H4" s="6" t="e">
        <f>(I3+(Crescimento!#REF!-(I3*0.64))/0.8)/1000</f>
        <v>#REF!</v>
      </c>
      <c r="I4" s="7" t="e">
        <f>-53.07 + (304.89 * (H4)) + (90.79 *Crescimento!#REF!) - (3.13 * Crescimento!#REF!*Crescimento!#REF!)</f>
        <v>#REF!</v>
      </c>
      <c r="K4" s="6" t="e">
        <f>(L3+(Crescimento!#REF!-(L3*0.64))/0.8)/1000</f>
        <v>#REF!</v>
      </c>
      <c r="L4" s="7" t="e">
        <f>-53.07 + (304.89 * (K4)) + (90.79 *Crescimento!#REF!) - (3.13 * Crescimento!#REF!*Crescimento!#REF!)</f>
        <v>#REF!</v>
      </c>
      <c r="N4" s="6" t="e">
        <f>(O3+(Crescimento!#REF!-(O3*0.64))/0.8)/1000</f>
        <v>#REF!</v>
      </c>
      <c r="O4" s="7" t="e">
        <f>-53.07 + (304.89 * (N4)) + (90.79 *Crescimento!#REF!) - (3.13 * Crescimento!#REF!*Crescimento!#REF!)</f>
        <v>#REF!</v>
      </c>
      <c r="P4" s="1"/>
      <c r="Q4" s="6" t="e">
        <f>(R3+(Crescimento!#REF!-(R3*0.64))/0.8)/1000</f>
        <v>#REF!</v>
      </c>
      <c r="R4" s="7" t="e">
        <f>-53.07 + (304.89 * (Q4)) + (90.79 *Crescimento!#REF!) - (3.13 * Crescimento!#REF!*Crescimento!#REF!)</f>
        <v>#REF!</v>
      </c>
      <c r="T4" s="6" t="e">
        <f>(U3+(Crescimento!#REF!-(U3*0.64))/0.8)/1000</f>
        <v>#REF!</v>
      </c>
      <c r="U4" s="7" t="e">
        <f>-53.07 + (304.89 * (T4)) + (90.79 *Crescimento!#REF!) - (3.13 * Crescimento!#REF!*Crescimento!#REF!)</f>
        <v>#REF!</v>
      </c>
      <c r="W4" s="6" t="e">
        <f>(X3+(Crescimento!#REF!-(X3*0.64))/0.8)/1000</f>
        <v>#REF!</v>
      </c>
      <c r="X4" s="7" t="e">
        <f>-53.07 + (304.89 * (W4)) + (90.79 *Crescimento!#REF!) - (3.13 * Crescimento!#REF!*Crescimento!#REF!)</f>
        <v>#REF!</v>
      </c>
      <c r="Z4" s="6" t="e">
        <f>(AA3+(Crescimento!#REF!-(AA3*0.64))/0.8)/1000</f>
        <v>#REF!</v>
      </c>
      <c r="AA4" s="7" t="e">
        <f>-53.07 + (304.89 * (Z4)) + (90.79 *Crescimento!#REF!) - (3.13 * Crescimento!#REF!*Crescimento!#REF!)</f>
        <v>#REF!</v>
      </c>
      <c r="AB4" s="1"/>
      <c r="AC4" s="6" t="e">
        <f>(AD3+(Crescimento!#REF!-(AD3*0.64))/0.8)/1000</f>
        <v>#REF!</v>
      </c>
      <c r="AD4" s="7" t="e">
        <f>-53.07 + (304.89 * (AC4)) + (90.79 *Crescimento!#REF!) - (3.13 * Crescimento!#REF!*Crescimento!#REF!)</f>
        <v>#REF!</v>
      </c>
      <c r="AF4" s="6" t="e">
        <f>(AG3+(Crescimento!#REF!-(AG3*0.64))/0.8)/1000</f>
        <v>#REF!</v>
      </c>
      <c r="AG4" s="7" t="e">
        <f>-53.07 + (304.89 * (AF4)) + (90.79 *Crescimento!#REF!) - (3.13 * Crescimento!#REF!*Crescimento!#REF!)</f>
        <v>#REF!</v>
      </c>
      <c r="AI4" s="6" t="e">
        <f>(AJ3+(Crescimento!#REF!-(AJ3*0.64))/0.8)/1000</f>
        <v>#REF!</v>
      </c>
      <c r="AJ4" s="7" t="e">
        <f>-53.07 + (304.89 * (AI4)) + (90.79 *Crescimento!#REF!) - (3.13 * Crescimento!#REF!*Crescimento!#REF!)</f>
        <v>#REF!</v>
      </c>
      <c r="AL4" s="6" t="e">
        <f>(AM3+(Crescimento!#REF!-(AM3*0.64))/0.8)/1000</f>
        <v>#REF!</v>
      </c>
      <c r="AM4" s="7" t="e">
        <f>-53.07 + (304.89 * (AL4)) + (90.79 *Crescimento!#REF!) - (3.13 * Crescimento!#REF!*Crescimento!#REF!)</f>
        <v>#REF!</v>
      </c>
      <c r="AN4" s="1"/>
      <c r="AO4" s="6" t="e">
        <f>(AP3+(Crescimento!#REF!-(AP3*0.64))/0.8)/1000</f>
        <v>#REF!</v>
      </c>
      <c r="AP4" s="7" t="e">
        <f>-53.07 + (304.89 * (AO4)) + (90.79 *Crescimento!#REF!) - (3.13 * Crescimento!#REF!*Crescimento!#REF!)</f>
        <v>#REF!</v>
      </c>
      <c r="AR4" s="6" t="e">
        <f>(AS3+(Crescimento!#REF!-(AS3*0.64))/0.8)/1000</f>
        <v>#REF!</v>
      </c>
      <c r="AS4" s="7" t="e">
        <f>-53.07 + (304.89 * (AR4)) + (90.79 *Crescimento!#REF!) - (3.13 * Crescimento!#REF!*Crescimento!#REF!)</f>
        <v>#REF!</v>
      </c>
      <c r="AU4" s="6" t="e">
        <f>(AV3+(Crescimento!#REF!-(AV3*0.64))/0.8)/1000</f>
        <v>#REF!</v>
      </c>
      <c r="AV4" s="7" t="e">
        <f>-53.07 + (304.89 * (AU4)) + (90.79 *Crescimento!#REF!) - (3.13 * Crescimento!#REF!*Crescimento!#REF!)</f>
        <v>#REF!</v>
      </c>
      <c r="AX4" s="6" t="e">
        <f>(AY3+(Crescimento!#REF!-(AY3*0.64))/0.8)/1000</f>
        <v>#REF!</v>
      </c>
      <c r="AY4" s="7" t="e">
        <f>-53.07 + (304.89 * (AX4)) + (90.79 *Crescimento!#REF!) - (3.13 * Crescimento!#REF!*Crescimento!#REF!)</f>
        <v>#REF!</v>
      </c>
      <c r="AZ4" s="1"/>
      <c r="BA4" s="6" t="e">
        <f>(BB3+(Crescimento!#REF!-(BB3*0.64))/0.8)/1000</f>
        <v>#REF!</v>
      </c>
      <c r="BB4" s="7" t="e">
        <f>-53.07 + (304.89 * (BA4)) + (90.79 *Crescimento!#REF!) - (3.13 * Crescimento!#REF!*Crescimento!#REF!)</f>
        <v>#REF!</v>
      </c>
      <c r="BD4" s="6" t="e">
        <f>(BE3+(Crescimento!#REF!-(BE3*0.64))/0.8)/1000</f>
        <v>#REF!</v>
      </c>
      <c r="BE4" s="7" t="e">
        <f>-53.07 + (304.89 * (BD4)) + (90.79 *Crescimento!#REF!) - (3.13 * Crescimento!#REF!*Crescimento!#REF!)</f>
        <v>#REF!</v>
      </c>
      <c r="BG4" s="6" t="e">
        <f>(BH3+(Crescimento!#REF!-(BH3*0.64))/0.8)/1000</f>
        <v>#REF!</v>
      </c>
      <c r="BH4" s="7" t="e">
        <f>-53.07 + (304.89 * (BG4)) + (90.79 *Crescimento!#REF!) - (3.13 * Crescimento!#REF!*Crescimento!#REF!)</f>
        <v>#REF!</v>
      </c>
      <c r="BJ4" s="6" t="e">
        <f>(BK3+(Crescimento!#REF!-(BK3*0.64))/0.8)/1000</f>
        <v>#REF!</v>
      </c>
      <c r="BK4" s="7" t="e">
        <f>-53.07 + (304.89 * (BJ4)) + (90.79 *Crescimento!#REF!) - (3.13 * Crescimento!#REF!*Crescimento!#REF!)</f>
        <v>#REF!</v>
      </c>
      <c r="BL4" s="1"/>
      <c r="BM4" s="6" t="e">
        <f>(BN3+(Crescimento!#REF!-(BN3*0.64))/0.8)/1000</f>
        <v>#REF!</v>
      </c>
      <c r="BN4" s="7" t="e">
        <f>-53.07 + (304.89 * (BM4)) + (90.79 *Crescimento!#REF!) - (3.13 * Crescimento!#REF!*Crescimento!#REF!)</f>
        <v>#REF!</v>
      </c>
      <c r="BP4" s="6" t="e">
        <f>(BQ3+(Crescimento!#REF!-(BQ3*0.64))/0.8)/1000</f>
        <v>#REF!</v>
      </c>
      <c r="BQ4" s="7" t="e">
        <f>-53.07 + (304.89 * (BP4)) + (90.79 *Crescimento!#REF!) - (3.13 * Crescimento!#REF!*Crescimento!#REF!)</f>
        <v>#REF!</v>
      </c>
      <c r="BS4" s="6" t="e">
        <f>(BT3+(Crescimento!#REF!-(BT3*0.64))/0.8)/1000</f>
        <v>#REF!</v>
      </c>
      <c r="BT4" s="7" t="e">
        <f>-53.07 + (304.89 * (BS4)) + (90.79 *Crescimento!#REF!) - (3.13 * Crescimento!#REF!*Crescimento!#REF!)</f>
        <v>#REF!</v>
      </c>
      <c r="BV4" s="6" t="e">
        <f>(BW3+(Crescimento!#REF!-(BW3*0.64))/0.8)/1000</f>
        <v>#REF!</v>
      </c>
      <c r="BW4" s="7" t="e">
        <f>-53.07 + (304.89 * (BV4)) + (90.79 *Crescimento!#REF!) - (3.13 * Crescimento!#REF!*Crescimento!#REF!)</f>
        <v>#REF!</v>
      </c>
      <c r="BX4" s="1"/>
      <c r="BY4" s="6" t="e">
        <f>(BZ3+(Crescimento!#REF!-(BZ3*0.64))/0.8)/1000</f>
        <v>#REF!</v>
      </c>
      <c r="BZ4" s="7" t="e">
        <f>-53.07 + (304.89 * (BY4)) + (90.79 *Crescimento!#REF!) - (3.13 * Crescimento!#REF!*Crescimento!#REF!)</f>
        <v>#REF!</v>
      </c>
      <c r="CB4" s="6" t="e">
        <f>(CC3+(Crescimento!#REF!-(CC3*0.64))/0.8)/1000</f>
        <v>#REF!</v>
      </c>
      <c r="CC4" s="7" t="e">
        <f>-53.07 + (304.89 * (CB4)) + (90.79 *Crescimento!#REF!) - (3.13 * Crescimento!#REF!*Crescimento!#REF!)</f>
        <v>#REF!</v>
      </c>
      <c r="CE4" s="6" t="e">
        <f>(CF3+(Crescimento!#REF!-(CF3*0.64))/0.8)/1000</f>
        <v>#REF!</v>
      </c>
      <c r="CF4" s="7" t="e">
        <f>-53.07 + (304.89 * (CE4)) + (90.79 *Crescimento!#REF!) - (3.13 * Crescimento!#REF!*Crescimento!#REF!)</f>
        <v>#REF!</v>
      </c>
      <c r="CH4" s="6" t="e">
        <f>(CI3+(Crescimento!#REF!-(CI3*0.64))/0.8)/1000</f>
        <v>#REF!</v>
      </c>
      <c r="CI4" s="7" t="e">
        <f>-53.07 + (304.89 * (CH4)) + (90.79 *Crescimento!#REF!) - (3.13 * Crescimento!#REF!*Crescimento!#REF!)</f>
        <v>#REF!</v>
      </c>
      <c r="CJ4" s="1"/>
      <c r="CK4" s="6" t="e">
        <f>(CL3+(Crescimento!#REF!-(CL3*0.64))/0.8)/1000</f>
        <v>#REF!</v>
      </c>
      <c r="CL4" s="7" t="e">
        <f>-53.07 + (304.89 * (CK4)) + (90.79 *Crescimento!#REF!) - (3.13 * Crescimento!#REF!*Crescimento!#REF!)</f>
        <v>#REF!</v>
      </c>
      <c r="CN4" s="6" t="e">
        <f>(CO3+(Crescimento!#REF!-(CO3*0.64))/0.8)/1000</f>
        <v>#REF!</v>
      </c>
      <c r="CO4" s="7" t="e">
        <f>-53.07 + (304.89 * (CN4)) + (90.79 *Crescimento!#REF!) - (3.13 * Crescimento!#REF!*Crescimento!#REF!)</f>
        <v>#REF!</v>
      </c>
      <c r="CQ4" s="6" t="e">
        <f>(CR3+(Crescimento!#REF!-(CR3*0.64))/0.8)/1000</f>
        <v>#REF!</v>
      </c>
      <c r="CR4" s="7" t="e">
        <f>-53.07 + (304.89 * (CQ4)) + (90.79 *Crescimento!#REF!) - (3.13 * Crescimento!#REF!*Crescimento!#REF!)</f>
        <v>#REF!</v>
      </c>
    </row>
    <row r="5" spans="1:97" x14ac:dyDescent="0.25">
      <c r="B5" s="6">
        <f>(C4+(Crescimento!$Q$27-(C4*0.64))/0.8)/1000</f>
        <v>1.1188369375549014</v>
      </c>
      <c r="C5" s="8">
        <f>-53.07 + (304.89 * (B5)) + (90.79 *Crescimento!$Q$20) - (3.13 * Crescimento!$Q$20*Crescimento!$Q$20)</f>
        <v>757.44015682109159</v>
      </c>
      <c r="D5" s="1"/>
      <c r="E5" s="6" t="e">
        <f>(F4+(Crescimento!#REF!-(F4*0.64))/0.8)/1000</f>
        <v>#REF!</v>
      </c>
      <c r="F5" s="7" t="e">
        <f>-53.07 + (304.89 * (E5)) + (90.79 *Crescimento!#REF!) - (3.13 * Crescimento!#REF!*Crescimento!#REF!)</f>
        <v>#REF!</v>
      </c>
      <c r="H5" s="6" t="e">
        <f>(I4+(Crescimento!#REF!-(I4*0.64))/0.8)/1000</f>
        <v>#REF!</v>
      </c>
      <c r="I5" s="7" t="e">
        <f>-53.07 + (304.89 * (H5)) + (90.79 *Crescimento!#REF!) - (3.13 * Crescimento!#REF!*Crescimento!#REF!)</f>
        <v>#REF!</v>
      </c>
      <c r="K5" s="6" t="e">
        <f>(L4+(Crescimento!#REF!-(L4*0.64))/0.8)/1000</f>
        <v>#REF!</v>
      </c>
      <c r="L5" s="7" t="e">
        <f>-53.07 + (304.89 * (K5)) + (90.79 *Crescimento!#REF!) - (3.13 * Crescimento!#REF!*Crescimento!#REF!)</f>
        <v>#REF!</v>
      </c>
      <c r="N5" s="6" t="e">
        <f>(O4+(Crescimento!#REF!-(O4*0.64))/0.8)/1000</f>
        <v>#REF!</v>
      </c>
      <c r="O5" s="7" t="e">
        <f>-53.07 + (304.89 * (N5)) + (90.79 *Crescimento!#REF!) - (3.13 * Crescimento!#REF!*Crescimento!#REF!)</f>
        <v>#REF!</v>
      </c>
      <c r="P5" s="1"/>
      <c r="Q5" s="6" t="e">
        <f>(R4+(Crescimento!#REF!-(R4*0.64))/0.8)/1000</f>
        <v>#REF!</v>
      </c>
      <c r="R5" s="7" t="e">
        <f>-53.07 + (304.89 * (Q5)) + (90.79 *Crescimento!#REF!) - (3.13 * Crescimento!#REF!*Crescimento!#REF!)</f>
        <v>#REF!</v>
      </c>
      <c r="T5" s="6" t="e">
        <f>(U4+(Crescimento!#REF!-(U4*0.64))/0.8)/1000</f>
        <v>#REF!</v>
      </c>
      <c r="U5" s="7" t="e">
        <f>-53.07 + (304.89 * (T5)) + (90.79 *Crescimento!#REF!) - (3.13 * Crescimento!#REF!*Crescimento!#REF!)</f>
        <v>#REF!</v>
      </c>
      <c r="W5" s="6" t="e">
        <f>(X4+(Crescimento!#REF!-(X4*0.64))/0.8)/1000</f>
        <v>#REF!</v>
      </c>
      <c r="X5" s="7" t="e">
        <f>-53.07 + (304.89 * (W5)) + (90.79 *Crescimento!#REF!) - (3.13 * Crescimento!#REF!*Crescimento!#REF!)</f>
        <v>#REF!</v>
      </c>
      <c r="Z5" s="6" t="e">
        <f>(AA4+(Crescimento!#REF!-(AA4*0.64))/0.8)/1000</f>
        <v>#REF!</v>
      </c>
      <c r="AA5" s="7" t="e">
        <f>-53.07 + (304.89 * (Z5)) + (90.79 *Crescimento!#REF!) - (3.13 * Crescimento!#REF!*Crescimento!#REF!)</f>
        <v>#REF!</v>
      </c>
      <c r="AB5" s="1"/>
      <c r="AC5" s="6" t="e">
        <f>(AD4+(Crescimento!#REF!-(AD4*0.64))/0.8)/1000</f>
        <v>#REF!</v>
      </c>
      <c r="AD5" s="7" t="e">
        <f>-53.07 + (304.89 * (AC5)) + (90.79 *Crescimento!#REF!) - (3.13 * Crescimento!#REF!*Crescimento!#REF!)</f>
        <v>#REF!</v>
      </c>
      <c r="AF5" s="6" t="e">
        <f>(AG4+(Crescimento!#REF!-(AG4*0.64))/0.8)/1000</f>
        <v>#REF!</v>
      </c>
      <c r="AG5" s="7" t="e">
        <f>-53.07 + (304.89 * (AF5)) + (90.79 *Crescimento!#REF!) - (3.13 * Crescimento!#REF!*Crescimento!#REF!)</f>
        <v>#REF!</v>
      </c>
      <c r="AI5" s="6" t="e">
        <f>(AJ4+(Crescimento!#REF!-(AJ4*0.64))/0.8)/1000</f>
        <v>#REF!</v>
      </c>
      <c r="AJ5" s="7" t="e">
        <f>-53.07 + (304.89 * (AI5)) + (90.79 *Crescimento!#REF!) - (3.13 * Crescimento!#REF!*Crescimento!#REF!)</f>
        <v>#REF!</v>
      </c>
      <c r="AL5" s="6" t="e">
        <f>(AM4+(Crescimento!#REF!-(AM4*0.64))/0.8)/1000</f>
        <v>#REF!</v>
      </c>
      <c r="AM5" s="7" t="e">
        <f>-53.07 + (304.89 * (AL5)) + (90.79 *Crescimento!#REF!) - (3.13 * Crescimento!#REF!*Crescimento!#REF!)</f>
        <v>#REF!</v>
      </c>
      <c r="AN5" s="1"/>
      <c r="AO5" s="6" t="e">
        <f>(AP4+(Crescimento!#REF!-(AP4*0.64))/0.8)/1000</f>
        <v>#REF!</v>
      </c>
      <c r="AP5" s="7" t="e">
        <f>-53.07 + (304.89 * (AO5)) + (90.79 *Crescimento!#REF!) - (3.13 * Crescimento!#REF!*Crescimento!#REF!)</f>
        <v>#REF!</v>
      </c>
      <c r="AR5" s="6" t="e">
        <f>(AS4+(Crescimento!#REF!-(AS4*0.64))/0.8)/1000</f>
        <v>#REF!</v>
      </c>
      <c r="AS5" s="7" t="e">
        <f>-53.07 + (304.89 * (AR5)) + (90.79 *Crescimento!#REF!) - (3.13 * Crescimento!#REF!*Crescimento!#REF!)</f>
        <v>#REF!</v>
      </c>
      <c r="AU5" s="6" t="e">
        <f>(AV4+(Crescimento!#REF!-(AV4*0.64))/0.8)/1000</f>
        <v>#REF!</v>
      </c>
      <c r="AV5" s="7" t="e">
        <f>-53.07 + (304.89 * (AU5)) + (90.79 *Crescimento!#REF!) - (3.13 * Crescimento!#REF!*Crescimento!#REF!)</f>
        <v>#REF!</v>
      </c>
      <c r="AX5" s="6" t="e">
        <f>(AY4+(Crescimento!#REF!-(AY4*0.64))/0.8)/1000</f>
        <v>#REF!</v>
      </c>
      <c r="AY5" s="7" t="e">
        <f>-53.07 + (304.89 * (AX5)) + (90.79 *Crescimento!#REF!) - (3.13 * Crescimento!#REF!*Crescimento!#REF!)</f>
        <v>#REF!</v>
      </c>
      <c r="AZ5" s="1"/>
      <c r="BA5" s="6" t="e">
        <f>(BB4+(Crescimento!#REF!-(BB4*0.64))/0.8)/1000</f>
        <v>#REF!</v>
      </c>
      <c r="BB5" s="7" t="e">
        <f>-53.07 + (304.89 * (BA5)) + (90.79 *Crescimento!#REF!) - (3.13 * Crescimento!#REF!*Crescimento!#REF!)</f>
        <v>#REF!</v>
      </c>
      <c r="BD5" s="6" t="e">
        <f>(BE4+(Crescimento!#REF!-(BE4*0.64))/0.8)/1000</f>
        <v>#REF!</v>
      </c>
      <c r="BE5" s="7" t="e">
        <f>-53.07 + (304.89 * (BD5)) + (90.79 *Crescimento!#REF!) - (3.13 * Crescimento!#REF!*Crescimento!#REF!)</f>
        <v>#REF!</v>
      </c>
      <c r="BG5" s="6" t="e">
        <f>(BH4+(Crescimento!#REF!-(BH4*0.64))/0.8)/1000</f>
        <v>#REF!</v>
      </c>
      <c r="BH5" s="7" t="e">
        <f>-53.07 + (304.89 * (BG5)) + (90.79 *Crescimento!#REF!) - (3.13 * Crescimento!#REF!*Crescimento!#REF!)</f>
        <v>#REF!</v>
      </c>
      <c r="BJ5" s="6" t="e">
        <f>(BK4+(Crescimento!#REF!-(BK4*0.64))/0.8)/1000</f>
        <v>#REF!</v>
      </c>
      <c r="BK5" s="7" t="e">
        <f>-53.07 + (304.89 * (BJ5)) + (90.79 *Crescimento!#REF!) - (3.13 * Crescimento!#REF!*Crescimento!#REF!)</f>
        <v>#REF!</v>
      </c>
      <c r="BL5" s="1"/>
      <c r="BM5" s="6" t="e">
        <f>(BN4+(Crescimento!#REF!-(BN4*0.64))/0.8)/1000</f>
        <v>#REF!</v>
      </c>
      <c r="BN5" s="7" t="e">
        <f>-53.07 + (304.89 * (BM5)) + (90.79 *Crescimento!#REF!) - (3.13 * Crescimento!#REF!*Crescimento!#REF!)</f>
        <v>#REF!</v>
      </c>
      <c r="BP5" s="6" t="e">
        <f>(BQ4+(Crescimento!#REF!-(BQ4*0.64))/0.8)/1000</f>
        <v>#REF!</v>
      </c>
      <c r="BQ5" s="7" t="e">
        <f>-53.07 + (304.89 * (BP5)) + (90.79 *Crescimento!#REF!) - (3.13 * Crescimento!#REF!*Crescimento!#REF!)</f>
        <v>#REF!</v>
      </c>
      <c r="BS5" s="6" t="e">
        <f>(BT4+(Crescimento!#REF!-(BT4*0.64))/0.8)/1000</f>
        <v>#REF!</v>
      </c>
      <c r="BT5" s="7" t="e">
        <f>-53.07 + (304.89 * (BS5)) + (90.79 *Crescimento!#REF!) - (3.13 * Crescimento!#REF!*Crescimento!#REF!)</f>
        <v>#REF!</v>
      </c>
      <c r="BV5" s="6" t="e">
        <f>(BW4+(Crescimento!#REF!-(BW4*0.64))/0.8)/1000</f>
        <v>#REF!</v>
      </c>
      <c r="BW5" s="7" t="e">
        <f>-53.07 + (304.89 * (BV5)) + (90.79 *Crescimento!#REF!) - (3.13 * Crescimento!#REF!*Crescimento!#REF!)</f>
        <v>#REF!</v>
      </c>
      <c r="BX5" s="1"/>
      <c r="BY5" s="6" t="e">
        <f>(BZ4+(Crescimento!#REF!-(BZ4*0.64))/0.8)/1000</f>
        <v>#REF!</v>
      </c>
      <c r="BZ5" s="7" t="e">
        <f>-53.07 + (304.89 * (BY5)) + (90.79 *Crescimento!#REF!) - (3.13 * Crescimento!#REF!*Crescimento!#REF!)</f>
        <v>#REF!</v>
      </c>
      <c r="CB5" s="6" t="e">
        <f>(CC4+(Crescimento!#REF!-(CC4*0.64))/0.8)/1000</f>
        <v>#REF!</v>
      </c>
      <c r="CC5" s="7" t="e">
        <f>-53.07 + (304.89 * (CB5)) + (90.79 *Crescimento!#REF!) - (3.13 * Crescimento!#REF!*Crescimento!#REF!)</f>
        <v>#REF!</v>
      </c>
      <c r="CE5" s="6" t="e">
        <f>(CF4+(Crescimento!#REF!-(CF4*0.64))/0.8)/1000</f>
        <v>#REF!</v>
      </c>
      <c r="CF5" s="7" t="e">
        <f>-53.07 + (304.89 * (CE5)) + (90.79 *Crescimento!#REF!) - (3.13 * Crescimento!#REF!*Crescimento!#REF!)</f>
        <v>#REF!</v>
      </c>
      <c r="CH5" s="6" t="e">
        <f>(CI4+(Crescimento!#REF!-(CI4*0.64))/0.8)/1000</f>
        <v>#REF!</v>
      </c>
      <c r="CI5" s="7" t="e">
        <f>-53.07 + (304.89 * (CH5)) + (90.79 *Crescimento!#REF!) - (3.13 * Crescimento!#REF!*Crescimento!#REF!)</f>
        <v>#REF!</v>
      </c>
      <c r="CJ5" s="1"/>
      <c r="CK5" s="6" t="e">
        <f>(CL4+(Crescimento!#REF!-(CL4*0.64))/0.8)/1000</f>
        <v>#REF!</v>
      </c>
      <c r="CL5" s="7" t="e">
        <f>-53.07 + (304.89 * (CK5)) + (90.79 *Crescimento!#REF!) - (3.13 * Crescimento!#REF!*Crescimento!#REF!)</f>
        <v>#REF!</v>
      </c>
      <c r="CN5" s="6" t="e">
        <f>(CO4+(Crescimento!#REF!-(CO4*0.64))/0.8)/1000</f>
        <v>#REF!</v>
      </c>
      <c r="CO5" s="7" t="e">
        <f>-53.07 + (304.89 * (CN5)) + (90.79 *Crescimento!#REF!) - (3.13 * Crescimento!#REF!*Crescimento!#REF!)</f>
        <v>#REF!</v>
      </c>
      <c r="CQ5" s="6" t="e">
        <f>(CR4+(Crescimento!#REF!-(CR4*0.64))/0.8)/1000</f>
        <v>#REF!</v>
      </c>
      <c r="CR5" s="7" t="e">
        <f>-53.07 + (304.89 * (CQ5)) + (90.79 *Crescimento!#REF!) - (3.13 * Crescimento!#REF!*Crescimento!#REF!)</f>
        <v>#REF!</v>
      </c>
    </row>
    <row r="6" spans="1:97" ht="15" customHeight="1" x14ac:dyDescent="0.25">
      <c r="B6" s="6">
        <f>(C5+(Crescimento!$Q$27-(C5*0.64))/0.8)/1000</f>
        <v>1.1188016643637602</v>
      </c>
      <c r="C6" s="8">
        <f>-53.07 + (304.89 * (B6)) + (90.79 *Crescimento!$Q$20) - (3.13 * Crescimento!$Q$20*Crescimento!$Q$20)</f>
        <v>757.42940237784444</v>
      </c>
      <c r="D6" s="1"/>
      <c r="E6" s="6" t="e">
        <f>(F5+(Crescimento!#REF!-(F5*0.64))/0.8)/1000</f>
        <v>#REF!</v>
      </c>
      <c r="F6" s="7" t="e">
        <f>-53.07 + (304.89 * (E6)) + (90.79 *Crescimento!#REF!) - (3.13 * Crescimento!#REF!*Crescimento!#REF!)</f>
        <v>#REF!</v>
      </c>
      <c r="H6" s="6" t="e">
        <f>(I5+(Crescimento!#REF!-(I5*0.64))/0.8)/1000</f>
        <v>#REF!</v>
      </c>
      <c r="I6" s="7" t="e">
        <f>-53.07 + (304.89 * (H6)) + (90.79 *Crescimento!#REF!) - (3.13 * Crescimento!#REF!*Crescimento!#REF!)</f>
        <v>#REF!</v>
      </c>
      <c r="K6" s="6" t="e">
        <f>(L5+(Crescimento!#REF!-(L5*0.64))/0.8)/1000</f>
        <v>#REF!</v>
      </c>
      <c r="L6" s="7" t="e">
        <f>-53.07 + (304.89 * (K6)) + (90.79 *Crescimento!#REF!) - (3.13 * Crescimento!#REF!*Crescimento!#REF!)</f>
        <v>#REF!</v>
      </c>
      <c r="N6" s="6" t="e">
        <f>(O5+(Crescimento!#REF!-(O5*0.64))/0.8)/1000</f>
        <v>#REF!</v>
      </c>
      <c r="O6" s="7" t="e">
        <f>-53.07 + (304.89 * (N6)) + (90.79 *Crescimento!#REF!) - (3.13 * Crescimento!#REF!*Crescimento!#REF!)</f>
        <v>#REF!</v>
      </c>
      <c r="P6" s="1"/>
      <c r="Q6" s="6" t="e">
        <f>(R5+(Crescimento!#REF!-(R5*0.64))/0.8)/1000</f>
        <v>#REF!</v>
      </c>
      <c r="R6" s="7" t="e">
        <f>-53.07 + (304.89 * (Q6)) + (90.79 *Crescimento!#REF!) - (3.13 * Crescimento!#REF!*Crescimento!#REF!)</f>
        <v>#REF!</v>
      </c>
      <c r="T6" s="6" t="e">
        <f>(U5+(Crescimento!#REF!-(U5*0.64))/0.8)/1000</f>
        <v>#REF!</v>
      </c>
      <c r="U6" s="7" t="e">
        <f>-53.07 + (304.89 * (T6)) + (90.79 *Crescimento!#REF!) - (3.13 * Crescimento!#REF!*Crescimento!#REF!)</f>
        <v>#REF!</v>
      </c>
      <c r="W6" s="6" t="e">
        <f>(X5+(Crescimento!#REF!-(X5*0.64))/0.8)/1000</f>
        <v>#REF!</v>
      </c>
      <c r="X6" s="7" t="e">
        <f>-53.07 + (304.89 * (W6)) + (90.79 *Crescimento!#REF!) - (3.13 * Crescimento!#REF!*Crescimento!#REF!)</f>
        <v>#REF!</v>
      </c>
      <c r="Z6" s="6" t="e">
        <f>(AA5+(Crescimento!#REF!-(AA5*0.64))/0.8)/1000</f>
        <v>#REF!</v>
      </c>
      <c r="AA6" s="7" t="e">
        <f>-53.07 + (304.89 * (Z6)) + (90.79 *Crescimento!#REF!) - (3.13 * Crescimento!#REF!*Crescimento!#REF!)</f>
        <v>#REF!</v>
      </c>
      <c r="AB6" s="1"/>
      <c r="AC6" s="6" t="e">
        <f>(AD5+(Crescimento!#REF!-(AD5*0.64))/0.8)/1000</f>
        <v>#REF!</v>
      </c>
      <c r="AD6" s="7" t="e">
        <f>-53.07 + (304.89 * (AC6)) + (90.79 *Crescimento!#REF!) - (3.13 * Crescimento!#REF!*Crescimento!#REF!)</f>
        <v>#REF!</v>
      </c>
      <c r="AF6" s="6" t="e">
        <f>(AG5+(Crescimento!#REF!-(AG5*0.64))/0.8)/1000</f>
        <v>#REF!</v>
      </c>
      <c r="AG6" s="7" t="e">
        <f>-53.07 + (304.89 * (AF6)) + (90.79 *Crescimento!#REF!) - (3.13 * Crescimento!#REF!*Crescimento!#REF!)</f>
        <v>#REF!</v>
      </c>
      <c r="AI6" s="6" t="e">
        <f>(AJ5+(Crescimento!#REF!-(AJ5*0.64))/0.8)/1000</f>
        <v>#REF!</v>
      </c>
      <c r="AJ6" s="7" t="e">
        <f>-53.07 + (304.89 * (AI6)) + (90.79 *Crescimento!#REF!) - (3.13 * Crescimento!#REF!*Crescimento!#REF!)</f>
        <v>#REF!</v>
      </c>
      <c r="AL6" s="6" t="e">
        <f>(AM5+(Crescimento!#REF!-(AM5*0.64))/0.8)/1000</f>
        <v>#REF!</v>
      </c>
      <c r="AM6" s="7" t="e">
        <f>-53.07 + (304.89 * (AL6)) + (90.79 *Crescimento!#REF!) - (3.13 * Crescimento!#REF!*Crescimento!#REF!)</f>
        <v>#REF!</v>
      </c>
      <c r="AN6" s="1"/>
      <c r="AO6" s="6" t="e">
        <f>(AP5+(Crescimento!#REF!-(AP5*0.64))/0.8)/1000</f>
        <v>#REF!</v>
      </c>
      <c r="AP6" s="7" t="e">
        <f>-53.07 + (304.89 * (AO6)) + (90.79 *Crescimento!#REF!) - (3.13 * Crescimento!#REF!*Crescimento!#REF!)</f>
        <v>#REF!</v>
      </c>
      <c r="AR6" s="6" t="e">
        <f>(AS5+(Crescimento!#REF!-(AS5*0.64))/0.8)/1000</f>
        <v>#REF!</v>
      </c>
      <c r="AS6" s="7" t="e">
        <f>-53.07 + (304.89 * (AR6)) + (90.79 *Crescimento!#REF!) - (3.13 * Crescimento!#REF!*Crescimento!#REF!)</f>
        <v>#REF!</v>
      </c>
      <c r="AU6" s="6" t="e">
        <f>(AV5+(Crescimento!#REF!-(AV5*0.64))/0.8)/1000</f>
        <v>#REF!</v>
      </c>
      <c r="AV6" s="7" t="e">
        <f>-53.07 + (304.89 * (AU6)) + (90.79 *Crescimento!#REF!) - (3.13 * Crescimento!#REF!*Crescimento!#REF!)</f>
        <v>#REF!</v>
      </c>
      <c r="AX6" s="6" t="e">
        <f>(AY5+(Crescimento!#REF!-(AY5*0.64))/0.8)/1000</f>
        <v>#REF!</v>
      </c>
      <c r="AY6" s="7" t="e">
        <f>-53.07 + (304.89 * (AX6)) + (90.79 *Crescimento!#REF!) - (3.13 * Crescimento!#REF!*Crescimento!#REF!)</f>
        <v>#REF!</v>
      </c>
      <c r="AZ6" s="1"/>
      <c r="BA6" s="6" t="e">
        <f>(BB5+(Crescimento!#REF!-(BB5*0.64))/0.8)/1000</f>
        <v>#REF!</v>
      </c>
      <c r="BB6" s="7" t="e">
        <f>-53.07 + (304.89 * (BA6)) + (90.79 *Crescimento!#REF!) - (3.13 * Crescimento!#REF!*Crescimento!#REF!)</f>
        <v>#REF!</v>
      </c>
      <c r="BD6" s="6" t="e">
        <f>(BE5+(Crescimento!#REF!-(BE5*0.64))/0.8)/1000</f>
        <v>#REF!</v>
      </c>
      <c r="BE6" s="7" t="e">
        <f>-53.07 + (304.89 * (BD6)) + (90.79 *Crescimento!#REF!) - (3.13 * Crescimento!#REF!*Crescimento!#REF!)</f>
        <v>#REF!</v>
      </c>
      <c r="BG6" s="6" t="e">
        <f>(BH5+(Crescimento!#REF!-(BH5*0.64))/0.8)/1000</f>
        <v>#REF!</v>
      </c>
      <c r="BH6" s="7" t="e">
        <f>-53.07 + (304.89 * (BG6)) + (90.79 *Crescimento!#REF!) - (3.13 * Crescimento!#REF!*Crescimento!#REF!)</f>
        <v>#REF!</v>
      </c>
      <c r="BJ6" s="6" t="e">
        <f>(BK5+(Crescimento!#REF!-(BK5*0.64))/0.8)/1000</f>
        <v>#REF!</v>
      </c>
      <c r="BK6" s="7" t="e">
        <f>-53.07 + (304.89 * (BJ6)) + (90.79 *Crescimento!#REF!) - (3.13 * Crescimento!#REF!*Crescimento!#REF!)</f>
        <v>#REF!</v>
      </c>
      <c r="BL6" s="1"/>
      <c r="BM6" s="6" t="e">
        <f>(BN5+(Crescimento!#REF!-(BN5*0.64))/0.8)/1000</f>
        <v>#REF!</v>
      </c>
      <c r="BN6" s="7" t="e">
        <f>-53.07 + (304.89 * (BM6)) + (90.79 *Crescimento!#REF!) - (3.13 * Crescimento!#REF!*Crescimento!#REF!)</f>
        <v>#REF!</v>
      </c>
      <c r="BP6" s="6" t="e">
        <f>(BQ5+(Crescimento!#REF!-(BQ5*0.64))/0.8)/1000</f>
        <v>#REF!</v>
      </c>
      <c r="BQ6" s="7" t="e">
        <f>-53.07 + (304.89 * (BP6)) + (90.79 *Crescimento!#REF!) - (3.13 * Crescimento!#REF!*Crescimento!#REF!)</f>
        <v>#REF!</v>
      </c>
      <c r="BS6" s="6" t="e">
        <f>(BT5+(Crescimento!#REF!-(BT5*0.64))/0.8)/1000</f>
        <v>#REF!</v>
      </c>
      <c r="BT6" s="7" t="e">
        <f>-53.07 + (304.89 * (BS6)) + (90.79 *Crescimento!#REF!) - (3.13 * Crescimento!#REF!*Crescimento!#REF!)</f>
        <v>#REF!</v>
      </c>
      <c r="BV6" s="6" t="e">
        <f>(BW5+(Crescimento!#REF!-(BW5*0.64))/0.8)/1000</f>
        <v>#REF!</v>
      </c>
      <c r="BW6" s="7" t="e">
        <f>-53.07 + (304.89 * (BV6)) + (90.79 *Crescimento!#REF!) - (3.13 * Crescimento!#REF!*Crescimento!#REF!)</f>
        <v>#REF!</v>
      </c>
      <c r="BX6" s="1"/>
      <c r="BY6" s="6" t="e">
        <f>(BZ5+(Crescimento!#REF!-(BZ5*0.64))/0.8)/1000</f>
        <v>#REF!</v>
      </c>
      <c r="BZ6" s="7" t="e">
        <f>-53.07 + (304.89 * (BY6)) + (90.79 *Crescimento!#REF!) - (3.13 * Crescimento!#REF!*Crescimento!#REF!)</f>
        <v>#REF!</v>
      </c>
      <c r="CB6" s="6" t="e">
        <f>(CC5+(Crescimento!#REF!-(CC5*0.64))/0.8)/1000</f>
        <v>#REF!</v>
      </c>
      <c r="CC6" s="7" t="e">
        <f>-53.07 + (304.89 * (CB6)) + (90.79 *Crescimento!#REF!) - (3.13 * Crescimento!#REF!*Crescimento!#REF!)</f>
        <v>#REF!</v>
      </c>
      <c r="CE6" s="6" t="e">
        <f>(CF5+(Crescimento!#REF!-(CF5*0.64))/0.8)/1000</f>
        <v>#REF!</v>
      </c>
      <c r="CF6" s="7" t="e">
        <f>-53.07 + (304.89 * (CE6)) + (90.79 *Crescimento!#REF!) - (3.13 * Crescimento!#REF!*Crescimento!#REF!)</f>
        <v>#REF!</v>
      </c>
      <c r="CH6" s="6" t="e">
        <f>(CI5+(Crescimento!#REF!-(CI5*0.64))/0.8)/1000</f>
        <v>#REF!</v>
      </c>
      <c r="CI6" s="7" t="e">
        <f>-53.07 + (304.89 * (CH6)) + (90.79 *Crescimento!#REF!) - (3.13 * Crescimento!#REF!*Crescimento!#REF!)</f>
        <v>#REF!</v>
      </c>
      <c r="CJ6" s="1"/>
      <c r="CK6" s="6" t="e">
        <f>(CL5+(Crescimento!#REF!-(CL5*0.64))/0.8)/1000</f>
        <v>#REF!</v>
      </c>
      <c r="CL6" s="7" t="e">
        <f>-53.07 + (304.89 * (CK6)) + (90.79 *Crescimento!#REF!) - (3.13 * Crescimento!#REF!*Crescimento!#REF!)</f>
        <v>#REF!</v>
      </c>
      <c r="CN6" s="6" t="e">
        <f>(CO5+(Crescimento!#REF!-(CO5*0.64))/0.8)/1000</f>
        <v>#REF!</v>
      </c>
      <c r="CO6" s="7" t="e">
        <f>-53.07 + (304.89 * (CN6)) + (90.79 *Crescimento!#REF!) - (3.13 * Crescimento!#REF!*Crescimento!#REF!)</f>
        <v>#REF!</v>
      </c>
      <c r="CQ6" s="6" t="e">
        <f>(CR5+(Crescimento!#REF!-(CR5*0.64))/0.8)/1000</f>
        <v>#REF!</v>
      </c>
      <c r="CR6" s="7" t="e">
        <f>-53.07 + (304.89 * (CQ6)) + (90.79 *Crescimento!#REF!) - (3.13 * Crescimento!#REF!*Crescimento!#REF!)</f>
        <v>#REF!</v>
      </c>
    </row>
    <row r="7" spans="1:97" ht="15" customHeight="1" x14ac:dyDescent="0.25">
      <c r="B7" s="6">
        <f>(C6+(Crescimento!$Q$27-(C6*0.64))/0.8)/1000</f>
        <v>1.1187995134751108</v>
      </c>
      <c r="C7" s="8">
        <f>-53.07 + (304.89 * (B7)) + (90.79 *Crescimento!$Q$20) - (3.13 * Crescimento!$Q$20*Crescimento!$Q$20)</f>
        <v>757.42874659340418</v>
      </c>
      <c r="D7" s="1"/>
      <c r="E7" s="6" t="e">
        <f>(F6+(Crescimento!#REF!-(F6*0.64))/0.8)/1000</f>
        <v>#REF!</v>
      </c>
      <c r="F7" s="7" t="e">
        <f>-53.07 + (304.89 * (E7)) + (90.79 *Crescimento!#REF!) - (3.13 * Crescimento!#REF!*Crescimento!#REF!)</f>
        <v>#REF!</v>
      </c>
      <c r="H7" s="6" t="e">
        <f>(I6+(Crescimento!#REF!-(I6*0.64))/0.8)/1000</f>
        <v>#REF!</v>
      </c>
      <c r="I7" s="7" t="e">
        <f>-53.07 + (304.89 * (H7)) + (90.79 *Crescimento!#REF!) - (3.13 * Crescimento!#REF!*Crescimento!#REF!)</f>
        <v>#REF!</v>
      </c>
      <c r="K7" s="6" t="e">
        <f>(L6+(Crescimento!#REF!-(L6*0.64))/0.8)/1000</f>
        <v>#REF!</v>
      </c>
      <c r="L7" s="7" t="e">
        <f>-53.07 + (304.89 * (K7)) + (90.79 *Crescimento!#REF!) - (3.13 * Crescimento!#REF!*Crescimento!#REF!)</f>
        <v>#REF!</v>
      </c>
      <c r="N7" s="6" t="e">
        <f>(O6+(Crescimento!#REF!-(O6*0.64))/0.8)/1000</f>
        <v>#REF!</v>
      </c>
      <c r="O7" s="7" t="e">
        <f>-53.07 + (304.89 * (N7)) + (90.79 *Crescimento!#REF!) - (3.13 * Crescimento!#REF!*Crescimento!#REF!)</f>
        <v>#REF!</v>
      </c>
      <c r="P7" s="1"/>
      <c r="Q7" s="6" t="e">
        <f>(R6+(Crescimento!#REF!-(R6*0.64))/0.8)/1000</f>
        <v>#REF!</v>
      </c>
      <c r="R7" s="7" t="e">
        <f>-53.07 + (304.89 * (Q7)) + (90.79 *Crescimento!#REF!) - (3.13 * Crescimento!#REF!*Crescimento!#REF!)</f>
        <v>#REF!</v>
      </c>
      <c r="T7" s="6" t="e">
        <f>(U6+(Crescimento!#REF!-(U6*0.64))/0.8)/1000</f>
        <v>#REF!</v>
      </c>
      <c r="U7" s="7" t="e">
        <f>-53.07 + (304.89 * (T7)) + (90.79 *Crescimento!#REF!) - (3.13 * Crescimento!#REF!*Crescimento!#REF!)</f>
        <v>#REF!</v>
      </c>
      <c r="W7" s="6" t="e">
        <f>(X6+(Crescimento!#REF!-(X6*0.64))/0.8)/1000</f>
        <v>#REF!</v>
      </c>
      <c r="X7" s="7" t="e">
        <f>-53.07 + (304.89 * (W7)) + (90.79 *Crescimento!#REF!) - (3.13 * Crescimento!#REF!*Crescimento!#REF!)</f>
        <v>#REF!</v>
      </c>
      <c r="Z7" s="6" t="e">
        <f>(AA6+(Crescimento!#REF!-(AA6*0.64))/0.8)/1000</f>
        <v>#REF!</v>
      </c>
      <c r="AA7" s="7" t="e">
        <f>-53.07 + (304.89 * (Z7)) + (90.79 *Crescimento!#REF!) - (3.13 * Crescimento!#REF!*Crescimento!#REF!)</f>
        <v>#REF!</v>
      </c>
      <c r="AB7" s="1"/>
      <c r="AC7" s="6" t="e">
        <f>(AD6+(Crescimento!#REF!-(AD6*0.64))/0.8)/1000</f>
        <v>#REF!</v>
      </c>
      <c r="AD7" s="7" t="e">
        <f>-53.07 + (304.89 * (AC7)) + (90.79 *Crescimento!#REF!) - (3.13 * Crescimento!#REF!*Crescimento!#REF!)</f>
        <v>#REF!</v>
      </c>
      <c r="AF7" s="6" t="e">
        <f>(AG6+(Crescimento!#REF!-(AG6*0.64))/0.8)/1000</f>
        <v>#REF!</v>
      </c>
      <c r="AG7" s="7" t="e">
        <f>-53.07 + (304.89 * (AF7)) + (90.79 *Crescimento!#REF!) - (3.13 * Crescimento!#REF!*Crescimento!#REF!)</f>
        <v>#REF!</v>
      </c>
      <c r="AI7" s="6" t="e">
        <f>(AJ6+(Crescimento!#REF!-(AJ6*0.64))/0.8)/1000</f>
        <v>#REF!</v>
      </c>
      <c r="AJ7" s="7" t="e">
        <f>-53.07 + (304.89 * (AI7)) + (90.79 *Crescimento!#REF!) - (3.13 * Crescimento!#REF!*Crescimento!#REF!)</f>
        <v>#REF!</v>
      </c>
      <c r="AL7" s="6" t="e">
        <f>(AM6+(Crescimento!#REF!-(AM6*0.64))/0.8)/1000</f>
        <v>#REF!</v>
      </c>
      <c r="AM7" s="7" t="e">
        <f>-53.07 + (304.89 * (AL7)) + (90.79 *Crescimento!#REF!) - (3.13 * Crescimento!#REF!*Crescimento!#REF!)</f>
        <v>#REF!</v>
      </c>
      <c r="AN7" s="1"/>
      <c r="AO7" s="6" t="e">
        <f>(AP6+(Crescimento!#REF!-(AP6*0.64))/0.8)/1000</f>
        <v>#REF!</v>
      </c>
      <c r="AP7" s="7" t="e">
        <f>-53.07 + (304.89 * (AO7)) + (90.79 *Crescimento!#REF!) - (3.13 * Crescimento!#REF!*Crescimento!#REF!)</f>
        <v>#REF!</v>
      </c>
      <c r="AR7" s="6" t="e">
        <f>(AS6+(Crescimento!#REF!-(AS6*0.64))/0.8)/1000</f>
        <v>#REF!</v>
      </c>
      <c r="AS7" s="7" t="e">
        <f>-53.07 + (304.89 * (AR7)) + (90.79 *Crescimento!#REF!) - (3.13 * Crescimento!#REF!*Crescimento!#REF!)</f>
        <v>#REF!</v>
      </c>
      <c r="AU7" s="6" t="e">
        <f>(AV6+(Crescimento!#REF!-(AV6*0.64))/0.8)/1000</f>
        <v>#REF!</v>
      </c>
      <c r="AV7" s="7" t="e">
        <f>-53.07 + (304.89 * (AU7)) + (90.79 *Crescimento!#REF!) - (3.13 * Crescimento!#REF!*Crescimento!#REF!)</f>
        <v>#REF!</v>
      </c>
      <c r="AX7" s="6" t="e">
        <f>(AY6+(Crescimento!#REF!-(AY6*0.64))/0.8)/1000</f>
        <v>#REF!</v>
      </c>
      <c r="AY7" s="7" t="e">
        <f>-53.07 + (304.89 * (AX7)) + (90.79 *Crescimento!#REF!) - (3.13 * Crescimento!#REF!*Crescimento!#REF!)</f>
        <v>#REF!</v>
      </c>
      <c r="AZ7" s="1"/>
      <c r="BA7" s="6" t="e">
        <f>(BB6+(Crescimento!#REF!-(BB6*0.64))/0.8)/1000</f>
        <v>#REF!</v>
      </c>
      <c r="BB7" s="7" t="e">
        <f>-53.07 + (304.89 * (BA7)) + (90.79 *Crescimento!#REF!) - (3.13 * Crescimento!#REF!*Crescimento!#REF!)</f>
        <v>#REF!</v>
      </c>
      <c r="BD7" s="6" t="e">
        <f>(BE6+(Crescimento!#REF!-(BE6*0.64))/0.8)/1000</f>
        <v>#REF!</v>
      </c>
      <c r="BE7" s="7" t="e">
        <f>-53.07 + (304.89 * (BD7)) + (90.79 *Crescimento!#REF!) - (3.13 * Crescimento!#REF!*Crescimento!#REF!)</f>
        <v>#REF!</v>
      </c>
      <c r="BG7" s="6" t="e">
        <f>(BH6+(Crescimento!#REF!-(BH6*0.64))/0.8)/1000</f>
        <v>#REF!</v>
      </c>
      <c r="BH7" s="7" t="e">
        <f>-53.07 + (304.89 * (BG7)) + (90.79 *Crescimento!#REF!) - (3.13 * Crescimento!#REF!*Crescimento!#REF!)</f>
        <v>#REF!</v>
      </c>
      <c r="BJ7" s="6" t="e">
        <f>(BK6+(Crescimento!#REF!-(BK6*0.64))/0.8)/1000</f>
        <v>#REF!</v>
      </c>
      <c r="BK7" s="7" t="e">
        <f>-53.07 + (304.89 * (BJ7)) + (90.79 *Crescimento!#REF!) - (3.13 * Crescimento!#REF!*Crescimento!#REF!)</f>
        <v>#REF!</v>
      </c>
      <c r="BL7" s="1"/>
      <c r="BM7" s="6" t="e">
        <f>(BN6+(Crescimento!#REF!-(BN6*0.64))/0.8)/1000</f>
        <v>#REF!</v>
      </c>
      <c r="BN7" s="7" t="e">
        <f>-53.07 + (304.89 * (BM7)) + (90.79 *Crescimento!#REF!) - (3.13 * Crescimento!#REF!*Crescimento!#REF!)</f>
        <v>#REF!</v>
      </c>
      <c r="BP7" s="6" t="e">
        <f>(BQ6+(Crescimento!#REF!-(BQ6*0.64))/0.8)/1000</f>
        <v>#REF!</v>
      </c>
      <c r="BQ7" s="7" t="e">
        <f>-53.07 + (304.89 * (BP7)) + (90.79 *Crescimento!#REF!) - (3.13 * Crescimento!#REF!*Crescimento!#REF!)</f>
        <v>#REF!</v>
      </c>
      <c r="BS7" s="6" t="e">
        <f>(BT6+(Crescimento!#REF!-(BT6*0.64))/0.8)/1000</f>
        <v>#REF!</v>
      </c>
      <c r="BT7" s="7" t="e">
        <f>-53.07 + (304.89 * (BS7)) + (90.79 *Crescimento!#REF!) - (3.13 * Crescimento!#REF!*Crescimento!#REF!)</f>
        <v>#REF!</v>
      </c>
      <c r="BV7" s="6" t="e">
        <f>(BW6+(Crescimento!#REF!-(BW6*0.64))/0.8)/1000</f>
        <v>#REF!</v>
      </c>
      <c r="BW7" s="7" t="e">
        <f>-53.07 + (304.89 * (BV7)) + (90.79 *Crescimento!#REF!) - (3.13 * Crescimento!#REF!*Crescimento!#REF!)</f>
        <v>#REF!</v>
      </c>
      <c r="BX7" s="1"/>
      <c r="BY7" s="6" t="e">
        <f>(BZ6+(Crescimento!#REF!-(BZ6*0.64))/0.8)/1000</f>
        <v>#REF!</v>
      </c>
      <c r="BZ7" s="7" t="e">
        <f>-53.07 + (304.89 * (BY7)) + (90.79 *Crescimento!#REF!) - (3.13 * Crescimento!#REF!*Crescimento!#REF!)</f>
        <v>#REF!</v>
      </c>
      <c r="CB7" s="6" t="e">
        <f>(CC6+(Crescimento!#REF!-(CC6*0.64))/0.8)/1000</f>
        <v>#REF!</v>
      </c>
      <c r="CC7" s="7" t="e">
        <f>-53.07 + (304.89 * (CB7)) + (90.79 *Crescimento!#REF!) - (3.13 * Crescimento!#REF!*Crescimento!#REF!)</f>
        <v>#REF!</v>
      </c>
      <c r="CE7" s="6" t="e">
        <f>(CF6+(Crescimento!#REF!-(CF6*0.64))/0.8)/1000</f>
        <v>#REF!</v>
      </c>
      <c r="CF7" s="7" t="e">
        <f>-53.07 + (304.89 * (CE7)) + (90.79 *Crescimento!#REF!) - (3.13 * Crescimento!#REF!*Crescimento!#REF!)</f>
        <v>#REF!</v>
      </c>
      <c r="CH7" s="6" t="e">
        <f>(CI6+(Crescimento!#REF!-(CI6*0.64))/0.8)/1000</f>
        <v>#REF!</v>
      </c>
      <c r="CI7" s="7" t="e">
        <f>-53.07 + (304.89 * (CH7)) + (90.79 *Crescimento!#REF!) - (3.13 * Crescimento!#REF!*Crescimento!#REF!)</f>
        <v>#REF!</v>
      </c>
      <c r="CJ7" s="1"/>
      <c r="CK7" s="6" t="e">
        <f>(CL6+(Crescimento!#REF!-(CL6*0.64))/0.8)/1000</f>
        <v>#REF!</v>
      </c>
      <c r="CL7" s="7" t="e">
        <f>-53.07 + (304.89 * (CK7)) + (90.79 *Crescimento!#REF!) - (3.13 * Crescimento!#REF!*Crescimento!#REF!)</f>
        <v>#REF!</v>
      </c>
      <c r="CN7" s="6" t="e">
        <f>(CO6+(Crescimento!#REF!-(CO6*0.64))/0.8)/1000</f>
        <v>#REF!</v>
      </c>
      <c r="CO7" s="7" t="e">
        <f>-53.07 + (304.89 * (CN7)) + (90.79 *Crescimento!#REF!) - (3.13 * Crescimento!#REF!*Crescimento!#REF!)</f>
        <v>#REF!</v>
      </c>
      <c r="CQ7" s="6" t="e">
        <f>(CR6+(Crescimento!#REF!-(CR6*0.64))/0.8)/1000</f>
        <v>#REF!</v>
      </c>
      <c r="CR7" s="7" t="e">
        <f>-53.07 + (304.89 * (CQ7)) + (90.79 *Crescimento!#REF!) - (3.13 * Crescimento!#REF!*Crescimento!#REF!)</f>
        <v>#REF!</v>
      </c>
    </row>
    <row r="8" spans="1:97" ht="15" customHeight="1" x14ac:dyDescent="0.25">
      <c r="B8" s="6">
        <f>(C7+(Crescimento!$Q$27-(C7*0.64))/0.8)/1000</f>
        <v>1.1187993823182227</v>
      </c>
      <c r="C8" s="8">
        <f>-53.07 + (304.89 * (B8)) + (90.79 *Crescimento!$Q$20) - (3.13 * Crescimento!$Q$20*Crescimento!$Q$20)</f>
        <v>757.42870660498068</v>
      </c>
      <c r="D8" s="1"/>
      <c r="E8" s="6" t="e">
        <f>(F7+(Crescimento!#REF!-(F7*0.64))/0.8)/1000</f>
        <v>#REF!</v>
      </c>
      <c r="F8" s="7" t="e">
        <f>-53.07 + (304.89 * (E8)) + (90.79 *Crescimento!#REF!) - (3.13 * Crescimento!#REF!*Crescimento!#REF!)</f>
        <v>#REF!</v>
      </c>
      <c r="H8" s="6" t="e">
        <f>(I7+(Crescimento!#REF!-(I7*0.64))/0.8)/1000</f>
        <v>#REF!</v>
      </c>
      <c r="I8" s="7" t="e">
        <f>-53.07 + (304.89 * (H8)) + (90.79 *Crescimento!#REF!) - (3.13 * Crescimento!#REF!*Crescimento!#REF!)</f>
        <v>#REF!</v>
      </c>
      <c r="K8" s="6" t="e">
        <f>(L7+(Crescimento!#REF!-(L7*0.64))/0.8)/1000</f>
        <v>#REF!</v>
      </c>
      <c r="L8" s="7" t="e">
        <f>-53.07 + (304.89 * (K8)) + (90.79 *Crescimento!#REF!) - (3.13 * Crescimento!#REF!*Crescimento!#REF!)</f>
        <v>#REF!</v>
      </c>
      <c r="N8" s="6" t="e">
        <f>(O7+(Crescimento!#REF!-(O7*0.64))/0.8)/1000</f>
        <v>#REF!</v>
      </c>
      <c r="O8" s="7" t="e">
        <f>-53.07 + (304.89 * (N8)) + (90.79 *Crescimento!#REF!) - (3.13 * Crescimento!#REF!*Crescimento!#REF!)</f>
        <v>#REF!</v>
      </c>
      <c r="P8" s="1"/>
      <c r="Q8" s="6" t="e">
        <f>(R7+(Crescimento!#REF!-(R7*0.64))/0.8)/1000</f>
        <v>#REF!</v>
      </c>
      <c r="R8" s="7" t="e">
        <f>-53.07 + (304.89 * (Q8)) + (90.79 *Crescimento!#REF!) - (3.13 * Crescimento!#REF!*Crescimento!#REF!)</f>
        <v>#REF!</v>
      </c>
      <c r="T8" s="6" t="e">
        <f>(U7+(Crescimento!#REF!-(U7*0.64))/0.8)/1000</f>
        <v>#REF!</v>
      </c>
      <c r="U8" s="7" t="e">
        <f>-53.07 + (304.89 * (T8)) + (90.79 *Crescimento!#REF!) - (3.13 * Crescimento!#REF!*Crescimento!#REF!)</f>
        <v>#REF!</v>
      </c>
      <c r="W8" s="6" t="e">
        <f>(X7+(Crescimento!#REF!-(X7*0.64))/0.8)/1000</f>
        <v>#REF!</v>
      </c>
      <c r="X8" s="7" t="e">
        <f>-53.07 + (304.89 * (W8)) + (90.79 *Crescimento!#REF!) - (3.13 * Crescimento!#REF!*Crescimento!#REF!)</f>
        <v>#REF!</v>
      </c>
      <c r="Z8" s="6" t="e">
        <f>(AA7+(Crescimento!#REF!-(AA7*0.64))/0.8)/1000</f>
        <v>#REF!</v>
      </c>
      <c r="AA8" s="7" t="e">
        <f>-53.07 + (304.89 * (Z8)) + (90.79 *Crescimento!#REF!) - (3.13 * Crescimento!#REF!*Crescimento!#REF!)</f>
        <v>#REF!</v>
      </c>
      <c r="AB8" s="1"/>
      <c r="AC8" s="6" t="e">
        <f>(AD7+(Crescimento!#REF!-(AD7*0.64))/0.8)/1000</f>
        <v>#REF!</v>
      </c>
      <c r="AD8" s="7" t="e">
        <f>-53.07 + (304.89 * (AC8)) + (90.79 *Crescimento!#REF!) - (3.13 * Crescimento!#REF!*Crescimento!#REF!)</f>
        <v>#REF!</v>
      </c>
      <c r="AF8" s="6" t="e">
        <f>(AG7+(Crescimento!#REF!-(AG7*0.64))/0.8)/1000</f>
        <v>#REF!</v>
      </c>
      <c r="AG8" s="7" t="e">
        <f>-53.07 + (304.89 * (AF8)) + (90.79 *Crescimento!#REF!) - (3.13 * Crescimento!#REF!*Crescimento!#REF!)</f>
        <v>#REF!</v>
      </c>
      <c r="AI8" s="6" t="e">
        <f>(AJ7+(Crescimento!#REF!-(AJ7*0.64))/0.8)/1000</f>
        <v>#REF!</v>
      </c>
      <c r="AJ8" s="7" t="e">
        <f>-53.07 + (304.89 * (AI8)) + (90.79 *Crescimento!#REF!) - (3.13 * Crescimento!#REF!*Crescimento!#REF!)</f>
        <v>#REF!</v>
      </c>
      <c r="AL8" s="6" t="e">
        <f>(AM7+(Crescimento!#REF!-(AM7*0.64))/0.8)/1000</f>
        <v>#REF!</v>
      </c>
      <c r="AM8" s="7" t="e">
        <f>-53.07 + (304.89 * (AL8)) + (90.79 *Crescimento!#REF!) - (3.13 * Crescimento!#REF!*Crescimento!#REF!)</f>
        <v>#REF!</v>
      </c>
      <c r="AN8" s="1"/>
      <c r="AO8" s="6" t="e">
        <f>(AP7+(Crescimento!#REF!-(AP7*0.64))/0.8)/1000</f>
        <v>#REF!</v>
      </c>
      <c r="AP8" s="7" t="e">
        <f>-53.07 + (304.89 * (AO8)) + (90.79 *Crescimento!#REF!) - (3.13 * Crescimento!#REF!*Crescimento!#REF!)</f>
        <v>#REF!</v>
      </c>
      <c r="AR8" s="6" t="e">
        <f>(AS7+(Crescimento!#REF!-(AS7*0.64))/0.8)/1000</f>
        <v>#REF!</v>
      </c>
      <c r="AS8" s="7" t="e">
        <f>-53.07 + (304.89 * (AR8)) + (90.79 *Crescimento!#REF!) - (3.13 * Crescimento!#REF!*Crescimento!#REF!)</f>
        <v>#REF!</v>
      </c>
      <c r="AU8" s="6" t="e">
        <f>(AV7+(Crescimento!#REF!-(AV7*0.64))/0.8)/1000</f>
        <v>#REF!</v>
      </c>
      <c r="AV8" s="7" t="e">
        <f>-53.07 + (304.89 * (AU8)) + (90.79 *Crescimento!#REF!) - (3.13 * Crescimento!#REF!*Crescimento!#REF!)</f>
        <v>#REF!</v>
      </c>
      <c r="AX8" s="6" t="e">
        <f>(AY7+(Crescimento!#REF!-(AY7*0.64))/0.8)/1000</f>
        <v>#REF!</v>
      </c>
      <c r="AY8" s="7" t="e">
        <f>-53.07 + (304.89 * (AX8)) + (90.79 *Crescimento!#REF!) - (3.13 * Crescimento!#REF!*Crescimento!#REF!)</f>
        <v>#REF!</v>
      </c>
      <c r="AZ8" s="1"/>
      <c r="BA8" s="6" t="e">
        <f>(BB7+(Crescimento!#REF!-(BB7*0.64))/0.8)/1000</f>
        <v>#REF!</v>
      </c>
      <c r="BB8" s="7" t="e">
        <f>-53.07 + (304.89 * (BA8)) + (90.79 *Crescimento!#REF!) - (3.13 * Crescimento!#REF!*Crescimento!#REF!)</f>
        <v>#REF!</v>
      </c>
      <c r="BD8" s="6" t="e">
        <f>(BE7+(Crescimento!#REF!-(BE7*0.64))/0.8)/1000</f>
        <v>#REF!</v>
      </c>
      <c r="BE8" s="7" t="e">
        <f>-53.07 + (304.89 * (BD8)) + (90.79 *Crescimento!#REF!) - (3.13 * Crescimento!#REF!*Crescimento!#REF!)</f>
        <v>#REF!</v>
      </c>
      <c r="BG8" s="6" t="e">
        <f>(BH7+(Crescimento!#REF!-(BH7*0.64))/0.8)/1000</f>
        <v>#REF!</v>
      </c>
      <c r="BH8" s="7" t="e">
        <f>-53.07 + (304.89 * (BG8)) + (90.79 *Crescimento!#REF!) - (3.13 * Crescimento!#REF!*Crescimento!#REF!)</f>
        <v>#REF!</v>
      </c>
      <c r="BJ8" s="6" t="e">
        <f>(BK7+(Crescimento!#REF!-(BK7*0.64))/0.8)/1000</f>
        <v>#REF!</v>
      </c>
      <c r="BK8" s="7" t="e">
        <f>-53.07 + (304.89 * (BJ8)) + (90.79 *Crescimento!#REF!) - (3.13 * Crescimento!#REF!*Crescimento!#REF!)</f>
        <v>#REF!</v>
      </c>
      <c r="BL8" s="1"/>
      <c r="BM8" s="6" t="e">
        <f>(BN7+(Crescimento!#REF!-(BN7*0.64))/0.8)/1000</f>
        <v>#REF!</v>
      </c>
      <c r="BN8" s="7" t="e">
        <f>-53.07 + (304.89 * (BM8)) + (90.79 *Crescimento!#REF!) - (3.13 * Crescimento!#REF!*Crescimento!#REF!)</f>
        <v>#REF!</v>
      </c>
      <c r="BP8" s="6" t="e">
        <f>(BQ7+(Crescimento!#REF!-(BQ7*0.64))/0.8)/1000</f>
        <v>#REF!</v>
      </c>
      <c r="BQ8" s="7" t="e">
        <f>-53.07 + (304.89 * (BP8)) + (90.79 *Crescimento!#REF!) - (3.13 * Crescimento!#REF!*Crescimento!#REF!)</f>
        <v>#REF!</v>
      </c>
      <c r="BS8" s="6" t="e">
        <f>(BT7+(Crescimento!#REF!-(BT7*0.64))/0.8)/1000</f>
        <v>#REF!</v>
      </c>
      <c r="BT8" s="7" t="e">
        <f>-53.07 + (304.89 * (BS8)) + (90.79 *Crescimento!#REF!) - (3.13 * Crescimento!#REF!*Crescimento!#REF!)</f>
        <v>#REF!</v>
      </c>
      <c r="BV8" s="6" t="e">
        <f>(BW7+(Crescimento!#REF!-(BW7*0.64))/0.8)/1000</f>
        <v>#REF!</v>
      </c>
      <c r="BW8" s="7" t="e">
        <f>-53.07 + (304.89 * (BV8)) + (90.79 *Crescimento!#REF!) - (3.13 * Crescimento!#REF!*Crescimento!#REF!)</f>
        <v>#REF!</v>
      </c>
      <c r="BX8" s="1"/>
      <c r="BY8" s="6" t="e">
        <f>(BZ7+(Crescimento!#REF!-(BZ7*0.64))/0.8)/1000</f>
        <v>#REF!</v>
      </c>
      <c r="BZ8" s="7" t="e">
        <f>-53.07 + (304.89 * (BY8)) + (90.79 *Crescimento!#REF!) - (3.13 * Crescimento!#REF!*Crescimento!#REF!)</f>
        <v>#REF!</v>
      </c>
      <c r="CB8" s="6" t="e">
        <f>(CC7+(Crescimento!#REF!-(CC7*0.64))/0.8)/1000</f>
        <v>#REF!</v>
      </c>
      <c r="CC8" s="7" t="e">
        <f>-53.07 + (304.89 * (CB8)) + (90.79 *Crescimento!#REF!) - (3.13 * Crescimento!#REF!*Crescimento!#REF!)</f>
        <v>#REF!</v>
      </c>
      <c r="CE8" s="6" t="e">
        <f>(CF7+(Crescimento!#REF!-(CF7*0.64))/0.8)/1000</f>
        <v>#REF!</v>
      </c>
      <c r="CF8" s="7" t="e">
        <f>-53.07 + (304.89 * (CE8)) + (90.79 *Crescimento!#REF!) - (3.13 * Crescimento!#REF!*Crescimento!#REF!)</f>
        <v>#REF!</v>
      </c>
      <c r="CH8" s="6" t="e">
        <f>(CI7+(Crescimento!#REF!-(CI7*0.64))/0.8)/1000</f>
        <v>#REF!</v>
      </c>
      <c r="CI8" s="7" t="e">
        <f>-53.07 + (304.89 * (CH8)) + (90.79 *Crescimento!#REF!) - (3.13 * Crescimento!#REF!*Crescimento!#REF!)</f>
        <v>#REF!</v>
      </c>
      <c r="CJ8" s="1"/>
      <c r="CK8" s="6" t="e">
        <f>(CL7+(Crescimento!#REF!-(CL7*0.64))/0.8)/1000</f>
        <v>#REF!</v>
      </c>
      <c r="CL8" s="7" t="e">
        <f>-53.07 + (304.89 * (CK8)) + (90.79 *Crescimento!#REF!) - (3.13 * Crescimento!#REF!*Crescimento!#REF!)</f>
        <v>#REF!</v>
      </c>
      <c r="CN8" s="6" t="e">
        <f>(CO7+(Crescimento!#REF!-(CO7*0.64))/0.8)/1000</f>
        <v>#REF!</v>
      </c>
      <c r="CO8" s="7" t="e">
        <f>-53.07 + (304.89 * (CN8)) + (90.79 *Crescimento!#REF!) - (3.13 * Crescimento!#REF!*Crescimento!#REF!)</f>
        <v>#REF!</v>
      </c>
      <c r="CQ8" s="6" t="e">
        <f>(CR7+(Crescimento!#REF!-(CR7*0.64))/0.8)/1000</f>
        <v>#REF!</v>
      </c>
      <c r="CR8" s="7" t="e">
        <f>-53.07 + (304.89 * (CQ8)) + (90.79 *Crescimento!#REF!) - (3.13 * Crescimento!#REF!*Crescimento!#REF!)</f>
        <v>#REF!</v>
      </c>
    </row>
    <row r="9" spans="1:97" ht="15" customHeight="1" x14ac:dyDescent="0.25">
      <c r="B9" s="6">
        <f>(C8+(Crescimento!$Q$27-(C8*0.64))/0.8)/1000</f>
        <v>1.118799374320538</v>
      </c>
      <c r="C9" s="8">
        <f>-53.07 + (304.89 * (B9)) + (90.79 *Crescimento!$Q$20) - (3.13 * Crescimento!$Q$20*Crescimento!$Q$20)</f>
        <v>757.42870416656649</v>
      </c>
      <c r="D9" s="1"/>
      <c r="E9" s="6" t="e">
        <f>(F8+(Crescimento!#REF!-(F8*0.64))/0.8)/1000</f>
        <v>#REF!</v>
      </c>
      <c r="F9" s="7" t="e">
        <f>-53.07 + (304.89 * (E9)) + (90.79 *Crescimento!#REF!) - (3.13 * Crescimento!#REF!*Crescimento!#REF!)</f>
        <v>#REF!</v>
      </c>
      <c r="H9" s="6" t="e">
        <f>(I8+(Crescimento!#REF!-(I8*0.64))/0.8)/1000</f>
        <v>#REF!</v>
      </c>
      <c r="I9" s="7" t="e">
        <f>-53.07 + (304.89 * (H9)) + (90.79 *Crescimento!#REF!) - (3.13 * Crescimento!#REF!*Crescimento!#REF!)</f>
        <v>#REF!</v>
      </c>
      <c r="K9" s="6" t="e">
        <f>(L8+(Crescimento!#REF!-(L8*0.64))/0.8)/1000</f>
        <v>#REF!</v>
      </c>
      <c r="L9" s="7" t="e">
        <f>-53.07 + (304.89 * (K9)) + (90.79 *Crescimento!#REF!) - (3.13 * Crescimento!#REF!*Crescimento!#REF!)</f>
        <v>#REF!</v>
      </c>
      <c r="N9" s="6" t="e">
        <f>(O8+(Crescimento!#REF!-(O8*0.64))/0.8)/1000</f>
        <v>#REF!</v>
      </c>
      <c r="O9" s="7" t="e">
        <f>-53.07 + (304.89 * (N9)) + (90.79 *Crescimento!#REF!) - (3.13 * Crescimento!#REF!*Crescimento!#REF!)</f>
        <v>#REF!</v>
      </c>
      <c r="P9" s="1"/>
      <c r="Q9" s="6" t="e">
        <f>(R8+(Crescimento!#REF!-(R8*0.64))/0.8)/1000</f>
        <v>#REF!</v>
      </c>
      <c r="R9" s="7" t="e">
        <f>-53.07 + (304.89 * (Q9)) + (90.79 *Crescimento!#REF!) - (3.13 * Crescimento!#REF!*Crescimento!#REF!)</f>
        <v>#REF!</v>
      </c>
      <c r="T9" s="6" t="e">
        <f>(U8+(Crescimento!#REF!-(U8*0.64))/0.8)/1000</f>
        <v>#REF!</v>
      </c>
      <c r="U9" s="7" t="e">
        <f>-53.07 + (304.89 * (T9)) + (90.79 *Crescimento!#REF!) - (3.13 * Crescimento!#REF!*Crescimento!#REF!)</f>
        <v>#REF!</v>
      </c>
      <c r="W9" s="6" t="e">
        <f>(X8+(Crescimento!#REF!-(X8*0.64))/0.8)/1000</f>
        <v>#REF!</v>
      </c>
      <c r="X9" s="7" t="e">
        <f>-53.07 + (304.89 * (W9)) + (90.79 *Crescimento!#REF!) - (3.13 * Crescimento!#REF!*Crescimento!#REF!)</f>
        <v>#REF!</v>
      </c>
      <c r="Z9" s="6" t="e">
        <f>(AA8+(Crescimento!#REF!-(AA8*0.64))/0.8)/1000</f>
        <v>#REF!</v>
      </c>
      <c r="AA9" s="7" t="e">
        <f>-53.07 + (304.89 * (Z9)) + (90.79 *Crescimento!#REF!) - (3.13 * Crescimento!#REF!*Crescimento!#REF!)</f>
        <v>#REF!</v>
      </c>
      <c r="AB9" s="1"/>
      <c r="AC9" s="6" t="e">
        <f>(AD8+(Crescimento!#REF!-(AD8*0.64))/0.8)/1000</f>
        <v>#REF!</v>
      </c>
      <c r="AD9" s="7" t="e">
        <f>-53.07 + (304.89 * (AC9)) + (90.79 *Crescimento!#REF!) - (3.13 * Crescimento!#REF!*Crescimento!#REF!)</f>
        <v>#REF!</v>
      </c>
      <c r="AF9" s="6" t="e">
        <f>(AG8+(Crescimento!#REF!-(AG8*0.64))/0.8)/1000</f>
        <v>#REF!</v>
      </c>
      <c r="AG9" s="7" t="e">
        <f>-53.07 + (304.89 * (AF9)) + (90.79 *Crescimento!#REF!) - (3.13 * Crescimento!#REF!*Crescimento!#REF!)</f>
        <v>#REF!</v>
      </c>
      <c r="AI9" s="6" t="e">
        <f>(AJ8+(Crescimento!#REF!-(AJ8*0.64))/0.8)/1000</f>
        <v>#REF!</v>
      </c>
      <c r="AJ9" s="7" t="e">
        <f>-53.07 + (304.89 * (AI9)) + (90.79 *Crescimento!#REF!) - (3.13 * Crescimento!#REF!*Crescimento!#REF!)</f>
        <v>#REF!</v>
      </c>
      <c r="AL9" s="6" t="e">
        <f>(AM8+(Crescimento!#REF!-(AM8*0.64))/0.8)/1000</f>
        <v>#REF!</v>
      </c>
      <c r="AM9" s="7" t="e">
        <f>-53.07 + (304.89 * (AL9)) + (90.79 *Crescimento!#REF!) - (3.13 * Crescimento!#REF!*Crescimento!#REF!)</f>
        <v>#REF!</v>
      </c>
      <c r="AN9" s="1"/>
      <c r="AO9" s="6" t="e">
        <f>(AP8+(Crescimento!#REF!-(AP8*0.64))/0.8)/1000</f>
        <v>#REF!</v>
      </c>
      <c r="AP9" s="7" t="e">
        <f>-53.07 + (304.89 * (AO9)) + (90.79 *Crescimento!#REF!) - (3.13 * Crescimento!#REF!*Crescimento!#REF!)</f>
        <v>#REF!</v>
      </c>
      <c r="AR9" s="6" t="e">
        <f>(AS8+(Crescimento!#REF!-(AS8*0.64))/0.8)/1000</f>
        <v>#REF!</v>
      </c>
      <c r="AS9" s="7" t="e">
        <f>-53.07 + (304.89 * (AR9)) + (90.79 *Crescimento!#REF!) - (3.13 * Crescimento!#REF!*Crescimento!#REF!)</f>
        <v>#REF!</v>
      </c>
      <c r="AU9" s="6" t="e">
        <f>(AV8+(Crescimento!#REF!-(AV8*0.64))/0.8)/1000</f>
        <v>#REF!</v>
      </c>
      <c r="AV9" s="7" t="e">
        <f>-53.07 + (304.89 * (AU9)) + (90.79 *Crescimento!#REF!) - (3.13 * Crescimento!#REF!*Crescimento!#REF!)</f>
        <v>#REF!</v>
      </c>
      <c r="AX9" s="6" t="e">
        <f>(AY8+(Crescimento!#REF!-(AY8*0.64))/0.8)/1000</f>
        <v>#REF!</v>
      </c>
      <c r="AY9" s="7" t="e">
        <f>-53.07 + (304.89 * (AX9)) + (90.79 *Crescimento!#REF!) - (3.13 * Crescimento!#REF!*Crescimento!#REF!)</f>
        <v>#REF!</v>
      </c>
      <c r="AZ9" s="1"/>
      <c r="BA9" s="6" t="e">
        <f>(BB8+(Crescimento!#REF!-(BB8*0.64))/0.8)/1000</f>
        <v>#REF!</v>
      </c>
      <c r="BB9" s="7" t="e">
        <f>-53.07 + (304.89 * (BA9)) + (90.79 *Crescimento!#REF!) - (3.13 * Crescimento!#REF!*Crescimento!#REF!)</f>
        <v>#REF!</v>
      </c>
      <c r="BD9" s="6" t="e">
        <f>(BE8+(Crescimento!#REF!-(BE8*0.64))/0.8)/1000</f>
        <v>#REF!</v>
      </c>
      <c r="BE9" s="7" t="e">
        <f>-53.07 + (304.89 * (BD9)) + (90.79 *Crescimento!#REF!) - (3.13 * Crescimento!#REF!*Crescimento!#REF!)</f>
        <v>#REF!</v>
      </c>
      <c r="BG9" s="6" t="e">
        <f>(BH8+(Crescimento!#REF!-(BH8*0.64))/0.8)/1000</f>
        <v>#REF!</v>
      </c>
      <c r="BH9" s="7" t="e">
        <f>-53.07 + (304.89 * (BG9)) + (90.79 *Crescimento!#REF!) - (3.13 * Crescimento!#REF!*Crescimento!#REF!)</f>
        <v>#REF!</v>
      </c>
      <c r="BJ9" s="6" t="e">
        <f>(BK8+(Crescimento!#REF!-(BK8*0.64))/0.8)/1000</f>
        <v>#REF!</v>
      </c>
      <c r="BK9" s="7" t="e">
        <f>-53.07 + (304.89 * (BJ9)) + (90.79 *Crescimento!#REF!) - (3.13 * Crescimento!#REF!*Crescimento!#REF!)</f>
        <v>#REF!</v>
      </c>
      <c r="BL9" s="1"/>
      <c r="BM9" s="6" t="e">
        <f>(BN8+(Crescimento!#REF!-(BN8*0.64))/0.8)/1000</f>
        <v>#REF!</v>
      </c>
      <c r="BN9" s="7" t="e">
        <f>-53.07 + (304.89 * (BM9)) + (90.79 *Crescimento!#REF!) - (3.13 * Crescimento!#REF!*Crescimento!#REF!)</f>
        <v>#REF!</v>
      </c>
      <c r="BP9" s="6" t="e">
        <f>(BQ8+(Crescimento!#REF!-(BQ8*0.64))/0.8)/1000</f>
        <v>#REF!</v>
      </c>
      <c r="BQ9" s="7" t="e">
        <f>-53.07 + (304.89 * (BP9)) + (90.79 *Crescimento!#REF!) - (3.13 * Crescimento!#REF!*Crescimento!#REF!)</f>
        <v>#REF!</v>
      </c>
      <c r="BS9" s="6" t="e">
        <f>(BT8+(Crescimento!#REF!-(BT8*0.64))/0.8)/1000</f>
        <v>#REF!</v>
      </c>
      <c r="BT9" s="7" t="e">
        <f>-53.07 + (304.89 * (BS9)) + (90.79 *Crescimento!#REF!) - (3.13 * Crescimento!#REF!*Crescimento!#REF!)</f>
        <v>#REF!</v>
      </c>
      <c r="BV9" s="6" t="e">
        <f>(BW8+(Crescimento!#REF!-(BW8*0.64))/0.8)/1000</f>
        <v>#REF!</v>
      </c>
      <c r="BW9" s="7" t="e">
        <f>-53.07 + (304.89 * (BV9)) + (90.79 *Crescimento!#REF!) - (3.13 * Crescimento!#REF!*Crescimento!#REF!)</f>
        <v>#REF!</v>
      </c>
      <c r="BX9" s="1"/>
      <c r="BY9" s="6" t="e">
        <f>(BZ8+(Crescimento!#REF!-(BZ8*0.64))/0.8)/1000</f>
        <v>#REF!</v>
      </c>
      <c r="BZ9" s="7" t="e">
        <f>-53.07 + (304.89 * (BY9)) + (90.79 *Crescimento!#REF!) - (3.13 * Crescimento!#REF!*Crescimento!#REF!)</f>
        <v>#REF!</v>
      </c>
      <c r="CB9" s="6" t="e">
        <f>(CC8+(Crescimento!#REF!-(CC8*0.64))/0.8)/1000</f>
        <v>#REF!</v>
      </c>
      <c r="CC9" s="7" t="e">
        <f>-53.07 + (304.89 * (CB9)) + (90.79 *Crescimento!#REF!) - (3.13 * Crescimento!#REF!*Crescimento!#REF!)</f>
        <v>#REF!</v>
      </c>
      <c r="CE9" s="6" t="e">
        <f>(CF8+(Crescimento!#REF!-(CF8*0.64))/0.8)/1000</f>
        <v>#REF!</v>
      </c>
      <c r="CF9" s="7" t="e">
        <f>-53.07 + (304.89 * (CE9)) + (90.79 *Crescimento!#REF!) - (3.13 * Crescimento!#REF!*Crescimento!#REF!)</f>
        <v>#REF!</v>
      </c>
      <c r="CH9" s="6" t="e">
        <f>(CI8+(Crescimento!#REF!-(CI8*0.64))/0.8)/1000</f>
        <v>#REF!</v>
      </c>
      <c r="CI9" s="7" t="e">
        <f>-53.07 + (304.89 * (CH9)) + (90.79 *Crescimento!#REF!) - (3.13 * Crescimento!#REF!*Crescimento!#REF!)</f>
        <v>#REF!</v>
      </c>
      <c r="CJ9" s="1"/>
      <c r="CK9" s="6" t="e">
        <f>(CL8+(Crescimento!#REF!-(CL8*0.64))/0.8)/1000</f>
        <v>#REF!</v>
      </c>
      <c r="CL9" s="7" t="e">
        <f>-53.07 + (304.89 * (CK9)) + (90.79 *Crescimento!#REF!) - (3.13 * Crescimento!#REF!*Crescimento!#REF!)</f>
        <v>#REF!</v>
      </c>
      <c r="CN9" s="6" t="e">
        <f>(CO8+(Crescimento!#REF!-(CO8*0.64))/0.8)/1000</f>
        <v>#REF!</v>
      </c>
      <c r="CO9" s="7" t="e">
        <f>-53.07 + (304.89 * (CN9)) + (90.79 *Crescimento!#REF!) - (3.13 * Crescimento!#REF!*Crescimento!#REF!)</f>
        <v>#REF!</v>
      </c>
      <c r="CQ9" s="6" t="e">
        <f>(CR8+(Crescimento!#REF!-(CR8*0.64))/0.8)/1000</f>
        <v>#REF!</v>
      </c>
      <c r="CR9" s="7" t="e">
        <f>-53.07 + (304.89 * (CQ9)) + (90.79 *Crescimento!#REF!) - (3.13 * Crescimento!#REF!*Crescimento!#REF!)</f>
        <v>#REF!</v>
      </c>
    </row>
    <row r="10" spans="1:97" ht="15" customHeight="1" x14ac:dyDescent="0.25">
      <c r="B10" s="6">
        <f>(C9+(Crescimento!$Q$27-(C9*0.64))/0.8)/1000</f>
        <v>1.118799373832855</v>
      </c>
      <c r="C10" s="8">
        <f>-53.07 + (304.89 * (B10)) + (90.79 *Crescimento!$Q$20) - (3.13 * Crescimento!$Q$20*Crescimento!$Q$20)</f>
        <v>757.42870401787684</v>
      </c>
      <c r="D10" s="1"/>
      <c r="E10" s="6" t="e">
        <f>(F9+(Crescimento!#REF!-(F9*0.64))/0.8)/1000</f>
        <v>#REF!</v>
      </c>
      <c r="F10" s="7" t="e">
        <f>-53.07 + (304.89 * (E10)) + (90.79 *Crescimento!#REF!) - (3.13 * Crescimento!#REF!*Crescimento!#REF!)</f>
        <v>#REF!</v>
      </c>
      <c r="H10" s="6" t="e">
        <f>(I9+(Crescimento!#REF!-(I9*0.64))/0.8)/1000</f>
        <v>#REF!</v>
      </c>
      <c r="I10" s="7" t="e">
        <f>-53.07 + (304.89 * (H10)) + (90.79 *Crescimento!#REF!) - (3.13 * Crescimento!#REF!*Crescimento!#REF!)</f>
        <v>#REF!</v>
      </c>
      <c r="K10" s="6" t="e">
        <f>(L9+(Crescimento!#REF!-(L9*0.64))/0.8)/1000</f>
        <v>#REF!</v>
      </c>
      <c r="L10" s="7" t="e">
        <f>-53.07 + (304.89 * (K10)) + (90.79 *Crescimento!#REF!) - (3.13 * Crescimento!#REF!*Crescimento!#REF!)</f>
        <v>#REF!</v>
      </c>
      <c r="N10" s="6" t="e">
        <f>(O9+(Crescimento!#REF!-(O9*0.64))/0.8)/1000</f>
        <v>#REF!</v>
      </c>
      <c r="O10" s="7" t="e">
        <f>-53.07 + (304.89 * (N10)) + (90.79 *Crescimento!#REF!) - (3.13 * Crescimento!#REF!*Crescimento!#REF!)</f>
        <v>#REF!</v>
      </c>
      <c r="P10" s="1"/>
      <c r="Q10" s="6" t="e">
        <f>(R9+(Crescimento!#REF!-(R9*0.64))/0.8)/1000</f>
        <v>#REF!</v>
      </c>
      <c r="R10" s="7" t="e">
        <f>-53.07 + (304.89 * (Q10)) + (90.79 *Crescimento!#REF!) - (3.13 * Crescimento!#REF!*Crescimento!#REF!)</f>
        <v>#REF!</v>
      </c>
      <c r="T10" s="6" t="e">
        <f>(U9+(Crescimento!#REF!-(U9*0.64))/0.8)/1000</f>
        <v>#REF!</v>
      </c>
      <c r="U10" s="7" t="e">
        <f>-53.07 + (304.89 * (T10)) + (90.79 *Crescimento!#REF!) - (3.13 * Crescimento!#REF!*Crescimento!#REF!)</f>
        <v>#REF!</v>
      </c>
      <c r="W10" s="6" t="e">
        <f>(X9+(Crescimento!#REF!-(X9*0.64))/0.8)/1000</f>
        <v>#REF!</v>
      </c>
      <c r="X10" s="7" t="e">
        <f>-53.07 + (304.89 * (W10)) + (90.79 *Crescimento!#REF!) - (3.13 * Crescimento!#REF!*Crescimento!#REF!)</f>
        <v>#REF!</v>
      </c>
      <c r="Z10" s="6" t="e">
        <f>(AA9+(Crescimento!#REF!-(AA9*0.64))/0.8)/1000</f>
        <v>#REF!</v>
      </c>
      <c r="AA10" s="7" t="e">
        <f>-53.07 + (304.89 * (Z10)) + (90.79 *Crescimento!#REF!) - (3.13 * Crescimento!#REF!*Crescimento!#REF!)</f>
        <v>#REF!</v>
      </c>
      <c r="AB10" s="1"/>
      <c r="AC10" s="6" t="e">
        <f>(AD9+(Crescimento!#REF!-(AD9*0.64))/0.8)/1000</f>
        <v>#REF!</v>
      </c>
      <c r="AD10" s="7" t="e">
        <f>-53.07 + (304.89 * (AC10)) + (90.79 *Crescimento!#REF!) - (3.13 * Crescimento!#REF!*Crescimento!#REF!)</f>
        <v>#REF!</v>
      </c>
      <c r="AF10" s="6" t="e">
        <f>(AG9+(Crescimento!#REF!-(AG9*0.64))/0.8)/1000</f>
        <v>#REF!</v>
      </c>
      <c r="AG10" s="7" t="e">
        <f>-53.07 + (304.89 * (AF10)) + (90.79 *Crescimento!#REF!) - (3.13 * Crescimento!#REF!*Crescimento!#REF!)</f>
        <v>#REF!</v>
      </c>
      <c r="AI10" s="6" t="e">
        <f>(AJ9+(Crescimento!#REF!-(AJ9*0.64))/0.8)/1000</f>
        <v>#REF!</v>
      </c>
      <c r="AJ10" s="7" t="e">
        <f>-53.07 + (304.89 * (AI10)) + (90.79 *Crescimento!#REF!) - (3.13 * Crescimento!#REF!*Crescimento!#REF!)</f>
        <v>#REF!</v>
      </c>
      <c r="AL10" s="6" t="e">
        <f>(AM9+(Crescimento!#REF!-(AM9*0.64))/0.8)/1000</f>
        <v>#REF!</v>
      </c>
      <c r="AM10" s="7" t="e">
        <f>-53.07 + (304.89 * (AL10)) + (90.79 *Crescimento!#REF!) - (3.13 * Crescimento!#REF!*Crescimento!#REF!)</f>
        <v>#REF!</v>
      </c>
      <c r="AN10" s="1"/>
      <c r="AO10" s="6" t="e">
        <f>(AP9+(Crescimento!#REF!-(AP9*0.64))/0.8)/1000</f>
        <v>#REF!</v>
      </c>
      <c r="AP10" s="7" t="e">
        <f>-53.07 + (304.89 * (AO10)) + (90.79 *Crescimento!#REF!) - (3.13 * Crescimento!#REF!*Crescimento!#REF!)</f>
        <v>#REF!</v>
      </c>
      <c r="AR10" s="6" t="e">
        <f>(AS9+(Crescimento!#REF!-(AS9*0.64))/0.8)/1000</f>
        <v>#REF!</v>
      </c>
      <c r="AS10" s="7" t="e">
        <f>-53.07 + (304.89 * (AR10)) + (90.79 *Crescimento!#REF!) - (3.13 * Crescimento!#REF!*Crescimento!#REF!)</f>
        <v>#REF!</v>
      </c>
      <c r="AU10" s="6" t="e">
        <f>(AV9+(Crescimento!#REF!-(AV9*0.64))/0.8)/1000</f>
        <v>#REF!</v>
      </c>
      <c r="AV10" s="7" t="e">
        <f>-53.07 + (304.89 * (AU10)) + (90.79 *Crescimento!#REF!) - (3.13 * Crescimento!#REF!*Crescimento!#REF!)</f>
        <v>#REF!</v>
      </c>
      <c r="AX10" s="6" t="e">
        <f>(AY9+(Crescimento!#REF!-(AY9*0.64))/0.8)/1000</f>
        <v>#REF!</v>
      </c>
      <c r="AY10" s="7" t="e">
        <f>-53.07 + (304.89 * (AX10)) + (90.79 *Crescimento!#REF!) - (3.13 * Crescimento!#REF!*Crescimento!#REF!)</f>
        <v>#REF!</v>
      </c>
      <c r="AZ10" s="1"/>
      <c r="BA10" s="6" t="e">
        <f>(BB9+(Crescimento!#REF!-(BB9*0.64))/0.8)/1000</f>
        <v>#REF!</v>
      </c>
      <c r="BB10" s="7" t="e">
        <f>-53.07 + (304.89 * (BA10)) + (90.79 *Crescimento!#REF!) - (3.13 * Crescimento!#REF!*Crescimento!#REF!)</f>
        <v>#REF!</v>
      </c>
      <c r="BD10" s="6" t="e">
        <f>(BE9+(Crescimento!#REF!-(BE9*0.64))/0.8)/1000</f>
        <v>#REF!</v>
      </c>
      <c r="BE10" s="7" t="e">
        <f>-53.07 + (304.89 * (BD10)) + (90.79 *Crescimento!#REF!) - (3.13 * Crescimento!#REF!*Crescimento!#REF!)</f>
        <v>#REF!</v>
      </c>
      <c r="BG10" s="6" t="e">
        <f>(BH9+(Crescimento!#REF!-(BH9*0.64))/0.8)/1000</f>
        <v>#REF!</v>
      </c>
      <c r="BH10" s="7" t="e">
        <f>-53.07 + (304.89 * (BG10)) + (90.79 *Crescimento!#REF!) - (3.13 * Crescimento!#REF!*Crescimento!#REF!)</f>
        <v>#REF!</v>
      </c>
      <c r="BJ10" s="6" t="e">
        <f>(BK9+(Crescimento!#REF!-(BK9*0.64))/0.8)/1000</f>
        <v>#REF!</v>
      </c>
      <c r="BK10" s="7" t="e">
        <f>-53.07 + (304.89 * (BJ10)) + (90.79 *Crescimento!#REF!) - (3.13 * Crescimento!#REF!*Crescimento!#REF!)</f>
        <v>#REF!</v>
      </c>
      <c r="BL10" s="1"/>
      <c r="BM10" s="6" t="e">
        <f>(BN9+(Crescimento!#REF!-(BN9*0.64))/0.8)/1000</f>
        <v>#REF!</v>
      </c>
      <c r="BN10" s="7" t="e">
        <f>-53.07 + (304.89 * (BM10)) + (90.79 *Crescimento!#REF!) - (3.13 * Crescimento!#REF!*Crescimento!#REF!)</f>
        <v>#REF!</v>
      </c>
      <c r="BP10" s="6" t="e">
        <f>(BQ9+(Crescimento!#REF!-(BQ9*0.64))/0.8)/1000</f>
        <v>#REF!</v>
      </c>
      <c r="BQ10" s="7" t="e">
        <f>-53.07 + (304.89 * (BP10)) + (90.79 *Crescimento!#REF!) - (3.13 * Crescimento!#REF!*Crescimento!#REF!)</f>
        <v>#REF!</v>
      </c>
      <c r="BS10" s="6" t="e">
        <f>(BT9+(Crescimento!#REF!-(BT9*0.64))/0.8)/1000</f>
        <v>#REF!</v>
      </c>
      <c r="BT10" s="7" t="e">
        <f>-53.07 + (304.89 * (BS10)) + (90.79 *Crescimento!#REF!) - (3.13 * Crescimento!#REF!*Crescimento!#REF!)</f>
        <v>#REF!</v>
      </c>
      <c r="BV10" s="6" t="e">
        <f>(BW9+(Crescimento!#REF!-(BW9*0.64))/0.8)/1000</f>
        <v>#REF!</v>
      </c>
      <c r="BW10" s="7" t="e">
        <f>-53.07 + (304.89 * (BV10)) + (90.79 *Crescimento!#REF!) - (3.13 * Crescimento!#REF!*Crescimento!#REF!)</f>
        <v>#REF!</v>
      </c>
      <c r="BX10" s="1"/>
      <c r="BY10" s="6" t="e">
        <f>(BZ9+(Crescimento!#REF!-(BZ9*0.64))/0.8)/1000</f>
        <v>#REF!</v>
      </c>
      <c r="BZ10" s="7" t="e">
        <f>-53.07 + (304.89 * (BY10)) + (90.79 *Crescimento!#REF!) - (3.13 * Crescimento!#REF!*Crescimento!#REF!)</f>
        <v>#REF!</v>
      </c>
      <c r="CB10" s="6" t="e">
        <f>(CC9+(Crescimento!#REF!-(CC9*0.64))/0.8)/1000</f>
        <v>#REF!</v>
      </c>
      <c r="CC10" s="7" t="e">
        <f>-53.07 + (304.89 * (CB10)) + (90.79 *Crescimento!#REF!) - (3.13 * Crescimento!#REF!*Crescimento!#REF!)</f>
        <v>#REF!</v>
      </c>
      <c r="CE10" s="6" t="e">
        <f>(CF9+(Crescimento!#REF!-(CF9*0.64))/0.8)/1000</f>
        <v>#REF!</v>
      </c>
      <c r="CF10" s="7" t="e">
        <f>-53.07 + (304.89 * (CE10)) + (90.79 *Crescimento!#REF!) - (3.13 * Crescimento!#REF!*Crescimento!#REF!)</f>
        <v>#REF!</v>
      </c>
      <c r="CH10" s="6" t="e">
        <f>(CI9+(Crescimento!#REF!-(CI9*0.64))/0.8)/1000</f>
        <v>#REF!</v>
      </c>
      <c r="CI10" s="7" t="e">
        <f>-53.07 + (304.89 * (CH10)) + (90.79 *Crescimento!#REF!) - (3.13 * Crescimento!#REF!*Crescimento!#REF!)</f>
        <v>#REF!</v>
      </c>
      <c r="CJ10" s="1"/>
      <c r="CK10" s="6" t="e">
        <f>(CL9+(Crescimento!#REF!-(CL9*0.64))/0.8)/1000</f>
        <v>#REF!</v>
      </c>
      <c r="CL10" s="7" t="e">
        <f>-53.07 + (304.89 * (CK10)) + (90.79 *Crescimento!#REF!) - (3.13 * Crescimento!#REF!*Crescimento!#REF!)</f>
        <v>#REF!</v>
      </c>
      <c r="CN10" s="6" t="e">
        <f>(CO9+(Crescimento!#REF!-(CO9*0.64))/0.8)/1000</f>
        <v>#REF!</v>
      </c>
      <c r="CO10" s="7" t="e">
        <f>-53.07 + (304.89 * (CN10)) + (90.79 *Crescimento!#REF!) - (3.13 * Crescimento!#REF!*Crescimento!#REF!)</f>
        <v>#REF!</v>
      </c>
      <c r="CQ10" s="6" t="e">
        <f>(CR9+(Crescimento!#REF!-(CR9*0.64))/0.8)/1000</f>
        <v>#REF!</v>
      </c>
      <c r="CR10" s="7" t="e">
        <f>-53.07 + (304.89 * (CQ10)) + (90.79 *Crescimento!#REF!) - (3.13 * Crescimento!#REF!*Crescimento!#REF!)</f>
        <v>#REF!</v>
      </c>
    </row>
    <row r="11" spans="1:97" ht="15" customHeight="1" x14ac:dyDescent="0.25">
      <c r="B11" s="6">
        <f>(C10+(Crescimento!$Q$27-(C10*0.64))/0.8)/1000</f>
        <v>1.118799373803117</v>
      </c>
      <c r="C11" s="8">
        <f>-53.07 + (304.89 * (B11)) + (90.79 *Crescimento!$Q$20) - (3.13 * Crescimento!$Q$20*Crescimento!$Q$20)</f>
        <v>757.42870400881009</v>
      </c>
      <c r="D11" s="1"/>
      <c r="E11" s="6" t="e">
        <f>(F10+(Crescimento!#REF!-(F10*0.64))/0.8)/1000</f>
        <v>#REF!</v>
      </c>
      <c r="F11" s="7" t="e">
        <f>-53.07 + (304.89 * (E11)) + (90.79 *Crescimento!#REF!) - (3.13 * Crescimento!#REF!*Crescimento!#REF!)</f>
        <v>#REF!</v>
      </c>
      <c r="H11" s="6" t="e">
        <f>(I10+(Crescimento!#REF!-(I10*0.64))/0.8)/1000</f>
        <v>#REF!</v>
      </c>
      <c r="I11" s="7" t="e">
        <f>-53.07 + (304.89 * (H11)) + (90.79 *Crescimento!#REF!) - (3.13 * Crescimento!#REF!*Crescimento!#REF!)</f>
        <v>#REF!</v>
      </c>
      <c r="K11" s="6" t="e">
        <f>(L10+(Crescimento!#REF!-(L10*0.64))/0.8)/1000</f>
        <v>#REF!</v>
      </c>
      <c r="L11" s="7" t="e">
        <f>-53.07 + (304.89 * (K11)) + (90.79 *Crescimento!#REF!) - (3.13 * Crescimento!#REF!*Crescimento!#REF!)</f>
        <v>#REF!</v>
      </c>
      <c r="N11" s="6" t="e">
        <f>(O10+(Crescimento!#REF!-(O10*0.64))/0.8)/1000</f>
        <v>#REF!</v>
      </c>
      <c r="O11" s="7" t="e">
        <f>-53.07 + (304.89 * (N11)) + (90.79 *Crescimento!#REF!) - (3.13 * Crescimento!#REF!*Crescimento!#REF!)</f>
        <v>#REF!</v>
      </c>
      <c r="P11" s="1"/>
      <c r="Q11" s="6" t="e">
        <f>(R10+(Crescimento!#REF!-(R10*0.64))/0.8)/1000</f>
        <v>#REF!</v>
      </c>
      <c r="R11" s="7" t="e">
        <f>-53.07 + (304.89 * (Q11)) + (90.79 *Crescimento!#REF!) - (3.13 * Crescimento!#REF!*Crescimento!#REF!)</f>
        <v>#REF!</v>
      </c>
      <c r="T11" s="6" t="e">
        <f>(U10+(Crescimento!#REF!-(U10*0.64))/0.8)/1000</f>
        <v>#REF!</v>
      </c>
      <c r="U11" s="7" t="e">
        <f>-53.07 + (304.89 * (T11)) + (90.79 *Crescimento!#REF!) - (3.13 * Crescimento!#REF!*Crescimento!#REF!)</f>
        <v>#REF!</v>
      </c>
      <c r="W11" s="6" t="e">
        <f>(X10+(Crescimento!#REF!-(X10*0.64))/0.8)/1000</f>
        <v>#REF!</v>
      </c>
      <c r="X11" s="7" t="e">
        <f>-53.07 + (304.89 * (W11)) + (90.79 *Crescimento!#REF!) - (3.13 * Crescimento!#REF!*Crescimento!#REF!)</f>
        <v>#REF!</v>
      </c>
      <c r="Z11" s="6" t="e">
        <f>(AA10+(Crescimento!#REF!-(AA10*0.64))/0.8)/1000</f>
        <v>#REF!</v>
      </c>
      <c r="AA11" s="7" t="e">
        <f>-53.07 + (304.89 * (Z11)) + (90.79 *Crescimento!#REF!) - (3.13 * Crescimento!#REF!*Crescimento!#REF!)</f>
        <v>#REF!</v>
      </c>
      <c r="AB11" s="1"/>
      <c r="AC11" s="6" t="e">
        <f>(AD10+(Crescimento!#REF!-(AD10*0.64))/0.8)/1000</f>
        <v>#REF!</v>
      </c>
      <c r="AD11" s="7" t="e">
        <f>-53.07 + (304.89 * (AC11)) + (90.79 *Crescimento!#REF!) - (3.13 * Crescimento!#REF!*Crescimento!#REF!)</f>
        <v>#REF!</v>
      </c>
      <c r="AF11" s="6" t="e">
        <f>(AG10+(Crescimento!#REF!-(AG10*0.64))/0.8)/1000</f>
        <v>#REF!</v>
      </c>
      <c r="AG11" s="7" t="e">
        <f>-53.07 + (304.89 * (AF11)) + (90.79 *Crescimento!#REF!) - (3.13 * Crescimento!#REF!*Crescimento!#REF!)</f>
        <v>#REF!</v>
      </c>
      <c r="AI11" s="6" t="e">
        <f>(AJ10+(Crescimento!#REF!-(AJ10*0.64))/0.8)/1000</f>
        <v>#REF!</v>
      </c>
      <c r="AJ11" s="7" t="e">
        <f>-53.07 + (304.89 * (AI11)) + (90.79 *Crescimento!#REF!) - (3.13 * Crescimento!#REF!*Crescimento!#REF!)</f>
        <v>#REF!</v>
      </c>
      <c r="AL11" s="6" t="e">
        <f>(AM10+(Crescimento!#REF!-(AM10*0.64))/0.8)/1000</f>
        <v>#REF!</v>
      </c>
      <c r="AM11" s="7" t="e">
        <f>-53.07 + (304.89 * (AL11)) + (90.79 *Crescimento!#REF!) - (3.13 * Crescimento!#REF!*Crescimento!#REF!)</f>
        <v>#REF!</v>
      </c>
      <c r="AN11" s="1"/>
      <c r="AO11" s="6" t="e">
        <f>(AP10+(Crescimento!#REF!-(AP10*0.64))/0.8)/1000</f>
        <v>#REF!</v>
      </c>
      <c r="AP11" s="7" t="e">
        <f>-53.07 + (304.89 * (AO11)) + (90.79 *Crescimento!#REF!) - (3.13 * Crescimento!#REF!*Crescimento!#REF!)</f>
        <v>#REF!</v>
      </c>
      <c r="AR11" s="6" t="e">
        <f>(AS10+(Crescimento!#REF!-(AS10*0.64))/0.8)/1000</f>
        <v>#REF!</v>
      </c>
      <c r="AS11" s="7" t="e">
        <f>-53.07 + (304.89 * (AR11)) + (90.79 *Crescimento!#REF!) - (3.13 * Crescimento!#REF!*Crescimento!#REF!)</f>
        <v>#REF!</v>
      </c>
      <c r="AU11" s="6" t="e">
        <f>(AV10+(Crescimento!#REF!-(AV10*0.64))/0.8)/1000</f>
        <v>#REF!</v>
      </c>
      <c r="AV11" s="7" t="e">
        <f>-53.07 + (304.89 * (AU11)) + (90.79 *Crescimento!#REF!) - (3.13 * Crescimento!#REF!*Crescimento!#REF!)</f>
        <v>#REF!</v>
      </c>
      <c r="AX11" s="6" t="e">
        <f>(AY10+(Crescimento!#REF!-(AY10*0.64))/0.8)/1000</f>
        <v>#REF!</v>
      </c>
      <c r="AY11" s="7" t="e">
        <f>-53.07 + (304.89 * (AX11)) + (90.79 *Crescimento!#REF!) - (3.13 * Crescimento!#REF!*Crescimento!#REF!)</f>
        <v>#REF!</v>
      </c>
      <c r="AZ11" s="1"/>
      <c r="BA11" s="6" t="e">
        <f>(BB10+(Crescimento!#REF!-(BB10*0.64))/0.8)/1000</f>
        <v>#REF!</v>
      </c>
      <c r="BB11" s="7" t="e">
        <f>-53.07 + (304.89 * (BA11)) + (90.79 *Crescimento!#REF!) - (3.13 * Crescimento!#REF!*Crescimento!#REF!)</f>
        <v>#REF!</v>
      </c>
      <c r="BD11" s="6" t="e">
        <f>(BE10+(Crescimento!#REF!-(BE10*0.64))/0.8)/1000</f>
        <v>#REF!</v>
      </c>
      <c r="BE11" s="7" t="e">
        <f>-53.07 + (304.89 * (BD11)) + (90.79 *Crescimento!#REF!) - (3.13 * Crescimento!#REF!*Crescimento!#REF!)</f>
        <v>#REF!</v>
      </c>
      <c r="BG11" s="6" t="e">
        <f>(BH10+(Crescimento!#REF!-(BH10*0.64))/0.8)/1000</f>
        <v>#REF!</v>
      </c>
      <c r="BH11" s="7" t="e">
        <f>-53.07 + (304.89 * (BG11)) + (90.79 *Crescimento!#REF!) - (3.13 * Crescimento!#REF!*Crescimento!#REF!)</f>
        <v>#REF!</v>
      </c>
      <c r="BJ11" s="6" t="e">
        <f>(BK10+(Crescimento!#REF!-(BK10*0.64))/0.8)/1000</f>
        <v>#REF!</v>
      </c>
      <c r="BK11" s="7" t="e">
        <f>-53.07 + (304.89 * (BJ11)) + (90.79 *Crescimento!#REF!) - (3.13 * Crescimento!#REF!*Crescimento!#REF!)</f>
        <v>#REF!</v>
      </c>
      <c r="BL11" s="1"/>
      <c r="BM11" s="6" t="e">
        <f>(BN10+(Crescimento!#REF!-(BN10*0.64))/0.8)/1000</f>
        <v>#REF!</v>
      </c>
      <c r="BN11" s="7" t="e">
        <f>-53.07 + (304.89 * (BM11)) + (90.79 *Crescimento!#REF!) - (3.13 * Crescimento!#REF!*Crescimento!#REF!)</f>
        <v>#REF!</v>
      </c>
      <c r="BP11" s="6" t="e">
        <f>(BQ10+(Crescimento!#REF!-(BQ10*0.64))/0.8)/1000</f>
        <v>#REF!</v>
      </c>
      <c r="BQ11" s="7" t="e">
        <f>-53.07 + (304.89 * (BP11)) + (90.79 *Crescimento!#REF!) - (3.13 * Crescimento!#REF!*Crescimento!#REF!)</f>
        <v>#REF!</v>
      </c>
      <c r="BS11" s="6" t="e">
        <f>(BT10+(Crescimento!#REF!-(BT10*0.64))/0.8)/1000</f>
        <v>#REF!</v>
      </c>
      <c r="BT11" s="7" t="e">
        <f>-53.07 + (304.89 * (BS11)) + (90.79 *Crescimento!#REF!) - (3.13 * Crescimento!#REF!*Crescimento!#REF!)</f>
        <v>#REF!</v>
      </c>
      <c r="BV11" s="6" t="e">
        <f>(BW10+(Crescimento!#REF!-(BW10*0.64))/0.8)/1000</f>
        <v>#REF!</v>
      </c>
      <c r="BW11" s="7" t="e">
        <f>-53.07 + (304.89 * (BV11)) + (90.79 *Crescimento!#REF!) - (3.13 * Crescimento!#REF!*Crescimento!#REF!)</f>
        <v>#REF!</v>
      </c>
      <c r="BX11" s="1"/>
      <c r="BY11" s="6" t="e">
        <f>(BZ10+(Crescimento!#REF!-(BZ10*0.64))/0.8)/1000</f>
        <v>#REF!</v>
      </c>
      <c r="BZ11" s="7" t="e">
        <f>-53.07 + (304.89 * (BY11)) + (90.79 *Crescimento!#REF!) - (3.13 * Crescimento!#REF!*Crescimento!#REF!)</f>
        <v>#REF!</v>
      </c>
      <c r="CB11" s="6" t="e">
        <f>(CC10+(Crescimento!#REF!-(CC10*0.64))/0.8)/1000</f>
        <v>#REF!</v>
      </c>
      <c r="CC11" s="7" t="e">
        <f>-53.07 + (304.89 * (CB11)) + (90.79 *Crescimento!#REF!) - (3.13 * Crescimento!#REF!*Crescimento!#REF!)</f>
        <v>#REF!</v>
      </c>
      <c r="CE11" s="6" t="e">
        <f>(CF10+(Crescimento!#REF!-(CF10*0.64))/0.8)/1000</f>
        <v>#REF!</v>
      </c>
      <c r="CF11" s="7" t="e">
        <f>-53.07 + (304.89 * (CE11)) + (90.79 *Crescimento!#REF!) - (3.13 * Crescimento!#REF!*Crescimento!#REF!)</f>
        <v>#REF!</v>
      </c>
      <c r="CH11" s="6" t="e">
        <f>(CI10+(Crescimento!#REF!-(CI10*0.64))/0.8)/1000</f>
        <v>#REF!</v>
      </c>
      <c r="CI11" s="7" t="e">
        <f>-53.07 + (304.89 * (CH11)) + (90.79 *Crescimento!#REF!) - (3.13 * Crescimento!#REF!*Crescimento!#REF!)</f>
        <v>#REF!</v>
      </c>
      <c r="CJ11" s="1"/>
      <c r="CK11" s="6" t="e">
        <f>(CL10+(Crescimento!#REF!-(CL10*0.64))/0.8)/1000</f>
        <v>#REF!</v>
      </c>
      <c r="CL11" s="7" t="e">
        <f>-53.07 + (304.89 * (CK11)) + (90.79 *Crescimento!#REF!) - (3.13 * Crescimento!#REF!*Crescimento!#REF!)</f>
        <v>#REF!</v>
      </c>
      <c r="CN11" s="6" t="e">
        <f>(CO10+(Crescimento!#REF!-(CO10*0.64))/0.8)/1000</f>
        <v>#REF!</v>
      </c>
      <c r="CO11" s="7" t="e">
        <f>-53.07 + (304.89 * (CN11)) + (90.79 *Crescimento!#REF!) - (3.13 * Crescimento!#REF!*Crescimento!#REF!)</f>
        <v>#REF!</v>
      </c>
      <c r="CQ11" s="6" t="e">
        <f>(CR10+(Crescimento!#REF!-(CR10*0.64))/0.8)/1000</f>
        <v>#REF!</v>
      </c>
      <c r="CR11" s="7" t="e">
        <f>-53.07 + (304.89 * (CQ11)) + (90.79 *Crescimento!#REF!) - (3.13 * Crescimento!#REF!*Crescimento!#REF!)</f>
        <v>#REF!</v>
      </c>
    </row>
    <row r="12" spans="1:97" ht="15" customHeight="1" x14ac:dyDescent="0.25">
      <c r="B12" s="6">
        <f>(C11+(Crescimento!$Q$27-(C11*0.64))/0.8)/1000</f>
        <v>1.1187993738013038</v>
      </c>
      <c r="C12" s="8">
        <f>-53.07 + (304.89 * (B12)) + (90.79 *Crescimento!$Q$20) - (3.13 * Crescimento!$Q$20*Crescimento!$Q$20)</f>
        <v>757.42870400825711</v>
      </c>
      <c r="D12" s="1"/>
      <c r="E12" s="6" t="e">
        <f>(F11+(Crescimento!#REF!-(F11*0.64))/0.8)/1000</f>
        <v>#REF!</v>
      </c>
      <c r="F12" s="7" t="e">
        <f>-53.07 + (304.89 * (E12)) + (90.79 *Crescimento!#REF!) - (3.13 * Crescimento!#REF!*Crescimento!#REF!)</f>
        <v>#REF!</v>
      </c>
      <c r="H12" s="6" t="e">
        <f>(I11+(Crescimento!#REF!-(I11*0.64))/0.8)/1000</f>
        <v>#REF!</v>
      </c>
      <c r="I12" s="7" t="e">
        <f>-53.07 + (304.89 * (H12)) + (90.79 *Crescimento!#REF!) - (3.13 * Crescimento!#REF!*Crescimento!#REF!)</f>
        <v>#REF!</v>
      </c>
      <c r="K12" s="6" t="e">
        <f>(L11+(Crescimento!#REF!-(L11*0.64))/0.8)/1000</f>
        <v>#REF!</v>
      </c>
      <c r="L12" s="7" t="e">
        <f>-53.07 + (304.89 * (K12)) + (90.79 *Crescimento!#REF!) - (3.13 * Crescimento!#REF!*Crescimento!#REF!)</f>
        <v>#REF!</v>
      </c>
      <c r="N12" s="6" t="e">
        <f>(O11+(Crescimento!#REF!-(O11*0.64))/0.8)/1000</f>
        <v>#REF!</v>
      </c>
      <c r="O12" s="7" t="e">
        <f>-53.07 + (304.89 * (N12)) + (90.79 *Crescimento!#REF!) - (3.13 * Crescimento!#REF!*Crescimento!#REF!)</f>
        <v>#REF!</v>
      </c>
      <c r="P12" s="1"/>
      <c r="Q12" s="6" t="e">
        <f>(R11+(Crescimento!#REF!-(R11*0.64))/0.8)/1000</f>
        <v>#REF!</v>
      </c>
      <c r="R12" s="7" t="e">
        <f>-53.07 + (304.89 * (Q12)) + (90.79 *Crescimento!#REF!) - (3.13 * Crescimento!#REF!*Crescimento!#REF!)</f>
        <v>#REF!</v>
      </c>
      <c r="T12" s="6" t="e">
        <f>(U11+(Crescimento!#REF!-(U11*0.64))/0.8)/1000</f>
        <v>#REF!</v>
      </c>
      <c r="U12" s="7" t="e">
        <f>-53.07 + (304.89 * (T12)) + (90.79 *Crescimento!#REF!) - (3.13 * Crescimento!#REF!*Crescimento!#REF!)</f>
        <v>#REF!</v>
      </c>
      <c r="W12" s="6" t="e">
        <f>(X11+(Crescimento!#REF!-(X11*0.64))/0.8)/1000</f>
        <v>#REF!</v>
      </c>
      <c r="X12" s="7" t="e">
        <f>-53.07 + (304.89 * (W12)) + (90.79 *Crescimento!#REF!) - (3.13 * Crescimento!#REF!*Crescimento!#REF!)</f>
        <v>#REF!</v>
      </c>
      <c r="Z12" s="6" t="e">
        <f>(AA11+(Crescimento!#REF!-(AA11*0.64))/0.8)/1000</f>
        <v>#REF!</v>
      </c>
      <c r="AA12" s="7" t="e">
        <f>-53.07 + (304.89 * (Z12)) + (90.79 *Crescimento!#REF!) - (3.13 * Crescimento!#REF!*Crescimento!#REF!)</f>
        <v>#REF!</v>
      </c>
      <c r="AB12" s="1"/>
      <c r="AC12" s="6" t="e">
        <f>(AD11+(Crescimento!#REF!-(AD11*0.64))/0.8)/1000</f>
        <v>#REF!</v>
      </c>
      <c r="AD12" s="7" t="e">
        <f>-53.07 + (304.89 * (AC12)) + (90.79 *Crescimento!#REF!) - (3.13 * Crescimento!#REF!*Crescimento!#REF!)</f>
        <v>#REF!</v>
      </c>
      <c r="AF12" s="6" t="e">
        <f>(AG11+(Crescimento!#REF!-(AG11*0.64))/0.8)/1000</f>
        <v>#REF!</v>
      </c>
      <c r="AG12" s="7" t="e">
        <f>-53.07 + (304.89 * (AF12)) + (90.79 *Crescimento!#REF!) - (3.13 * Crescimento!#REF!*Crescimento!#REF!)</f>
        <v>#REF!</v>
      </c>
      <c r="AI12" s="6" t="e">
        <f>(AJ11+(Crescimento!#REF!-(AJ11*0.64))/0.8)/1000</f>
        <v>#REF!</v>
      </c>
      <c r="AJ12" s="7" t="e">
        <f>-53.07 + (304.89 * (AI12)) + (90.79 *Crescimento!#REF!) - (3.13 * Crescimento!#REF!*Crescimento!#REF!)</f>
        <v>#REF!</v>
      </c>
      <c r="AL12" s="6" t="e">
        <f>(AM11+(Crescimento!#REF!-(AM11*0.64))/0.8)/1000</f>
        <v>#REF!</v>
      </c>
      <c r="AM12" s="7" t="e">
        <f>-53.07 + (304.89 * (AL12)) + (90.79 *Crescimento!#REF!) - (3.13 * Crescimento!#REF!*Crescimento!#REF!)</f>
        <v>#REF!</v>
      </c>
      <c r="AN12" s="1"/>
      <c r="AO12" s="6" t="e">
        <f>(AP11+(Crescimento!#REF!-(AP11*0.64))/0.8)/1000</f>
        <v>#REF!</v>
      </c>
      <c r="AP12" s="7" t="e">
        <f>-53.07 + (304.89 * (AO12)) + (90.79 *Crescimento!#REF!) - (3.13 * Crescimento!#REF!*Crescimento!#REF!)</f>
        <v>#REF!</v>
      </c>
      <c r="AR12" s="6" t="e">
        <f>(AS11+(Crescimento!#REF!-(AS11*0.64))/0.8)/1000</f>
        <v>#REF!</v>
      </c>
      <c r="AS12" s="7" t="e">
        <f>-53.07 + (304.89 * (AR12)) + (90.79 *Crescimento!#REF!) - (3.13 * Crescimento!#REF!*Crescimento!#REF!)</f>
        <v>#REF!</v>
      </c>
      <c r="AU12" s="6" t="e">
        <f>(AV11+(Crescimento!#REF!-(AV11*0.64))/0.8)/1000</f>
        <v>#REF!</v>
      </c>
      <c r="AV12" s="7" t="e">
        <f>-53.07 + (304.89 * (AU12)) + (90.79 *Crescimento!#REF!) - (3.13 * Crescimento!#REF!*Crescimento!#REF!)</f>
        <v>#REF!</v>
      </c>
      <c r="AX12" s="6" t="e">
        <f>(AY11+(Crescimento!#REF!-(AY11*0.64))/0.8)/1000</f>
        <v>#REF!</v>
      </c>
      <c r="AY12" s="7" t="e">
        <f>-53.07 + (304.89 * (AX12)) + (90.79 *Crescimento!#REF!) - (3.13 * Crescimento!#REF!*Crescimento!#REF!)</f>
        <v>#REF!</v>
      </c>
      <c r="AZ12" s="1"/>
      <c r="BA12" s="6" t="e">
        <f>(BB11+(Crescimento!#REF!-(BB11*0.64))/0.8)/1000</f>
        <v>#REF!</v>
      </c>
      <c r="BB12" s="7" t="e">
        <f>-53.07 + (304.89 * (BA12)) + (90.79 *Crescimento!#REF!) - (3.13 * Crescimento!#REF!*Crescimento!#REF!)</f>
        <v>#REF!</v>
      </c>
      <c r="BD12" s="6" t="e">
        <f>(BE11+(Crescimento!#REF!-(BE11*0.64))/0.8)/1000</f>
        <v>#REF!</v>
      </c>
      <c r="BE12" s="7" t="e">
        <f>-53.07 + (304.89 * (BD12)) + (90.79 *Crescimento!#REF!) - (3.13 * Crescimento!#REF!*Crescimento!#REF!)</f>
        <v>#REF!</v>
      </c>
      <c r="BG12" s="6" t="e">
        <f>(BH11+(Crescimento!#REF!-(BH11*0.64))/0.8)/1000</f>
        <v>#REF!</v>
      </c>
      <c r="BH12" s="7" t="e">
        <f>-53.07 + (304.89 * (BG12)) + (90.79 *Crescimento!#REF!) - (3.13 * Crescimento!#REF!*Crescimento!#REF!)</f>
        <v>#REF!</v>
      </c>
      <c r="BJ12" s="6" t="e">
        <f>(BK11+(Crescimento!#REF!-(BK11*0.64))/0.8)/1000</f>
        <v>#REF!</v>
      </c>
      <c r="BK12" s="7" t="e">
        <f>-53.07 + (304.89 * (BJ12)) + (90.79 *Crescimento!#REF!) - (3.13 * Crescimento!#REF!*Crescimento!#REF!)</f>
        <v>#REF!</v>
      </c>
      <c r="BL12" s="1"/>
      <c r="BM12" s="6" t="e">
        <f>(BN11+(Crescimento!#REF!-(BN11*0.64))/0.8)/1000</f>
        <v>#REF!</v>
      </c>
      <c r="BN12" s="7" t="e">
        <f>-53.07 + (304.89 * (BM12)) + (90.79 *Crescimento!#REF!) - (3.13 * Crescimento!#REF!*Crescimento!#REF!)</f>
        <v>#REF!</v>
      </c>
      <c r="BP12" s="6" t="e">
        <f>(BQ11+(Crescimento!#REF!-(BQ11*0.64))/0.8)/1000</f>
        <v>#REF!</v>
      </c>
      <c r="BQ12" s="7" t="e">
        <f>-53.07 + (304.89 * (BP12)) + (90.79 *Crescimento!#REF!) - (3.13 * Crescimento!#REF!*Crescimento!#REF!)</f>
        <v>#REF!</v>
      </c>
      <c r="BS12" s="6" t="e">
        <f>(BT11+(Crescimento!#REF!-(BT11*0.64))/0.8)/1000</f>
        <v>#REF!</v>
      </c>
      <c r="BT12" s="7" t="e">
        <f>-53.07 + (304.89 * (BS12)) + (90.79 *Crescimento!#REF!) - (3.13 * Crescimento!#REF!*Crescimento!#REF!)</f>
        <v>#REF!</v>
      </c>
      <c r="BV12" s="6" t="e">
        <f>(BW11+(Crescimento!#REF!-(BW11*0.64))/0.8)/1000</f>
        <v>#REF!</v>
      </c>
      <c r="BW12" s="7" t="e">
        <f>-53.07 + (304.89 * (BV12)) + (90.79 *Crescimento!#REF!) - (3.13 * Crescimento!#REF!*Crescimento!#REF!)</f>
        <v>#REF!</v>
      </c>
      <c r="BX12" s="1"/>
      <c r="BY12" s="6" t="e">
        <f>(BZ11+(Crescimento!#REF!-(BZ11*0.64))/0.8)/1000</f>
        <v>#REF!</v>
      </c>
      <c r="BZ12" s="7" t="e">
        <f>-53.07 + (304.89 * (BY12)) + (90.79 *Crescimento!#REF!) - (3.13 * Crescimento!#REF!*Crescimento!#REF!)</f>
        <v>#REF!</v>
      </c>
      <c r="CB12" s="6" t="e">
        <f>(CC11+(Crescimento!#REF!-(CC11*0.64))/0.8)/1000</f>
        <v>#REF!</v>
      </c>
      <c r="CC12" s="7" t="e">
        <f>-53.07 + (304.89 * (CB12)) + (90.79 *Crescimento!#REF!) - (3.13 * Crescimento!#REF!*Crescimento!#REF!)</f>
        <v>#REF!</v>
      </c>
      <c r="CE12" s="6" t="e">
        <f>(CF11+(Crescimento!#REF!-(CF11*0.64))/0.8)/1000</f>
        <v>#REF!</v>
      </c>
      <c r="CF12" s="7" t="e">
        <f>-53.07 + (304.89 * (CE12)) + (90.79 *Crescimento!#REF!) - (3.13 * Crescimento!#REF!*Crescimento!#REF!)</f>
        <v>#REF!</v>
      </c>
      <c r="CH12" s="6" t="e">
        <f>(CI11+(Crescimento!#REF!-(CI11*0.64))/0.8)/1000</f>
        <v>#REF!</v>
      </c>
      <c r="CI12" s="7" t="e">
        <f>-53.07 + (304.89 * (CH12)) + (90.79 *Crescimento!#REF!) - (3.13 * Crescimento!#REF!*Crescimento!#REF!)</f>
        <v>#REF!</v>
      </c>
      <c r="CJ12" s="1"/>
      <c r="CK12" s="6" t="e">
        <f>(CL11+(Crescimento!#REF!-(CL11*0.64))/0.8)/1000</f>
        <v>#REF!</v>
      </c>
      <c r="CL12" s="7" t="e">
        <f>-53.07 + (304.89 * (CK12)) + (90.79 *Crescimento!#REF!) - (3.13 * Crescimento!#REF!*Crescimento!#REF!)</f>
        <v>#REF!</v>
      </c>
      <c r="CN12" s="6" t="e">
        <f>(CO11+(Crescimento!#REF!-(CO11*0.64))/0.8)/1000</f>
        <v>#REF!</v>
      </c>
      <c r="CO12" s="7" t="e">
        <f>-53.07 + (304.89 * (CN12)) + (90.79 *Crescimento!#REF!) - (3.13 * Crescimento!#REF!*Crescimento!#REF!)</f>
        <v>#REF!</v>
      </c>
      <c r="CQ12" s="6" t="e">
        <f>(CR11+(Crescimento!#REF!-(CR11*0.64))/0.8)/1000</f>
        <v>#REF!</v>
      </c>
      <c r="CR12" s="7" t="e">
        <f>-53.07 + (304.89 * (CQ12)) + (90.79 *Crescimento!#REF!) - (3.13 * Crescimento!#REF!*Crescimento!#REF!)</f>
        <v>#REF!</v>
      </c>
    </row>
    <row r="13" spans="1:97" ht="15" customHeight="1" x14ac:dyDescent="0.25">
      <c r="B13" s="6">
        <f>(C12+(Crescimento!$Q$27-(C12*0.64))/0.8)/1000</f>
        <v>1.1187993738011932</v>
      </c>
      <c r="C13" s="8">
        <f>-53.07 + (304.89 * (B13)) + (90.79 *Crescimento!$Q$20) - (3.13 * Crescimento!$Q$20*Crescimento!$Q$20)</f>
        <v>757.42870400822346</v>
      </c>
      <c r="D13" s="1"/>
      <c r="E13" s="6" t="e">
        <f>(F12+(Crescimento!#REF!-(F12*0.64))/0.8)/1000</f>
        <v>#REF!</v>
      </c>
      <c r="F13" s="7" t="e">
        <f>-53.07 + (304.89 * (E13)) + (90.79 *Crescimento!#REF!) - (3.13 * Crescimento!#REF!*Crescimento!#REF!)</f>
        <v>#REF!</v>
      </c>
      <c r="H13" s="6" t="e">
        <f>(I12+(Crescimento!#REF!-(I12*0.64))/0.8)/1000</f>
        <v>#REF!</v>
      </c>
      <c r="I13" s="7" t="e">
        <f>-53.07 + (304.89 * (H13)) + (90.79 *Crescimento!#REF!) - (3.13 * Crescimento!#REF!*Crescimento!#REF!)</f>
        <v>#REF!</v>
      </c>
      <c r="K13" s="6" t="e">
        <f>(L12+(Crescimento!#REF!-(L12*0.64))/0.8)/1000</f>
        <v>#REF!</v>
      </c>
      <c r="L13" s="7" t="e">
        <f>-53.07 + (304.89 * (K13)) + (90.79 *Crescimento!#REF!) - (3.13 * Crescimento!#REF!*Crescimento!#REF!)</f>
        <v>#REF!</v>
      </c>
      <c r="N13" s="6" t="e">
        <f>(O12+(Crescimento!#REF!-(O12*0.64))/0.8)/1000</f>
        <v>#REF!</v>
      </c>
      <c r="O13" s="7" t="e">
        <f>-53.07 + (304.89 * (N13)) + (90.79 *Crescimento!#REF!) - (3.13 * Crescimento!#REF!*Crescimento!#REF!)</f>
        <v>#REF!</v>
      </c>
      <c r="P13" s="1"/>
      <c r="Q13" s="6" t="e">
        <f>(R12+(Crescimento!#REF!-(R12*0.64))/0.8)/1000</f>
        <v>#REF!</v>
      </c>
      <c r="R13" s="7" t="e">
        <f>-53.07 + (304.89 * (Q13)) + (90.79 *Crescimento!#REF!) - (3.13 * Crescimento!#REF!*Crescimento!#REF!)</f>
        <v>#REF!</v>
      </c>
      <c r="T13" s="6" t="e">
        <f>(U12+(Crescimento!#REF!-(U12*0.64))/0.8)/1000</f>
        <v>#REF!</v>
      </c>
      <c r="U13" s="7" t="e">
        <f>-53.07 + (304.89 * (T13)) + (90.79 *Crescimento!#REF!) - (3.13 * Crescimento!#REF!*Crescimento!#REF!)</f>
        <v>#REF!</v>
      </c>
      <c r="W13" s="6" t="e">
        <f>(X12+(Crescimento!#REF!-(X12*0.64))/0.8)/1000</f>
        <v>#REF!</v>
      </c>
      <c r="X13" s="7" t="e">
        <f>-53.07 + (304.89 * (W13)) + (90.79 *Crescimento!#REF!) - (3.13 * Crescimento!#REF!*Crescimento!#REF!)</f>
        <v>#REF!</v>
      </c>
      <c r="Z13" s="6" t="e">
        <f>(AA12+(Crescimento!#REF!-(AA12*0.64))/0.8)/1000</f>
        <v>#REF!</v>
      </c>
      <c r="AA13" s="7" t="e">
        <f>-53.07 + (304.89 * (Z13)) + (90.79 *Crescimento!#REF!) - (3.13 * Crescimento!#REF!*Crescimento!#REF!)</f>
        <v>#REF!</v>
      </c>
      <c r="AB13" s="1"/>
      <c r="AC13" s="6" t="e">
        <f>(AD12+(Crescimento!#REF!-(AD12*0.64))/0.8)/1000</f>
        <v>#REF!</v>
      </c>
      <c r="AD13" s="7" t="e">
        <f>-53.07 + (304.89 * (AC13)) + (90.79 *Crescimento!#REF!) - (3.13 * Crescimento!#REF!*Crescimento!#REF!)</f>
        <v>#REF!</v>
      </c>
      <c r="AF13" s="6" t="e">
        <f>(AG12+(Crescimento!#REF!-(AG12*0.64))/0.8)/1000</f>
        <v>#REF!</v>
      </c>
      <c r="AG13" s="7" t="e">
        <f>-53.07 + (304.89 * (AF13)) + (90.79 *Crescimento!#REF!) - (3.13 * Crescimento!#REF!*Crescimento!#REF!)</f>
        <v>#REF!</v>
      </c>
      <c r="AI13" s="6" t="e">
        <f>(AJ12+(Crescimento!#REF!-(AJ12*0.64))/0.8)/1000</f>
        <v>#REF!</v>
      </c>
      <c r="AJ13" s="7" t="e">
        <f>-53.07 + (304.89 * (AI13)) + (90.79 *Crescimento!#REF!) - (3.13 * Crescimento!#REF!*Crescimento!#REF!)</f>
        <v>#REF!</v>
      </c>
      <c r="AL13" s="6" t="e">
        <f>(AM12+(Crescimento!#REF!-(AM12*0.64))/0.8)/1000</f>
        <v>#REF!</v>
      </c>
      <c r="AM13" s="7" t="e">
        <f>-53.07 + (304.89 * (AL13)) + (90.79 *Crescimento!#REF!) - (3.13 * Crescimento!#REF!*Crescimento!#REF!)</f>
        <v>#REF!</v>
      </c>
      <c r="AN13" s="1"/>
      <c r="AO13" s="6" t="e">
        <f>(AP12+(Crescimento!#REF!-(AP12*0.64))/0.8)/1000</f>
        <v>#REF!</v>
      </c>
      <c r="AP13" s="7" t="e">
        <f>-53.07 + (304.89 * (AO13)) + (90.79 *Crescimento!#REF!) - (3.13 * Crescimento!#REF!*Crescimento!#REF!)</f>
        <v>#REF!</v>
      </c>
      <c r="AR13" s="6" t="e">
        <f>(AS12+(Crescimento!#REF!-(AS12*0.64))/0.8)/1000</f>
        <v>#REF!</v>
      </c>
      <c r="AS13" s="7" t="e">
        <f>-53.07 + (304.89 * (AR13)) + (90.79 *Crescimento!#REF!) - (3.13 * Crescimento!#REF!*Crescimento!#REF!)</f>
        <v>#REF!</v>
      </c>
      <c r="AU13" s="6" t="e">
        <f>(AV12+(Crescimento!#REF!-(AV12*0.64))/0.8)/1000</f>
        <v>#REF!</v>
      </c>
      <c r="AV13" s="7" t="e">
        <f>-53.07 + (304.89 * (AU13)) + (90.79 *Crescimento!#REF!) - (3.13 * Crescimento!#REF!*Crescimento!#REF!)</f>
        <v>#REF!</v>
      </c>
      <c r="AX13" s="6" t="e">
        <f>(AY12+(Crescimento!#REF!-(AY12*0.64))/0.8)/1000</f>
        <v>#REF!</v>
      </c>
      <c r="AY13" s="7" t="e">
        <f>-53.07 + (304.89 * (AX13)) + (90.79 *Crescimento!#REF!) - (3.13 * Crescimento!#REF!*Crescimento!#REF!)</f>
        <v>#REF!</v>
      </c>
      <c r="AZ13" s="1"/>
      <c r="BA13" s="6" t="e">
        <f>(BB12+(Crescimento!#REF!-(BB12*0.64))/0.8)/1000</f>
        <v>#REF!</v>
      </c>
      <c r="BB13" s="7" t="e">
        <f>-53.07 + (304.89 * (BA13)) + (90.79 *Crescimento!#REF!) - (3.13 * Crescimento!#REF!*Crescimento!#REF!)</f>
        <v>#REF!</v>
      </c>
      <c r="BD13" s="6" t="e">
        <f>(BE12+(Crescimento!#REF!-(BE12*0.64))/0.8)/1000</f>
        <v>#REF!</v>
      </c>
      <c r="BE13" s="7" t="e">
        <f>-53.07 + (304.89 * (BD13)) + (90.79 *Crescimento!#REF!) - (3.13 * Crescimento!#REF!*Crescimento!#REF!)</f>
        <v>#REF!</v>
      </c>
      <c r="BG13" s="6" t="e">
        <f>(BH12+(Crescimento!#REF!-(BH12*0.64))/0.8)/1000</f>
        <v>#REF!</v>
      </c>
      <c r="BH13" s="7" t="e">
        <f>-53.07 + (304.89 * (BG13)) + (90.79 *Crescimento!#REF!) - (3.13 * Crescimento!#REF!*Crescimento!#REF!)</f>
        <v>#REF!</v>
      </c>
      <c r="BJ13" s="6" t="e">
        <f>(BK12+(Crescimento!#REF!-(BK12*0.64))/0.8)/1000</f>
        <v>#REF!</v>
      </c>
      <c r="BK13" s="7" t="e">
        <f>-53.07 + (304.89 * (BJ13)) + (90.79 *Crescimento!#REF!) - (3.13 * Crescimento!#REF!*Crescimento!#REF!)</f>
        <v>#REF!</v>
      </c>
      <c r="BL13" s="1"/>
      <c r="BM13" s="6" t="e">
        <f>(BN12+(Crescimento!#REF!-(BN12*0.64))/0.8)/1000</f>
        <v>#REF!</v>
      </c>
      <c r="BN13" s="7" t="e">
        <f>-53.07 + (304.89 * (BM13)) + (90.79 *Crescimento!#REF!) - (3.13 * Crescimento!#REF!*Crescimento!#REF!)</f>
        <v>#REF!</v>
      </c>
      <c r="BP13" s="6" t="e">
        <f>(BQ12+(Crescimento!#REF!-(BQ12*0.64))/0.8)/1000</f>
        <v>#REF!</v>
      </c>
      <c r="BQ13" s="7" t="e">
        <f>-53.07 + (304.89 * (BP13)) + (90.79 *Crescimento!#REF!) - (3.13 * Crescimento!#REF!*Crescimento!#REF!)</f>
        <v>#REF!</v>
      </c>
      <c r="BS13" s="6" t="e">
        <f>(BT12+(Crescimento!#REF!-(BT12*0.64))/0.8)/1000</f>
        <v>#REF!</v>
      </c>
      <c r="BT13" s="7" t="e">
        <f>-53.07 + (304.89 * (BS13)) + (90.79 *Crescimento!#REF!) - (3.13 * Crescimento!#REF!*Crescimento!#REF!)</f>
        <v>#REF!</v>
      </c>
      <c r="BV13" s="6" t="e">
        <f>(BW12+(Crescimento!#REF!-(BW12*0.64))/0.8)/1000</f>
        <v>#REF!</v>
      </c>
      <c r="BW13" s="7" t="e">
        <f>-53.07 + (304.89 * (BV13)) + (90.79 *Crescimento!#REF!) - (3.13 * Crescimento!#REF!*Crescimento!#REF!)</f>
        <v>#REF!</v>
      </c>
      <c r="BX13" s="1"/>
      <c r="BY13" s="6" t="e">
        <f>(BZ12+(Crescimento!#REF!-(BZ12*0.64))/0.8)/1000</f>
        <v>#REF!</v>
      </c>
      <c r="BZ13" s="7" t="e">
        <f>-53.07 + (304.89 * (BY13)) + (90.79 *Crescimento!#REF!) - (3.13 * Crescimento!#REF!*Crescimento!#REF!)</f>
        <v>#REF!</v>
      </c>
      <c r="CB13" s="6" t="e">
        <f>(CC12+(Crescimento!#REF!-(CC12*0.64))/0.8)/1000</f>
        <v>#REF!</v>
      </c>
      <c r="CC13" s="7" t="e">
        <f>-53.07 + (304.89 * (CB13)) + (90.79 *Crescimento!#REF!) - (3.13 * Crescimento!#REF!*Crescimento!#REF!)</f>
        <v>#REF!</v>
      </c>
      <c r="CE13" s="6" t="e">
        <f>(CF12+(Crescimento!#REF!-(CF12*0.64))/0.8)/1000</f>
        <v>#REF!</v>
      </c>
      <c r="CF13" s="7" t="e">
        <f>-53.07 + (304.89 * (CE13)) + (90.79 *Crescimento!#REF!) - (3.13 * Crescimento!#REF!*Crescimento!#REF!)</f>
        <v>#REF!</v>
      </c>
      <c r="CH13" s="6" t="e">
        <f>(CI12+(Crescimento!#REF!-(CI12*0.64))/0.8)/1000</f>
        <v>#REF!</v>
      </c>
      <c r="CI13" s="7" t="e">
        <f>-53.07 + (304.89 * (CH13)) + (90.79 *Crescimento!#REF!) - (3.13 * Crescimento!#REF!*Crescimento!#REF!)</f>
        <v>#REF!</v>
      </c>
      <c r="CJ13" s="1"/>
      <c r="CK13" s="6" t="e">
        <f>(CL12+(Crescimento!#REF!-(CL12*0.64))/0.8)/1000</f>
        <v>#REF!</v>
      </c>
      <c r="CL13" s="7" t="e">
        <f>-53.07 + (304.89 * (CK13)) + (90.79 *Crescimento!#REF!) - (3.13 * Crescimento!#REF!*Crescimento!#REF!)</f>
        <v>#REF!</v>
      </c>
      <c r="CN13" s="6" t="e">
        <f>(CO12+(Crescimento!#REF!-(CO12*0.64))/0.8)/1000</f>
        <v>#REF!</v>
      </c>
      <c r="CO13" s="7" t="e">
        <f>-53.07 + (304.89 * (CN13)) + (90.79 *Crescimento!#REF!) - (3.13 * Crescimento!#REF!*Crescimento!#REF!)</f>
        <v>#REF!</v>
      </c>
      <c r="CQ13" s="6" t="e">
        <f>(CR12+(Crescimento!#REF!-(CR12*0.64))/0.8)/1000</f>
        <v>#REF!</v>
      </c>
      <c r="CR13" s="7" t="e">
        <f>-53.07 + (304.89 * (CQ13)) + (90.79 *Crescimento!#REF!) - (3.13 * Crescimento!#REF!*Crescimento!#REF!)</f>
        <v>#REF!</v>
      </c>
    </row>
    <row r="14" spans="1:97" ht="15" customHeight="1" x14ac:dyDescent="0.25">
      <c r="B14" s="6">
        <f>(C13+(Crescimento!$Q$27-(C13*0.64))/0.8)/1000</f>
        <v>1.1187993738011865</v>
      </c>
      <c r="C14" s="8">
        <f>-53.07 + (304.89 * (B14)) + (90.79 *Crescimento!$Q$20) - (3.13 * Crescimento!$Q$20*Crescimento!$Q$20)</f>
        <v>757.42870400822142</v>
      </c>
      <c r="D14" s="1"/>
      <c r="E14" s="6" t="e">
        <f>(F13+(Crescimento!#REF!-(F13*0.64))/0.8)/1000</f>
        <v>#REF!</v>
      </c>
      <c r="F14" s="7" t="e">
        <f>-53.07 + (304.89 * (E14)) + (90.79 *Crescimento!#REF!) - (3.13 * Crescimento!#REF!*Crescimento!#REF!)</f>
        <v>#REF!</v>
      </c>
      <c r="H14" s="6" t="e">
        <f>(I13+(Crescimento!#REF!-(I13*0.64))/0.8)/1000</f>
        <v>#REF!</v>
      </c>
      <c r="I14" s="7" t="e">
        <f>-53.07 + (304.89 * (H14)) + (90.79 *Crescimento!#REF!) - (3.13 * Crescimento!#REF!*Crescimento!#REF!)</f>
        <v>#REF!</v>
      </c>
      <c r="K14" s="6" t="e">
        <f>(L13+(Crescimento!#REF!-(L13*0.64))/0.8)/1000</f>
        <v>#REF!</v>
      </c>
      <c r="L14" s="7" t="e">
        <f>-53.07 + (304.89 * (K14)) + (90.79 *Crescimento!#REF!) - (3.13 * Crescimento!#REF!*Crescimento!#REF!)</f>
        <v>#REF!</v>
      </c>
      <c r="N14" s="6" t="e">
        <f>(O13+(Crescimento!#REF!-(O13*0.64))/0.8)/1000</f>
        <v>#REF!</v>
      </c>
      <c r="O14" s="7" t="e">
        <f>-53.07 + (304.89 * (N14)) + (90.79 *Crescimento!#REF!) - (3.13 * Crescimento!#REF!*Crescimento!#REF!)</f>
        <v>#REF!</v>
      </c>
      <c r="P14" s="1"/>
      <c r="Q14" s="6" t="e">
        <f>(R13+(Crescimento!#REF!-(R13*0.64))/0.8)/1000</f>
        <v>#REF!</v>
      </c>
      <c r="R14" s="7" t="e">
        <f>-53.07 + (304.89 * (Q14)) + (90.79 *Crescimento!#REF!) - (3.13 * Crescimento!#REF!*Crescimento!#REF!)</f>
        <v>#REF!</v>
      </c>
      <c r="T14" s="6" t="e">
        <f>(U13+(Crescimento!#REF!-(U13*0.64))/0.8)/1000</f>
        <v>#REF!</v>
      </c>
      <c r="U14" s="7" t="e">
        <f>-53.07 + (304.89 * (T14)) + (90.79 *Crescimento!#REF!) - (3.13 * Crescimento!#REF!*Crescimento!#REF!)</f>
        <v>#REF!</v>
      </c>
      <c r="W14" s="6" t="e">
        <f>(X13+(Crescimento!#REF!-(X13*0.64))/0.8)/1000</f>
        <v>#REF!</v>
      </c>
      <c r="X14" s="7" t="e">
        <f>-53.07 + (304.89 * (W14)) + (90.79 *Crescimento!#REF!) - (3.13 * Crescimento!#REF!*Crescimento!#REF!)</f>
        <v>#REF!</v>
      </c>
      <c r="Z14" s="6" t="e">
        <f>(AA13+(Crescimento!#REF!-(AA13*0.64))/0.8)/1000</f>
        <v>#REF!</v>
      </c>
      <c r="AA14" s="7" t="e">
        <f>-53.07 + (304.89 * (Z14)) + (90.79 *Crescimento!#REF!) - (3.13 * Crescimento!#REF!*Crescimento!#REF!)</f>
        <v>#REF!</v>
      </c>
      <c r="AB14" s="1"/>
      <c r="AC14" s="6" t="e">
        <f>(AD13+(Crescimento!#REF!-(AD13*0.64))/0.8)/1000</f>
        <v>#REF!</v>
      </c>
      <c r="AD14" s="7" t="e">
        <f>-53.07 + (304.89 * (AC14)) + (90.79 *Crescimento!#REF!) - (3.13 * Crescimento!#REF!*Crescimento!#REF!)</f>
        <v>#REF!</v>
      </c>
      <c r="AF14" s="6" t="e">
        <f>(AG13+(Crescimento!#REF!-(AG13*0.64))/0.8)/1000</f>
        <v>#REF!</v>
      </c>
      <c r="AG14" s="7" t="e">
        <f>-53.07 + (304.89 * (AF14)) + (90.79 *Crescimento!#REF!) - (3.13 * Crescimento!#REF!*Crescimento!#REF!)</f>
        <v>#REF!</v>
      </c>
      <c r="AI14" s="6" t="e">
        <f>(AJ13+(Crescimento!#REF!-(AJ13*0.64))/0.8)/1000</f>
        <v>#REF!</v>
      </c>
      <c r="AJ14" s="7" t="e">
        <f>-53.07 + (304.89 * (AI14)) + (90.79 *Crescimento!#REF!) - (3.13 * Crescimento!#REF!*Crescimento!#REF!)</f>
        <v>#REF!</v>
      </c>
      <c r="AL14" s="6" t="e">
        <f>(AM13+(Crescimento!#REF!-(AM13*0.64))/0.8)/1000</f>
        <v>#REF!</v>
      </c>
      <c r="AM14" s="7" t="e">
        <f>-53.07 + (304.89 * (AL14)) + (90.79 *Crescimento!#REF!) - (3.13 * Crescimento!#REF!*Crescimento!#REF!)</f>
        <v>#REF!</v>
      </c>
      <c r="AN14" s="1"/>
      <c r="AO14" s="6" t="e">
        <f>(AP13+(Crescimento!#REF!-(AP13*0.64))/0.8)/1000</f>
        <v>#REF!</v>
      </c>
      <c r="AP14" s="7" t="e">
        <f>-53.07 + (304.89 * (AO14)) + (90.79 *Crescimento!#REF!) - (3.13 * Crescimento!#REF!*Crescimento!#REF!)</f>
        <v>#REF!</v>
      </c>
      <c r="AR14" s="6" t="e">
        <f>(AS13+(Crescimento!#REF!-(AS13*0.64))/0.8)/1000</f>
        <v>#REF!</v>
      </c>
      <c r="AS14" s="7" t="e">
        <f>-53.07 + (304.89 * (AR14)) + (90.79 *Crescimento!#REF!) - (3.13 * Crescimento!#REF!*Crescimento!#REF!)</f>
        <v>#REF!</v>
      </c>
      <c r="AU14" s="6" t="e">
        <f>(AV13+(Crescimento!#REF!-(AV13*0.64))/0.8)/1000</f>
        <v>#REF!</v>
      </c>
      <c r="AV14" s="7" t="e">
        <f>-53.07 + (304.89 * (AU14)) + (90.79 *Crescimento!#REF!) - (3.13 * Crescimento!#REF!*Crescimento!#REF!)</f>
        <v>#REF!</v>
      </c>
      <c r="AX14" s="6" t="e">
        <f>(AY13+(Crescimento!#REF!-(AY13*0.64))/0.8)/1000</f>
        <v>#REF!</v>
      </c>
      <c r="AY14" s="7" t="e">
        <f>-53.07 + (304.89 * (AX14)) + (90.79 *Crescimento!#REF!) - (3.13 * Crescimento!#REF!*Crescimento!#REF!)</f>
        <v>#REF!</v>
      </c>
      <c r="AZ14" s="1"/>
      <c r="BA14" s="6" t="e">
        <f>(BB13+(Crescimento!#REF!-(BB13*0.64))/0.8)/1000</f>
        <v>#REF!</v>
      </c>
      <c r="BB14" s="7" t="e">
        <f>-53.07 + (304.89 * (BA14)) + (90.79 *Crescimento!#REF!) - (3.13 * Crescimento!#REF!*Crescimento!#REF!)</f>
        <v>#REF!</v>
      </c>
      <c r="BD14" s="6" t="e">
        <f>(BE13+(Crescimento!#REF!-(BE13*0.64))/0.8)/1000</f>
        <v>#REF!</v>
      </c>
      <c r="BE14" s="7" t="e">
        <f>-53.07 + (304.89 * (BD14)) + (90.79 *Crescimento!#REF!) - (3.13 * Crescimento!#REF!*Crescimento!#REF!)</f>
        <v>#REF!</v>
      </c>
      <c r="BG14" s="6" t="e">
        <f>(BH13+(Crescimento!#REF!-(BH13*0.64))/0.8)/1000</f>
        <v>#REF!</v>
      </c>
      <c r="BH14" s="7" t="e">
        <f>-53.07 + (304.89 * (BG14)) + (90.79 *Crescimento!#REF!) - (3.13 * Crescimento!#REF!*Crescimento!#REF!)</f>
        <v>#REF!</v>
      </c>
      <c r="BJ14" s="6" t="e">
        <f>(BK13+(Crescimento!#REF!-(BK13*0.64))/0.8)/1000</f>
        <v>#REF!</v>
      </c>
      <c r="BK14" s="7" t="e">
        <f>-53.07 + (304.89 * (BJ14)) + (90.79 *Crescimento!#REF!) - (3.13 * Crescimento!#REF!*Crescimento!#REF!)</f>
        <v>#REF!</v>
      </c>
      <c r="BL14" s="1"/>
      <c r="BM14" s="6" t="e">
        <f>(BN13+(Crescimento!#REF!-(BN13*0.64))/0.8)/1000</f>
        <v>#REF!</v>
      </c>
      <c r="BN14" s="7" t="e">
        <f>-53.07 + (304.89 * (BM14)) + (90.79 *Crescimento!#REF!) - (3.13 * Crescimento!#REF!*Crescimento!#REF!)</f>
        <v>#REF!</v>
      </c>
      <c r="BP14" s="6" t="e">
        <f>(BQ13+(Crescimento!#REF!-(BQ13*0.64))/0.8)/1000</f>
        <v>#REF!</v>
      </c>
      <c r="BQ14" s="7" t="e">
        <f>-53.07 + (304.89 * (BP14)) + (90.79 *Crescimento!#REF!) - (3.13 * Crescimento!#REF!*Crescimento!#REF!)</f>
        <v>#REF!</v>
      </c>
      <c r="BS14" s="6" t="e">
        <f>(BT13+(Crescimento!#REF!-(BT13*0.64))/0.8)/1000</f>
        <v>#REF!</v>
      </c>
      <c r="BT14" s="7" t="e">
        <f>-53.07 + (304.89 * (BS14)) + (90.79 *Crescimento!#REF!) - (3.13 * Crescimento!#REF!*Crescimento!#REF!)</f>
        <v>#REF!</v>
      </c>
      <c r="BV14" s="6" t="e">
        <f>(BW13+(Crescimento!#REF!-(BW13*0.64))/0.8)/1000</f>
        <v>#REF!</v>
      </c>
      <c r="BW14" s="7" t="e">
        <f>-53.07 + (304.89 * (BV14)) + (90.79 *Crescimento!#REF!) - (3.13 * Crescimento!#REF!*Crescimento!#REF!)</f>
        <v>#REF!</v>
      </c>
      <c r="BX14" s="1"/>
      <c r="BY14" s="6" t="e">
        <f>(BZ13+(Crescimento!#REF!-(BZ13*0.64))/0.8)/1000</f>
        <v>#REF!</v>
      </c>
      <c r="BZ14" s="7" t="e">
        <f>-53.07 + (304.89 * (BY14)) + (90.79 *Crescimento!#REF!) - (3.13 * Crescimento!#REF!*Crescimento!#REF!)</f>
        <v>#REF!</v>
      </c>
      <c r="CB14" s="6" t="e">
        <f>(CC13+(Crescimento!#REF!-(CC13*0.64))/0.8)/1000</f>
        <v>#REF!</v>
      </c>
      <c r="CC14" s="7" t="e">
        <f>-53.07 + (304.89 * (CB14)) + (90.79 *Crescimento!#REF!) - (3.13 * Crescimento!#REF!*Crescimento!#REF!)</f>
        <v>#REF!</v>
      </c>
      <c r="CE14" s="6" t="e">
        <f>(CF13+(Crescimento!#REF!-(CF13*0.64))/0.8)/1000</f>
        <v>#REF!</v>
      </c>
      <c r="CF14" s="7" t="e">
        <f>-53.07 + (304.89 * (CE14)) + (90.79 *Crescimento!#REF!) - (3.13 * Crescimento!#REF!*Crescimento!#REF!)</f>
        <v>#REF!</v>
      </c>
      <c r="CH14" s="6" t="e">
        <f>(CI13+(Crescimento!#REF!-(CI13*0.64))/0.8)/1000</f>
        <v>#REF!</v>
      </c>
      <c r="CI14" s="7" t="e">
        <f>-53.07 + (304.89 * (CH14)) + (90.79 *Crescimento!#REF!) - (3.13 * Crescimento!#REF!*Crescimento!#REF!)</f>
        <v>#REF!</v>
      </c>
      <c r="CJ14" s="1"/>
      <c r="CK14" s="6" t="e">
        <f>(CL13+(Crescimento!#REF!-(CL13*0.64))/0.8)/1000</f>
        <v>#REF!</v>
      </c>
      <c r="CL14" s="7" t="e">
        <f>-53.07 + (304.89 * (CK14)) + (90.79 *Crescimento!#REF!) - (3.13 * Crescimento!#REF!*Crescimento!#REF!)</f>
        <v>#REF!</v>
      </c>
      <c r="CN14" s="6" t="e">
        <f>(CO13+(Crescimento!#REF!-(CO13*0.64))/0.8)/1000</f>
        <v>#REF!</v>
      </c>
      <c r="CO14" s="7" t="e">
        <f>-53.07 + (304.89 * (CN14)) + (90.79 *Crescimento!#REF!) - (3.13 * Crescimento!#REF!*Crescimento!#REF!)</f>
        <v>#REF!</v>
      </c>
      <c r="CQ14" s="6" t="e">
        <f>(CR13+(Crescimento!#REF!-(CR13*0.64))/0.8)/1000</f>
        <v>#REF!</v>
      </c>
      <c r="CR14" s="7" t="e">
        <f>-53.07 + (304.89 * (CQ14)) + (90.79 *Crescimento!#REF!) - (3.13 * Crescimento!#REF!*Crescimento!#REF!)</f>
        <v>#REF!</v>
      </c>
    </row>
    <row r="15" spans="1:97" ht="15" customHeight="1" x14ac:dyDescent="0.25">
      <c r="B15" s="6">
        <f>(C14+(Crescimento!$Q$27-(C14*0.64))/0.8)/1000</f>
        <v>1.1187993738011861</v>
      </c>
      <c r="C15" s="8">
        <f>-53.07 + (304.89 * (B15)) + (90.79 *Crescimento!$Q$20) - (3.13 * Crescimento!$Q$20*Crescimento!$Q$20)</f>
        <v>757.4287040082213</v>
      </c>
      <c r="D15" s="1"/>
      <c r="E15" s="6" t="e">
        <f>(F14+(Crescimento!#REF!-(F14*0.64))/0.8)/1000</f>
        <v>#REF!</v>
      </c>
      <c r="F15" s="7" t="e">
        <f>-53.07 + (304.89 * (E15)) + (90.79 *Crescimento!#REF!) - (3.13 * Crescimento!#REF!*Crescimento!#REF!)</f>
        <v>#REF!</v>
      </c>
      <c r="H15" s="6" t="e">
        <f>(I14+(Crescimento!#REF!-(I14*0.64))/0.8)/1000</f>
        <v>#REF!</v>
      </c>
      <c r="I15" s="7" t="e">
        <f>-53.07 + (304.89 * (H15)) + (90.79 *Crescimento!#REF!) - (3.13 * Crescimento!#REF!*Crescimento!#REF!)</f>
        <v>#REF!</v>
      </c>
      <c r="K15" s="6" t="e">
        <f>(L14+(Crescimento!#REF!-(L14*0.64))/0.8)/1000</f>
        <v>#REF!</v>
      </c>
      <c r="L15" s="7" t="e">
        <f>-53.07 + (304.89 * (K15)) + (90.79 *Crescimento!#REF!) - (3.13 * Crescimento!#REF!*Crescimento!#REF!)</f>
        <v>#REF!</v>
      </c>
      <c r="N15" s="6" t="e">
        <f>(O14+(Crescimento!#REF!-(O14*0.64))/0.8)/1000</f>
        <v>#REF!</v>
      </c>
      <c r="O15" s="7" t="e">
        <f>-53.07 + (304.89 * (N15)) + (90.79 *Crescimento!#REF!) - (3.13 * Crescimento!#REF!*Crescimento!#REF!)</f>
        <v>#REF!</v>
      </c>
      <c r="P15" s="1"/>
      <c r="Q15" s="6" t="e">
        <f>(R14+(Crescimento!#REF!-(R14*0.64))/0.8)/1000</f>
        <v>#REF!</v>
      </c>
      <c r="R15" s="7" t="e">
        <f>-53.07 + (304.89 * (Q15)) + (90.79 *Crescimento!#REF!) - (3.13 * Crescimento!#REF!*Crescimento!#REF!)</f>
        <v>#REF!</v>
      </c>
      <c r="T15" s="6" t="e">
        <f>(U14+(Crescimento!#REF!-(U14*0.64))/0.8)/1000</f>
        <v>#REF!</v>
      </c>
      <c r="U15" s="7" t="e">
        <f>-53.07 + (304.89 * (T15)) + (90.79 *Crescimento!#REF!) - (3.13 * Crescimento!#REF!*Crescimento!#REF!)</f>
        <v>#REF!</v>
      </c>
      <c r="W15" s="6" t="e">
        <f>(X14+(Crescimento!#REF!-(X14*0.64))/0.8)/1000</f>
        <v>#REF!</v>
      </c>
      <c r="X15" s="7" t="e">
        <f>-53.07 + (304.89 * (W15)) + (90.79 *Crescimento!#REF!) - (3.13 * Crescimento!#REF!*Crescimento!#REF!)</f>
        <v>#REF!</v>
      </c>
      <c r="Z15" s="6" t="e">
        <f>(AA14+(Crescimento!#REF!-(AA14*0.64))/0.8)/1000</f>
        <v>#REF!</v>
      </c>
      <c r="AA15" s="7" t="e">
        <f>-53.07 + (304.89 * (Z15)) + (90.79 *Crescimento!#REF!) - (3.13 * Crescimento!#REF!*Crescimento!#REF!)</f>
        <v>#REF!</v>
      </c>
      <c r="AB15" s="1"/>
      <c r="AC15" s="6" t="e">
        <f>(AD14+(Crescimento!#REF!-(AD14*0.64))/0.8)/1000</f>
        <v>#REF!</v>
      </c>
      <c r="AD15" s="7" t="e">
        <f>-53.07 + (304.89 * (AC15)) + (90.79 *Crescimento!#REF!) - (3.13 * Crescimento!#REF!*Crescimento!#REF!)</f>
        <v>#REF!</v>
      </c>
      <c r="AF15" s="6" t="e">
        <f>(AG14+(Crescimento!#REF!-(AG14*0.64))/0.8)/1000</f>
        <v>#REF!</v>
      </c>
      <c r="AG15" s="7" t="e">
        <f>-53.07 + (304.89 * (AF15)) + (90.79 *Crescimento!#REF!) - (3.13 * Crescimento!#REF!*Crescimento!#REF!)</f>
        <v>#REF!</v>
      </c>
      <c r="AI15" s="6" t="e">
        <f>(AJ14+(Crescimento!#REF!-(AJ14*0.64))/0.8)/1000</f>
        <v>#REF!</v>
      </c>
      <c r="AJ15" s="7" t="e">
        <f>-53.07 + (304.89 * (AI15)) + (90.79 *Crescimento!#REF!) - (3.13 * Crescimento!#REF!*Crescimento!#REF!)</f>
        <v>#REF!</v>
      </c>
      <c r="AL15" s="6" t="e">
        <f>(AM14+(Crescimento!#REF!-(AM14*0.64))/0.8)/1000</f>
        <v>#REF!</v>
      </c>
      <c r="AM15" s="7" t="e">
        <f>-53.07 + (304.89 * (AL15)) + (90.79 *Crescimento!#REF!) - (3.13 * Crescimento!#REF!*Crescimento!#REF!)</f>
        <v>#REF!</v>
      </c>
      <c r="AN15" s="1"/>
      <c r="AO15" s="6" t="e">
        <f>(AP14+(Crescimento!#REF!-(AP14*0.64))/0.8)/1000</f>
        <v>#REF!</v>
      </c>
      <c r="AP15" s="7" t="e">
        <f>-53.07 + (304.89 * (AO15)) + (90.79 *Crescimento!#REF!) - (3.13 * Crescimento!#REF!*Crescimento!#REF!)</f>
        <v>#REF!</v>
      </c>
      <c r="AR15" s="6" t="e">
        <f>(AS14+(Crescimento!#REF!-(AS14*0.64))/0.8)/1000</f>
        <v>#REF!</v>
      </c>
      <c r="AS15" s="7" t="e">
        <f>-53.07 + (304.89 * (AR15)) + (90.79 *Crescimento!#REF!) - (3.13 * Crescimento!#REF!*Crescimento!#REF!)</f>
        <v>#REF!</v>
      </c>
      <c r="AU15" s="6" t="e">
        <f>(AV14+(Crescimento!#REF!-(AV14*0.64))/0.8)/1000</f>
        <v>#REF!</v>
      </c>
      <c r="AV15" s="7" t="e">
        <f>-53.07 + (304.89 * (AU15)) + (90.79 *Crescimento!#REF!) - (3.13 * Crescimento!#REF!*Crescimento!#REF!)</f>
        <v>#REF!</v>
      </c>
      <c r="AX15" s="6" t="e">
        <f>(AY14+(Crescimento!#REF!-(AY14*0.64))/0.8)/1000</f>
        <v>#REF!</v>
      </c>
      <c r="AY15" s="7" t="e">
        <f>-53.07 + (304.89 * (AX15)) + (90.79 *Crescimento!#REF!) - (3.13 * Crescimento!#REF!*Crescimento!#REF!)</f>
        <v>#REF!</v>
      </c>
      <c r="AZ15" s="1"/>
      <c r="BA15" s="6" t="e">
        <f>(BB14+(Crescimento!#REF!-(BB14*0.64))/0.8)/1000</f>
        <v>#REF!</v>
      </c>
      <c r="BB15" s="7" t="e">
        <f>-53.07 + (304.89 * (BA15)) + (90.79 *Crescimento!#REF!) - (3.13 * Crescimento!#REF!*Crescimento!#REF!)</f>
        <v>#REF!</v>
      </c>
      <c r="BD15" s="6" t="e">
        <f>(BE14+(Crescimento!#REF!-(BE14*0.64))/0.8)/1000</f>
        <v>#REF!</v>
      </c>
      <c r="BE15" s="7" t="e">
        <f>-53.07 + (304.89 * (BD15)) + (90.79 *Crescimento!#REF!) - (3.13 * Crescimento!#REF!*Crescimento!#REF!)</f>
        <v>#REF!</v>
      </c>
      <c r="BG15" s="6" t="e">
        <f>(BH14+(Crescimento!#REF!-(BH14*0.64))/0.8)/1000</f>
        <v>#REF!</v>
      </c>
      <c r="BH15" s="7" t="e">
        <f>-53.07 + (304.89 * (BG15)) + (90.79 *Crescimento!#REF!) - (3.13 * Crescimento!#REF!*Crescimento!#REF!)</f>
        <v>#REF!</v>
      </c>
      <c r="BJ15" s="6" t="e">
        <f>(BK14+(Crescimento!#REF!-(BK14*0.64))/0.8)/1000</f>
        <v>#REF!</v>
      </c>
      <c r="BK15" s="7" t="e">
        <f>-53.07 + (304.89 * (BJ15)) + (90.79 *Crescimento!#REF!) - (3.13 * Crescimento!#REF!*Crescimento!#REF!)</f>
        <v>#REF!</v>
      </c>
      <c r="BL15" s="1"/>
      <c r="BM15" s="6" t="e">
        <f>(BN14+(Crescimento!#REF!-(BN14*0.64))/0.8)/1000</f>
        <v>#REF!</v>
      </c>
      <c r="BN15" s="7" t="e">
        <f>-53.07 + (304.89 * (BM15)) + (90.79 *Crescimento!#REF!) - (3.13 * Crescimento!#REF!*Crescimento!#REF!)</f>
        <v>#REF!</v>
      </c>
      <c r="BP15" s="6" t="e">
        <f>(BQ14+(Crescimento!#REF!-(BQ14*0.64))/0.8)/1000</f>
        <v>#REF!</v>
      </c>
      <c r="BQ15" s="7" t="e">
        <f>-53.07 + (304.89 * (BP15)) + (90.79 *Crescimento!#REF!) - (3.13 * Crescimento!#REF!*Crescimento!#REF!)</f>
        <v>#REF!</v>
      </c>
      <c r="BS15" s="6" t="e">
        <f>(BT14+(Crescimento!#REF!-(BT14*0.64))/0.8)/1000</f>
        <v>#REF!</v>
      </c>
      <c r="BT15" s="7" t="e">
        <f>-53.07 + (304.89 * (BS15)) + (90.79 *Crescimento!#REF!) - (3.13 * Crescimento!#REF!*Crescimento!#REF!)</f>
        <v>#REF!</v>
      </c>
      <c r="BV15" s="6" t="e">
        <f>(BW14+(Crescimento!#REF!-(BW14*0.64))/0.8)/1000</f>
        <v>#REF!</v>
      </c>
      <c r="BW15" s="7" t="e">
        <f>-53.07 + (304.89 * (BV15)) + (90.79 *Crescimento!#REF!) - (3.13 * Crescimento!#REF!*Crescimento!#REF!)</f>
        <v>#REF!</v>
      </c>
      <c r="BX15" s="1"/>
      <c r="BY15" s="6" t="e">
        <f>(BZ14+(Crescimento!#REF!-(BZ14*0.64))/0.8)/1000</f>
        <v>#REF!</v>
      </c>
      <c r="BZ15" s="7" t="e">
        <f>-53.07 + (304.89 * (BY15)) + (90.79 *Crescimento!#REF!) - (3.13 * Crescimento!#REF!*Crescimento!#REF!)</f>
        <v>#REF!</v>
      </c>
      <c r="CB15" s="6" t="e">
        <f>(CC14+(Crescimento!#REF!-(CC14*0.64))/0.8)/1000</f>
        <v>#REF!</v>
      </c>
      <c r="CC15" s="7" t="e">
        <f>-53.07 + (304.89 * (CB15)) + (90.79 *Crescimento!#REF!) - (3.13 * Crescimento!#REF!*Crescimento!#REF!)</f>
        <v>#REF!</v>
      </c>
      <c r="CE15" s="6" t="e">
        <f>(CF14+(Crescimento!#REF!-(CF14*0.64))/0.8)/1000</f>
        <v>#REF!</v>
      </c>
      <c r="CF15" s="7" t="e">
        <f>-53.07 + (304.89 * (CE15)) + (90.79 *Crescimento!#REF!) - (3.13 * Crescimento!#REF!*Crescimento!#REF!)</f>
        <v>#REF!</v>
      </c>
      <c r="CH15" s="6" t="e">
        <f>(CI14+(Crescimento!#REF!-(CI14*0.64))/0.8)/1000</f>
        <v>#REF!</v>
      </c>
      <c r="CI15" s="7" t="e">
        <f>-53.07 + (304.89 * (CH15)) + (90.79 *Crescimento!#REF!) - (3.13 * Crescimento!#REF!*Crescimento!#REF!)</f>
        <v>#REF!</v>
      </c>
      <c r="CJ15" s="1"/>
      <c r="CK15" s="6" t="e">
        <f>(CL14+(Crescimento!#REF!-(CL14*0.64))/0.8)/1000</f>
        <v>#REF!</v>
      </c>
      <c r="CL15" s="7" t="e">
        <f>-53.07 + (304.89 * (CK15)) + (90.79 *Crescimento!#REF!) - (3.13 * Crescimento!#REF!*Crescimento!#REF!)</f>
        <v>#REF!</v>
      </c>
      <c r="CN15" s="6" t="e">
        <f>(CO14+(Crescimento!#REF!-(CO14*0.64))/0.8)/1000</f>
        <v>#REF!</v>
      </c>
      <c r="CO15" s="7" t="e">
        <f>-53.07 + (304.89 * (CN15)) + (90.79 *Crescimento!#REF!) - (3.13 * Crescimento!#REF!*Crescimento!#REF!)</f>
        <v>#REF!</v>
      </c>
      <c r="CQ15" s="6" t="e">
        <f>(CR14+(Crescimento!#REF!-(CR14*0.64))/0.8)/1000</f>
        <v>#REF!</v>
      </c>
      <c r="CR15" s="7" t="e">
        <f>-53.07 + (304.89 * (CQ15)) + (90.79 *Crescimento!#REF!) - (3.13 * Crescimento!#REF!*Crescimento!#REF!)</f>
        <v>#REF!</v>
      </c>
    </row>
    <row r="16" spans="1:97" ht="15" customHeight="1" x14ac:dyDescent="0.25">
      <c r="B16" s="6">
        <f>(C15+(Crescimento!$Q$27-(C15*0.64))/0.8)/1000</f>
        <v>1.1187993738011861</v>
      </c>
      <c r="C16" s="8">
        <f>-53.07 + (304.89 * (B16)) + (90.79 *Crescimento!$Q$20) - (3.13 * Crescimento!$Q$20*Crescimento!$Q$20)</f>
        <v>757.4287040082213</v>
      </c>
      <c r="D16" s="1"/>
      <c r="E16" s="6" t="e">
        <f>(F15+(Crescimento!#REF!-(F15*0.64))/0.8)/1000</f>
        <v>#REF!</v>
      </c>
      <c r="F16" s="7" t="e">
        <f>-53.07 + (304.89 * (E16)) + (90.79 *Crescimento!#REF!) - (3.13 * Crescimento!#REF!*Crescimento!#REF!)</f>
        <v>#REF!</v>
      </c>
      <c r="H16" s="6" t="e">
        <f>(I15+(Crescimento!#REF!-(I15*0.64))/0.8)/1000</f>
        <v>#REF!</v>
      </c>
      <c r="I16" s="7" t="e">
        <f>-53.07 + (304.89 * (H16)) + (90.79 *Crescimento!#REF!) - (3.13 * Crescimento!#REF!*Crescimento!#REF!)</f>
        <v>#REF!</v>
      </c>
      <c r="K16" s="6" t="e">
        <f>(L15+(Crescimento!#REF!-(L15*0.64))/0.8)/1000</f>
        <v>#REF!</v>
      </c>
      <c r="L16" s="7" t="e">
        <f>-53.07 + (304.89 * (K16)) + (90.79 *Crescimento!#REF!) - (3.13 * Crescimento!#REF!*Crescimento!#REF!)</f>
        <v>#REF!</v>
      </c>
      <c r="N16" s="6" t="e">
        <f>(O15+(Crescimento!#REF!-(O15*0.64))/0.8)/1000</f>
        <v>#REF!</v>
      </c>
      <c r="O16" s="7" t="e">
        <f>-53.07 + (304.89 * (N16)) + (90.79 *Crescimento!#REF!) - (3.13 * Crescimento!#REF!*Crescimento!#REF!)</f>
        <v>#REF!</v>
      </c>
      <c r="P16" s="1"/>
      <c r="Q16" s="6" t="e">
        <f>(R15+(Crescimento!#REF!-(R15*0.64))/0.8)/1000</f>
        <v>#REF!</v>
      </c>
      <c r="R16" s="7" t="e">
        <f>-53.07 + (304.89 * (Q16)) + (90.79 *Crescimento!#REF!) - (3.13 * Crescimento!#REF!*Crescimento!#REF!)</f>
        <v>#REF!</v>
      </c>
      <c r="T16" s="6" t="e">
        <f>(U15+(Crescimento!#REF!-(U15*0.64))/0.8)/1000</f>
        <v>#REF!</v>
      </c>
      <c r="U16" s="7" t="e">
        <f>-53.07 + (304.89 * (T16)) + (90.79 *Crescimento!#REF!) - (3.13 * Crescimento!#REF!*Crescimento!#REF!)</f>
        <v>#REF!</v>
      </c>
      <c r="W16" s="6" t="e">
        <f>(X15+(Crescimento!#REF!-(X15*0.64))/0.8)/1000</f>
        <v>#REF!</v>
      </c>
      <c r="X16" s="7" t="e">
        <f>-53.07 + (304.89 * (W16)) + (90.79 *Crescimento!#REF!) - (3.13 * Crescimento!#REF!*Crescimento!#REF!)</f>
        <v>#REF!</v>
      </c>
      <c r="Z16" s="6" t="e">
        <f>(AA15+(Crescimento!#REF!-(AA15*0.64))/0.8)/1000</f>
        <v>#REF!</v>
      </c>
      <c r="AA16" s="7" t="e">
        <f>-53.07 + (304.89 * (Z16)) + (90.79 *Crescimento!#REF!) - (3.13 * Crescimento!#REF!*Crescimento!#REF!)</f>
        <v>#REF!</v>
      </c>
      <c r="AB16" s="1"/>
      <c r="AC16" s="6" t="e">
        <f>(AD15+(Crescimento!#REF!-(AD15*0.64))/0.8)/1000</f>
        <v>#REF!</v>
      </c>
      <c r="AD16" s="7" t="e">
        <f>-53.07 + (304.89 * (AC16)) + (90.79 *Crescimento!#REF!) - (3.13 * Crescimento!#REF!*Crescimento!#REF!)</f>
        <v>#REF!</v>
      </c>
      <c r="AF16" s="6" t="e">
        <f>(AG15+(Crescimento!#REF!-(AG15*0.64))/0.8)/1000</f>
        <v>#REF!</v>
      </c>
      <c r="AG16" s="7" t="e">
        <f>-53.07 + (304.89 * (AF16)) + (90.79 *Crescimento!#REF!) - (3.13 * Crescimento!#REF!*Crescimento!#REF!)</f>
        <v>#REF!</v>
      </c>
      <c r="AI16" s="6" t="e">
        <f>(AJ15+(Crescimento!#REF!-(AJ15*0.64))/0.8)/1000</f>
        <v>#REF!</v>
      </c>
      <c r="AJ16" s="7" t="e">
        <f>-53.07 + (304.89 * (AI16)) + (90.79 *Crescimento!#REF!) - (3.13 * Crescimento!#REF!*Crescimento!#REF!)</f>
        <v>#REF!</v>
      </c>
      <c r="AL16" s="6" t="e">
        <f>(AM15+(Crescimento!#REF!-(AM15*0.64))/0.8)/1000</f>
        <v>#REF!</v>
      </c>
      <c r="AM16" s="7" t="e">
        <f>-53.07 + (304.89 * (AL16)) + (90.79 *Crescimento!#REF!) - (3.13 * Crescimento!#REF!*Crescimento!#REF!)</f>
        <v>#REF!</v>
      </c>
      <c r="AN16" s="1"/>
      <c r="AO16" s="6" t="e">
        <f>(AP15+(Crescimento!#REF!-(AP15*0.64))/0.8)/1000</f>
        <v>#REF!</v>
      </c>
      <c r="AP16" s="7" t="e">
        <f>-53.07 + (304.89 * (AO16)) + (90.79 *Crescimento!#REF!) - (3.13 * Crescimento!#REF!*Crescimento!#REF!)</f>
        <v>#REF!</v>
      </c>
      <c r="AR16" s="6" t="e">
        <f>(AS15+(Crescimento!#REF!-(AS15*0.64))/0.8)/1000</f>
        <v>#REF!</v>
      </c>
      <c r="AS16" s="7" t="e">
        <f>-53.07 + (304.89 * (AR16)) + (90.79 *Crescimento!#REF!) - (3.13 * Crescimento!#REF!*Crescimento!#REF!)</f>
        <v>#REF!</v>
      </c>
      <c r="AU16" s="6" t="e">
        <f>(AV15+(Crescimento!#REF!-(AV15*0.64))/0.8)/1000</f>
        <v>#REF!</v>
      </c>
      <c r="AV16" s="7" t="e">
        <f>-53.07 + (304.89 * (AU16)) + (90.79 *Crescimento!#REF!) - (3.13 * Crescimento!#REF!*Crescimento!#REF!)</f>
        <v>#REF!</v>
      </c>
      <c r="AX16" s="6" t="e">
        <f>(AY15+(Crescimento!#REF!-(AY15*0.64))/0.8)/1000</f>
        <v>#REF!</v>
      </c>
      <c r="AY16" s="7" t="e">
        <f>-53.07 + (304.89 * (AX16)) + (90.79 *Crescimento!#REF!) - (3.13 * Crescimento!#REF!*Crescimento!#REF!)</f>
        <v>#REF!</v>
      </c>
      <c r="AZ16" s="1"/>
      <c r="BA16" s="6" t="e">
        <f>(BB15+(Crescimento!#REF!-(BB15*0.64))/0.8)/1000</f>
        <v>#REF!</v>
      </c>
      <c r="BB16" s="7" t="e">
        <f>-53.07 + (304.89 * (BA16)) + (90.79 *Crescimento!#REF!) - (3.13 * Crescimento!#REF!*Crescimento!#REF!)</f>
        <v>#REF!</v>
      </c>
      <c r="BD16" s="6" t="e">
        <f>(BE15+(Crescimento!#REF!-(BE15*0.64))/0.8)/1000</f>
        <v>#REF!</v>
      </c>
      <c r="BE16" s="7" t="e">
        <f>-53.07 + (304.89 * (BD16)) + (90.79 *Crescimento!#REF!) - (3.13 * Crescimento!#REF!*Crescimento!#REF!)</f>
        <v>#REF!</v>
      </c>
      <c r="BG16" s="6" t="e">
        <f>(BH15+(Crescimento!#REF!-(BH15*0.64))/0.8)/1000</f>
        <v>#REF!</v>
      </c>
      <c r="BH16" s="7" t="e">
        <f>-53.07 + (304.89 * (BG16)) + (90.79 *Crescimento!#REF!) - (3.13 * Crescimento!#REF!*Crescimento!#REF!)</f>
        <v>#REF!</v>
      </c>
      <c r="BJ16" s="6" t="e">
        <f>(BK15+(Crescimento!#REF!-(BK15*0.64))/0.8)/1000</f>
        <v>#REF!</v>
      </c>
      <c r="BK16" s="7" t="e">
        <f>-53.07 + (304.89 * (BJ16)) + (90.79 *Crescimento!#REF!) - (3.13 * Crescimento!#REF!*Crescimento!#REF!)</f>
        <v>#REF!</v>
      </c>
      <c r="BL16" s="1"/>
      <c r="BM16" s="6" t="e">
        <f>(BN15+(Crescimento!#REF!-(BN15*0.64))/0.8)/1000</f>
        <v>#REF!</v>
      </c>
      <c r="BN16" s="7" t="e">
        <f>-53.07 + (304.89 * (BM16)) + (90.79 *Crescimento!#REF!) - (3.13 * Crescimento!#REF!*Crescimento!#REF!)</f>
        <v>#REF!</v>
      </c>
      <c r="BP16" s="6" t="e">
        <f>(BQ15+(Crescimento!#REF!-(BQ15*0.64))/0.8)/1000</f>
        <v>#REF!</v>
      </c>
      <c r="BQ16" s="7" t="e">
        <f>-53.07 + (304.89 * (BP16)) + (90.79 *Crescimento!#REF!) - (3.13 * Crescimento!#REF!*Crescimento!#REF!)</f>
        <v>#REF!</v>
      </c>
      <c r="BS16" s="6" t="e">
        <f>(BT15+(Crescimento!#REF!-(BT15*0.64))/0.8)/1000</f>
        <v>#REF!</v>
      </c>
      <c r="BT16" s="7" t="e">
        <f>-53.07 + (304.89 * (BS16)) + (90.79 *Crescimento!#REF!) - (3.13 * Crescimento!#REF!*Crescimento!#REF!)</f>
        <v>#REF!</v>
      </c>
      <c r="BV16" s="6" t="e">
        <f>(BW15+(Crescimento!#REF!-(BW15*0.64))/0.8)/1000</f>
        <v>#REF!</v>
      </c>
      <c r="BW16" s="7" t="e">
        <f>-53.07 + (304.89 * (BV16)) + (90.79 *Crescimento!#REF!) - (3.13 * Crescimento!#REF!*Crescimento!#REF!)</f>
        <v>#REF!</v>
      </c>
      <c r="BX16" s="1"/>
      <c r="BY16" s="6" t="e">
        <f>(BZ15+(Crescimento!#REF!-(BZ15*0.64))/0.8)/1000</f>
        <v>#REF!</v>
      </c>
      <c r="BZ16" s="7" t="e">
        <f>-53.07 + (304.89 * (BY16)) + (90.79 *Crescimento!#REF!) - (3.13 * Crescimento!#REF!*Crescimento!#REF!)</f>
        <v>#REF!</v>
      </c>
      <c r="CB16" s="6" t="e">
        <f>(CC15+(Crescimento!#REF!-(CC15*0.64))/0.8)/1000</f>
        <v>#REF!</v>
      </c>
      <c r="CC16" s="7" t="e">
        <f>-53.07 + (304.89 * (CB16)) + (90.79 *Crescimento!#REF!) - (3.13 * Crescimento!#REF!*Crescimento!#REF!)</f>
        <v>#REF!</v>
      </c>
      <c r="CE16" s="6" t="e">
        <f>(CF15+(Crescimento!#REF!-(CF15*0.64))/0.8)/1000</f>
        <v>#REF!</v>
      </c>
      <c r="CF16" s="7" t="e">
        <f>-53.07 + (304.89 * (CE16)) + (90.79 *Crescimento!#REF!) - (3.13 * Crescimento!#REF!*Crescimento!#REF!)</f>
        <v>#REF!</v>
      </c>
      <c r="CH16" s="6" t="e">
        <f>(CI15+(Crescimento!#REF!-(CI15*0.64))/0.8)/1000</f>
        <v>#REF!</v>
      </c>
      <c r="CI16" s="7" t="e">
        <f>-53.07 + (304.89 * (CH16)) + (90.79 *Crescimento!#REF!) - (3.13 * Crescimento!#REF!*Crescimento!#REF!)</f>
        <v>#REF!</v>
      </c>
      <c r="CJ16" s="1"/>
      <c r="CK16" s="6" t="e">
        <f>(CL15+(Crescimento!#REF!-(CL15*0.64))/0.8)/1000</f>
        <v>#REF!</v>
      </c>
      <c r="CL16" s="7" t="e">
        <f>-53.07 + (304.89 * (CK16)) + (90.79 *Crescimento!#REF!) - (3.13 * Crescimento!#REF!*Crescimento!#REF!)</f>
        <v>#REF!</v>
      </c>
      <c r="CN16" s="6" t="e">
        <f>(CO15+(Crescimento!#REF!-(CO15*0.64))/0.8)/1000</f>
        <v>#REF!</v>
      </c>
      <c r="CO16" s="7" t="e">
        <f>-53.07 + (304.89 * (CN16)) + (90.79 *Crescimento!#REF!) - (3.13 * Crescimento!#REF!*Crescimento!#REF!)</f>
        <v>#REF!</v>
      </c>
      <c r="CQ16" s="6" t="e">
        <f>(CR15+(Crescimento!#REF!-(CR15*0.64))/0.8)/1000</f>
        <v>#REF!</v>
      </c>
      <c r="CR16" s="7" t="e">
        <f>-53.07 + (304.89 * (CQ16)) + (90.79 *Crescimento!#REF!) - (3.13 * Crescimento!#REF!*Crescimento!#REF!)</f>
        <v>#REF!</v>
      </c>
    </row>
    <row r="17" spans="2:96" ht="15" customHeight="1" x14ac:dyDescent="0.25">
      <c r="B17" s="6">
        <f>(C16+(Crescimento!$Q$27-(C16*0.64))/0.8)/1000</f>
        <v>1.1187993738011861</v>
      </c>
      <c r="C17" s="8">
        <f>-53.07 + (304.89 * (B17)) + (90.79 *Crescimento!$Q$20) - (3.13 * Crescimento!$Q$20*Crescimento!$Q$20)</f>
        <v>757.4287040082213</v>
      </c>
      <c r="D17" s="1"/>
      <c r="E17" s="6" t="e">
        <f>(F16+(Crescimento!#REF!-(F16*0.64))/0.8)/1000</f>
        <v>#REF!</v>
      </c>
      <c r="F17" s="7" t="e">
        <f>-53.07 + (304.89 * (E17)) + (90.79 *Crescimento!#REF!) - (3.13 * Crescimento!#REF!*Crescimento!#REF!)</f>
        <v>#REF!</v>
      </c>
      <c r="H17" s="6" t="e">
        <f>(I16+(Crescimento!#REF!-(I16*0.64))/0.8)/1000</f>
        <v>#REF!</v>
      </c>
      <c r="I17" s="7" t="e">
        <f>-53.07 + (304.89 * (H17)) + (90.79 *Crescimento!#REF!) - (3.13 * Crescimento!#REF!*Crescimento!#REF!)</f>
        <v>#REF!</v>
      </c>
      <c r="K17" s="6" t="e">
        <f>(L16+(Crescimento!#REF!-(L16*0.64))/0.8)/1000</f>
        <v>#REF!</v>
      </c>
      <c r="L17" s="7" t="e">
        <f>-53.07 + (304.89 * (K17)) + (90.79 *Crescimento!#REF!) - (3.13 * Crescimento!#REF!*Crescimento!#REF!)</f>
        <v>#REF!</v>
      </c>
      <c r="N17" s="6" t="e">
        <f>(O16+(Crescimento!#REF!-(O16*0.64))/0.8)/1000</f>
        <v>#REF!</v>
      </c>
      <c r="O17" s="7" t="e">
        <f>-53.07 + (304.89 * (N17)) + (90.79 *Crescimento!#REF!) - (3.13 * Crescimento!#REF!*Crescimento!#REF!)</f>
        <v>#REF!</v>
      </c>
      <c r="P17" s="1"/>
      <c r="Q17" s="6" t="e">
        <f>(R16+(Crescimento!#REF!-(R16*0.64))/0.8)/1000</f>
        <v>#REF!</v>
      </c>
      <c r="R17" s="7" t="e">
        <f>-53.07 + (304.89 * (Q17)) + (90.79 *Crescimento!#REF!) - (3.13 * Crescimento!#REF!*Crescimento!#REF!)</f>
        <v>#REF!</v>
      </c>
      <c r="T17" s="6" t="e">
        <f>(U16+(Crescimento!#REF!-(U16*0.64))/0.8)/1000</f>
        <v>#REF!</v>
      </c>
      <c r="U17" s="7" t="e">
        <f>-53.07 + (304.89 * (T17)) + (90.79 *Crescimento!#REF!) - (3.13 * Crescimento!#REF!*Crescimento!#REF!)</f>
        <v>#REF!</v>
      </c>
      <c r="W17" s="6" t="e">
        <f>(X16+(Crescimento!#REF!-(X16*0.64))/0.8)/1000</f>
        <v>#REF!</v>
      </c>
      <c r="X17" s="7" t="e">
        <f>-53.07 + (304.89 * (W17)) + (90.79 *Crescimento!#REF!) - (3.13 * Crescimento!#REF!*Crescimento!#REF!)</f>
        <v>#REF!</v>
      </c>
      <c r="Z17" s="6" t="e">
        <f>(AA16+(Crescimento!#REF!-(AA16*0.64))/0.8)/1000</f>
        <v>#REF!</v>
      </c>
      <c r="AA17" s="7" t="e">
        <f>-53.07 + (304.89 * (Z17)) + (90.79 *Crescimento!#REF!) - (3.13 * Crescimento!#REF!*Crescimento!#REF!)</f>
        <v>#REF!</v>
      </c>
      <c r="AB17" s="1"/>
      <c r="AC17" s="6" t="e">
        <f>(AD16+(Crescimento!#REF!-(AD16*0.64))/0.8)/1000</f>
        <v>#REF!</v>
      </c>
      <c r="AD17" s="7" t="e">
        <f>-53.07 + (304.89 * (AC17)) + (90.79 *Crescimento!#REF!) - (3.13 * Crescimento!#REF!*Crescimento!#REF!)</f>
        <v>#REF!</v>
      </c>
      <c r="AF17" s="6" t="e">
        <f>(AG16+(Crescimento!#REF!-(AG16*0.64))/0.8)/1000</f>
        <v>#REF!</v>
      </c>
      <c r="AG17" s="7" t="e">
        <f>-53.07 + (304.89 * (AF17)) + (90.79 *Crescimento!#REF!) - (3.13 * Crescimento!#REF!*Crescimento!#REF!)</f>
        <v>#REF!</v>
      </c>
      <c r="AI17" s="6" t="e">
        <f>(AJ16+(Crescimento!#REF!-(AJ16*0.64))/0.8)/1000</f>
        <v>#REF!</v>
      </c>
      <c r="AJ17" s="7" t="e">
        <f>-53.07 + (304.89 * (AI17)) + (90.79 *Crescimento!#REF!) - (3.13 * Crescimento!#REF!*Crescimento!#REF!)</f>
        <v>#REF!</v>
      </c>
      <c r="AL17" s="6" t="e">
        <f>(AM16+(Crescimento!#REF!-(AM16*0.64))/0.8)/1000</f>
        <v>#REF!</v>
      </c>
      <c r="AM17" s="7" t="e">
        <f>-53.07 + (304.89 * (AL17)) + (90.79 *Crescimento!#REF!) - (3.13 * Crescimento!#REF!*Crescimento!#REF!)</f>
        <v>#REF!</v>
      </c>
      <c r="AN17" s="1"/>
      <c r="AO17" s="6" t="e">
        <f>(AP16+(Crescimento!#REF!-(AP16*0.64))/0.8)/1000</f>
        <v>#REF!</v>
      </c>
      <c r="AP17" s="7" t="e">
        <f>-53.07 + (304.89 * (AO17)) + (90.79 *Crescimento!#REF!) - (3.13 * Crescimento!#REF!*Crescimento!#REF!)</f>
        <v>#REF!</v>
      </c>
      <c r="AR17" s="6" t="e">
        <f>(AS16+(Crescimento!#REF!-(AS16*0.64))/0.8)/1000</f>
        <v>#REF!</v>
      </c>
      <c r="AS17" s="7" t="e">
        <f>-53.07 + (304.89 * (AR17)) + (90.79 *Crescimento!#REF!) - (3.13 * Crescimento!#REF!*Crescimento!#REF!)</f>
        <v>#REF!</v>
      </c>
      <c r="AU17" s="6" t="e">
        <f>(AV16+(Crescimento!#REF!-(AV16*0.64))/0.8)/1000</f>
        <v>#REF!</v>
      </c>
      <c r="AV17" s="7" t="e">
        <f>-53.07 + (304.89 * (AU17)) + (90.79 *Crescimento!#REF!) - (3.13 * Crescimento!#REF!*Crescimento!#REF!)</f>
        <v>#REF!</v>
      </c>
      <c r="AX17" s="6" t="e">
        <f>(AY16+(Crescimento!#REF!-(AY16*0.64))/0.8)/1000</f>
        <v>#REF!</v>
      </c>
      <c r="AY17" s="7" t="e">
        <f>-53.07 + (304.89 * (AX17)) + (90.79 *Crescimento!#REF!) - (3.13 * Crescimento!#REF!*Crescimento!#REF!)</f>
        <v>#REF!</v>
      </c>
      <c r="AZ17" s="1"/>
      <c r="BA17" s="6" t="e">
        <f>(BB16+(Crescimento!#REF!-(BB16*0.64))/0.8)/1000</f>
        <v>#REF!</v>
      </c>
      <c r="BB17" s="7" t="e">
        <f>-53.07 + (304.89 * (BA17)) + (90.79 *Crescimento!#REF!) - (3.13 * Crescimento!#REF!*Crescimento!#REF!)</f>
        <v>#REF!</v>
      </c>
      <c r="BD17" s="6" t="e">
        <f>(BE16+(Crescimento!#REF!-(BE16*0.64))/0.8)/1000</f>
        <v>#REF!</v>
      </c>
      <c r="BE17" s="7" t="e">
        <f>-53.07 + (304.89 * (BD17)) + (90.79 *Crescimento!#REF!) - (3.13 * Crescimento!#REF!*Crescimento!#REF!)</f>
        <v>#REF!</v>
      </c>
      <c r="BG17" s="6" t="e">
        <f>(BH16+(Crescimento!#REF!-(BH16*0.64))/0.8)/1000</f>
        <v>#REF!</v>
      </c>
      <c r="BH17" s="7" t="e">
        <f>-53.07 + (304.89 * (BG17)) + (90.79 *Crescimento!#REF!) - (3.13 * Crescimento!#REF!*Crescimento!#REF!)</f>
        <v>#REF!</v>
      </c>
      <c r="BJ17" s="6" t="e">
        <f>(BK16+(Crescimento!#REF!-(BK16*0.64))/0.8)/1000</f>
        <v>#REF!</v>
      </c>
      <c r="BK17" s="7" t="e">
        <f>-53.07 + (304.89 * (BJ17)) + (90.79 *Crescimento!#REF!) - (3.13 * Crescimento!#REF!*Crescimento!#REF!)</f>
        <v>#REF!</v>
      </c>
      <c r="BL17" s="1"/>
      <c r="BM17" s="6" t="e">
        <f>(BN16+(Crescimento!#REF!-(BN16*0.64))/0.8)/1000</f>
        <v>#REF!</v>
      </c>
      <c r="BN17" s="7" t="e">
        <f>-53.07 + (304.89 * (BM17)) + (90.79 *Crescimento!#REF!) - (3.13 * Crescimento!#REF!*Crescimento!#REF!)</f>
        <v>#REF!</v>
      </c>
      <c r="BP17" s="6" t="e">
        <f>(BQ16+(Crescimento!#REF!-(BQ16*0.64))/0.8)/1000</f>
        <v>#REF!</v>
      </c>
      <c r="BQ17" s="7" t="e">
        <f>-53.07 + (304.89 * (BP17)) + (90.79 *Crescimento!#REF!) - (3.13 * Crescimento!#REF!*Crescimento!#REF!)</f>
        <v>#REF!</v>
      </c>
      <c r="BS17" s="6" t="e">
        <f>(BT16+(Crescimento!#REF!-(BT16*0.64))/0.8)/1000</f>
        <v>#REF!</v>
      </c>
      <c r="BT17" s="7" t="e">
        <f>-53.07 + (304.89 * (BS17)) + (90.79 *Crescimento!#REF!) - (3.13 * Crescimento!#REF!*Crescimento!#REF!)</f>
        <v>#REF!</v>
      </c>
      <c r="BV17" s="6" t="e">
        <f>(BW16+(Crescimento!#REF!-(BW16*0.64))/0.8)/1000</f>
        <v>#REF!</v>
      </c>
      <c r="BW17" s="7" t="e">
        <f>-53.07 + (304.89 * (BV17)) + (90.79 *Crescimento!#REF!) - (3.13 * Crescimento!#REF!*Crescimento!#REF!)</f>
        <v>#REF!</v>
      </c>
      <c r="BX17" s="1"/>
      <c r="BY17" s="6" t="e">
        <f>(BZ16+(Crescimento!#REF!-(BZ16*0.64))/0.8)/1000</f>
        <v>#REF!</v>
      </c>
      <c r="BZ17" s="7" t="e">
        <f>-53.07 + (304.89 * (BY17)) + (90.79 *Crescimento!#REF!) - (3.13 * Crescimento!#REF!*Crescimento!#REF!)</f>
        <v>#REF!</v>
      </c>
      <c r="CB17" s="6" t="e">
        <f>(CC16+(Crescimento!#REF!-(CC16*0.64))/0.8)/1000</f>
        <v>#REF!</v>
      </c>
      <c r="CC17" s="7" t="e">
        <f>-53.07 + (304.89 * (CB17)) + (90.79 *Crescimento!#REF!) - (3.13 * Crescimento!#REF!*Crescimento!#REF!)</f>
        <v>#REF!</v>
      </c>
      <c r="CE17" s="6" t="e">
        <f>(CF16+(Crescimento!#REF!-(CF16*0.64))/0.8)/1000</f>
        <v>#REF!</v>
      </c>
      <c r="CF17" s="7" t="e">
        <f>-53.07 + (304.89 * (CE17)) + (90.79 *Crescimento!#REF!) - (3.13 * Crescimento!#REF!*Crescimento!#REF!)</f>
        <v>#REF!</v>
      </c>
      <c r="CH17" s="6" t="e">
        <f>(CI16+(Crescimento!#REF!-(CI16*0.64))/0.8)/1000</f>
        <v>#REF!</v>
      </c>
      <c r="CI17" s="7" t="e">
        <f>-53.07 + (304.89 * (CH17)) + (90.79 *Crescimento!#REF!) - (3.13 * Crescimento!#REF!*Crescimento!#REF!)</f>
        <v>#REF!</v>
      </c>
      <c r="CJ17" s="1"/>
      <c r="CK17" s="6" t="e">
        <f>(CL16+(Crescimento!#REF!-(CL16*0.64))/0.8)/1000</f>
        <v>#REF!</v>
      </c>
      <c r="CL17" s="7" t="e">
        <f>-53.07 + (304.89 * (CK17)) + (90.79 *Crescimento!#REF!) - (3.13 * Crescimento!#REF!*Crescimento!#REF!)</f>
        <v>#REF!</v>
      </c>
      <c r="CN17" s="6" t="e">
        <f>(CO16+(Crescimento!#REF!-(CO16*0.64))/0.8)/1000</f>
        <v>#REF!</v>
      </c>
      <c r="CO17" s="7" t="e">
        <f>-53.07 + (304.89 * (CN17)) + (90.79 *Crescimento!#REF!) - (3.13 * Crescimento!#REF!*Crescimento!#REF!)</f>
        <v>#REF!</v>
      </c>
      <c r="CQ17" s="6" t="e">
        <f>(CR16+(Crescimento!#REF!-(CR16*0.64))/0.8)/1000</f>
        <v>#REF!</v>
      </c>
      <c r="CR17" s="7" t="e">
        <f>-53.07 + (304.89 * (CQ17)) + (90.79 *Crescimento!#REF!) - (3.13 * Crescimento!#REF!*Crescimento!#REF!)</f>
        <v>#REF!</v>
      </c>
    </row>
    <row r="18" spans="2:96" ht="15" customHeight="1" x14ac:dyDescent="0.25">
      <c r="B18" s="6">
        <f>(C17+(Crescimento!$Q$27-(C17*0.64))/0.8)/1000</f>
        <v>1.1187993738011861</v>
      </c>
      <c r="C18" s="8">
        <f>-53.07 + (304.89 * (B18)) + (90.79 *Crescimento!$Q$20) - (3.13 * Crescimento!$Q$20*Crescimento!$Q$20)</f>
        <v>757.4287040082213</v>
      </c>
      <c r="D18" s="1"/>
      <c r="E18" s="6" t="e">
        <f>(F17+(Crescimento!#REF!-(F17*0.64))/0.8)/1000</f>
        <v>#REF!</v>
      </c>
      <c r="F18" s="7" t="e">
        <f>-53.07 + (304.89 * (E18)) + (90.79 *Crescimento!#REF!) - (3.13 * Crescimento!#REF!*Crescimento!#REF!)</f>
        <v>#REF!</v>
      </c>
      <c r="H18" s="6" t="e">
        <f>(I17+(Crescimento!#REF!-(I17*0.64))/0.8)/1000</f>
        <v>#REF!</v>
      </c>
      <c r="I18" s="7" t="e">
        <f>-53.07 + (304.89 * (H18)) + (90.79 *Crescimento!#REF!) - (3.13 * Crescimento!#REF!*Crescimento!#REF!)</f>
        <v>#REF!</v>
      </c>
      <c r="K18" s="6" t="e">
        <f>(L17+(Crescimento!#REF!-(L17*0.64))/0.8)/1000</f>
        <v>#REF!</v>
      </c>
      <c r="L18" s="7" t="e">
        <f>-53.07 + (304.89 * (K18)) + (90.79 *Crescimento!#REF!) - (3.13 * Crescimento!#REF!*Crescimento!#REF!)</f>
        <v>#REF!</v>
      </c>
      <c r="N18" s="6" t="e">
        <f>(O17+(Crescimento!#REF!-(O17*0.64))/0.8)/1000</f>
        <v>#REF!</v>
      </c>
      <c r="O18" s="7" t="e">
        <f>-53.07 + (304.89 * (N18)) + (90.79 *Crescimento!#REF!) - (3.13 * Crescimento!#REF!*Crescimento!#REF!)</f>
        <v>#REF!</v>
      </c>
      <c r="P18" s="1"/>
      <c r="Q18" s="6" t="e">
        <f>(R17+(Crescimento!#REF!-(R17*0.64))/0.8)/1000</f>
        <v>#REF!</v>
      </c>
      <c r="R18" s="7" t="e">
        <f>-53.07 + (304.89 * (Q18)) + (90.79 *Crescimento!#REF!) - (3.13 * Crescimento!#REF!*Crescimento!#REF!)</f>
        <v>#REF!</v>
      </c>
      <c r="T18" s="6" t="e">
        <f>(U17+(Crescimento!#REF!-(U17*0.64))/0.8)/1000</f>
        <v>#REF!</v>
      </c>
      <c r="U18" s="7" t="e">
        <f>-53.07 + (304.89 * (T18)) + (90.79 *Crescimento!#REF!) - (3.13 * Crescimento!#REF!*Crescimento!#REF!)</f>
        <v>#REF!</v>
      </c>
      <c r="W18" s="6" t="e">
        <f>(X17+(Crescimento!#REF!-(X17*0.64))/0.8)/1000</f>
        <v>#REF!</v>
      </c>
      <c r="X18" s="7" t="e">
        <f>-53.07 + (304.89 * (W18)) + (90.79 *Crescimento!#REF!) - (3.13 * Crescimento!#REF!*Crescimento!#REF!)</f>
        <v>#REF!</v>
      </c>
      <c r="Z18" s="6" t="e">
        <f>(AA17+(Crescimento!#REF!-(AA17*0.64))/0.8)/1000</f>
        <v>#REF!</v>
      </c>
      <c r="AA18" s="7" t="e">
        <f>-53.07 + (304.89 * (Z18)) + (90.79 *Crescimento!#REF!) - (3.13 * Crescimento!#REF!*Crescimento!#REF!)</f>
        <v>#REF!</v>
      </c>
      <c r="AB18" s="1"/>
      <c r="AC18" s="6" t="e">
        <f>(AD17+(Crescimento!#REF!-(AD17*0.64))/0.8)/1000</f>
        <v>#REF!</v>
      </c>
      <c r="AD18" s="7" t="e">
        <f>-53.07 + (304.89 * (AC18)) + (90.79 *Crescimento!#REF!) - (3.13 * Crescimento!#REF!*Crescimento!#REF!)</f>
        <v>#REF!</v>
      </c>
      <c r="AF18" s="6" t="e">
        <f>(AG17+(Crescimento!#REF!-(AG17*0.64))/0.8)/1000</f>
        <v>#REF!</v>
      </c>
      <c r="AG18" s="7" t="e">
        <f>-53.07 + (304.89 * (AF18)) + (90.79 *Crescimento!#REF!) - (3.13 * Crescimento!#REF!*Crescimento!#REF!)</f>
        <v>#REF!</v>
      </c>
      <c r="AI18" s="6" t="e">
        <f>(AJ17+(Crescimento!#REF!-(AJ17*0.64))/0.8)/1000</f>
        <v>#REF!</v>
      </c>
      <c r="AJ18" s="7" t="e">
        <f>-53.07 + (304.89 * (AI18)) + (90.79 *Crescimento!#REF!) - (3.13 * Crescimento!#REF!*Crescimento!#REF!)</f>
        <v>#REF!</v>
      </c>
      <c r="AL18" s="6" t="e">
        <f>(AM17+(Crescimento!#REF!-(AM17*0.64))/0.8)/1000</f>
        <v>#REF!</v>
      </c>
      <c r="AM18" s="7" t="e">
        <f>-53.07 + (304.89 * (AL18)) + (90.79 *Crescimento!#REF!) - (3.13 * Crescimento!#REF!*Crescimento!#REF!)</f>
        <v>#REF!</v>
      </c>
      <c r="AN18" s="1"/>
      <c r="AO18" s="6" t="e">
        <f>(AP17+(Crescimento!#REF!-(AP17*0.64))/0.8)/1000</f>
        <v>#REF!</v>
      </c>
      <c r="AP18" s="7" t="e">
        <f>-53.07 + (304.89 * (AO18)) + (90.79 *Crescimento!#REF!) - (3.13 * Crescimento!#REF!*Crescimento!#REF!)</f>
        <v>#REF!</v>
      </c>
      <c r="AR18" s="6" t="e">
        <f>(AS17+(Crescimento!#REF!-(AS17*0.64))/0.8)/1000</f>
        <v>#REF!</v>
      </c>
      <c r="AS18" s="7" t="e">
        <f>-53.07 + (304.89 * (AR18)) + (90.79 *Crescimento!#REF!) - (3.13 * Crescimento!#REF!*Crescimento!#REF!)</f>
        <v>#REF!</v>
      </c>
      <c r="AU18" s="6" t="e">
        <f>(AV17+(Crescimento!#REF!-(AV17*0.64))/0.8)/1000</f>
        <v>#REF!</v>
      </c>
      <c r="AV18" s="7" t="e">
        <f>-53.07 + (304.89 * (AU18)) + (90.79 *Crescimento!#REF!) - (3.13 * Crescimento!#REF!*Crescimento!#REF!)</f>
        <v>#REF!</v>
      </c>
      <c r="AX18" s="6" t="e">
        <f>(AY17+(Crescimento!#REF!-(AY17*0.64))/0.8)/1000</f>
        <v>#REF!</v>
      </c>
      <c r="AY18" s="7" t="e">
        <f>-53.07 + (304.89 * (AX18)) + (90.79 *Crescimento!#REF!) - (3.13 * Crescimento!#REF!*Crescimento!#REF!)</f>
        <v>#REF!</v>
      </c>
      <c r="AZ18" s="1"/>
      <c r="BA18" s="6" t="e">
        <f>(BB17+(Crescimento!#REF!-(BB17*0.64))/0.8)/1000</f>
        <v>#REF!</v>
      </c>
      <c r="BB18" s="7" t="e">
        <f>-53.07 + (304.89 * (BA18)) + (90.79 *Crescimento!#REF!) - (3.13 * Crescimento!#REF!*Crescimento!#REF!)</f>
        <v>#REF!</v>
      </c>
      <c r="BD18" s="6" t="e">
        <f>(BE17+(Crescimento!#REF!-(BE17*0.64))/0.8)/1000</f>
        <v>#REF!</v>
      </c>
      <c r="BE18" s="7" t="e">
        <f>-53.07 + (304.89 * (BD18)) + (90.79 *Crescimento!#REF!) - (3.13 * Crescimento!#REF!*Crescimento!#REF!)</f>
        <v>#REF!</v>
      </c>
      <c r="BG18" s="6" t="e">
        <f>(BH17+(Crescimento!#REF!-(BH17*0.64))/0.8)/1000</f>
        <v>#REF!</v>
      </c>
      <c r="BH18" s="7" t="e">
        <f>-53.07 + (304.89 * (BG18)) + (90.79 *Crescimento!#REF!) - (3.13 * Crescimento!#REF!*Crescimento!#REF!)</f>
        <v>#REF!</v>
      </c>
      <c r="BJ18" s="6" t="e">
        <f>(BK17+(Crescimento!#REF!-(BK17*0.64))/0.8)/1000</f>
        <v>#REF!</v>
      </c>
      <c r="BK18" s="7" t="e">
        <f>-53.07 + (304.89 * (BJ18)) + (90.79 *Crescimento!#REF!) - (3.13 * Crescimento!#REF!*Crescimento!#REF!)</f>
        <v>#REF!</v>
      </c>
      <c r="BL18" s="1"/>
      <c r="BM18" s="6" t="e">
        <f>(BN17+(Crescimento!#REF!-(BN17*0.64))/0.8)/1000</f>
        <v>#REF!</v>
      </c>
      <c r="BN18" s="7" t="e">
        <f>-53.07 + (304.89 * (BM18)) + (90.79 *Crescimento!#REF!) - (3.13 * Crescimento!#REF!*Crescimento!#REF!)</f>
        <v>#REF!</v>
      </c>
      <c r="BP18" s="6" t="e">
        <f>(BQ17+(Crescimento!#REF!-(BQ17*0.64))/0.8)/1000</f>
        <v>#REF!</v>
      </c>
      <c r="BQ18" s="7" t="e">
        <f>-53.07 + (304.89 * (BP18)) + (90.79 *Crescimento!#REF!) - (3.13 * Crescimento!#REF!*Crescimento!#REF!)</f>
        <v>#REF!</v>
      </c>
      <c r="BS18" s="6" t="e">
        <f>(BT17+(Crescimento!#REF!-(BT17*0.64))/0.8)/1000</f>
        <v>#REF!</v>
      </c>
      <c r="BT18" s="7" t="e">
        <f>-53.07 + (304.89 * (BS18)) + (90.79 *Crescimento!#REF!) - (3.13 * Crescimento!#REF!*Crescimento!#REF!)</f>
        <v>#REF!</v>
      </c>
      <c r="BV18" s="6" t="e">
        <f>(BW17+(Crescimento!#REF!-(BW17*0.64))/0.8)/1000</f>
        <v>#REF!</v>
      </c>
      <c r="BW18" s="7" t="e">
        <f>-53.07 + (304.89 * (BV18)) + (90.79 *Crescimento!#REF!) - (3.13 * Crescimento!#REF!*Crescimento!#REF!)</f>
        <v>#REF!</v>
      </c>
      <c r="BX18" s="1"/>
      <c r="BY18" s="6" t="e">
        <f>(BZ17+(Crescimento!#REF!-(BZ17*0.64))/0.8)/1000</f>
        <v>#REF!</v>
      </c>
      <c r="BZ18" s="7" t="e">
        <f>-53.07 + (304.89 * (BY18)) + (90.79 *Crescimento!#REF!) - (3.13 * Crescimento!#REF!*Crescimento!#REF!)</f>
        <v>#REF!</v>
      </c>
      <c r="CB18" s="6" t="e">
        <f>(CC17+(Crescimento!#REF!-(CC17*0.64))/0.8)/1000</f>
        <v>#REF!</v>
      </c>
      <c r="CC18" s="7" t="e">
        <f>-53.07 + (304.89 * (CB18)) + (90.79 *Crescimento!#REF!) - (3.13 * Crescimento!#REF!*Crescimento!#REF!)</f>
        <v>#REF!</v>
      </c>
      <c r="CE18" s="6" t="e">
        <f>(CF17+(Crescimento!#REF!-(CF17*0.64))/0.8)/1000</f>
        <v>#REF!</v>
      </c>
      <c r="CF18" s="7" t="e">
        <f>-53.07 + (304.89 * (CE18)) + (90.79 *Crescimento!#REF!) - (3.13 * Crescimento!#REF!*Crescimento!#REF!)</f>
        <v>#REF!</v>
      </c>
      <c r="CH18" s="6" t="e">
        <f>(CI17+(Crescimento!#REF!-(CI17*0.64))/0.8)/1000</f>
        <v>#REF!</v>
      </c>
      <c r="CI18" s="7" t="e">
        <f>-53.07 + (304.89 * (CH18)) + (90.79 *Crescimento!#REF!) - (3.13 * Crescimento!#REF!*Crescimento!#REF!)</f>
        <v>#REF!</v>
      </c>
      <c r="CJ18" s="1"/>
      <c r="CK18" s="6" t="e">
        <f>(CL17+(Crescimento!#REF!-(CL17*0.64))/0.8)/1000</f>
        <v>#REF!</v>
      </c>
      <c r="CL18" s="7" t="e">
        <f>-53.07 + (304.89 * (CK18)) + (90.79 *Crescimento!#REF!) - (3.13 * Crescimento!#REF!*Crescimento!#REF!)</f>
        <v>#REF!</v>
      </c>
      <c r="CN18" s="6" t="e">
        <f>(CO17+(Crescimento!#REF!-(CO17*0.64))/0.8)/1000</f>
        <v>#REF!</v>
      </c>
      <c r="CO18" s="7" t="e">
        <f>-53.07 + (304.89 * (CN18)) + (90.79 *Crescimento!#REF!) - (3.13 * Crescimento!#REF!*Crescimento!#REF!)</f>
        <v>#REF!</v>
      </c>
      <c r="CQ18" s="6" t="e">
        <f>(CR17+(Crescimento!#REF!-(CR17*0.64))/0.8)/1000</f>
        <v>#REF!</v>
      </c>
      <c r="CR18" s="7" t="e">
        <f>-53.07 + (304.89 * (CQ18)) + (90.79 *Crescimento!#REF!) - (3.13 * Crescimento!#REF!*Crescimento!#REF!)</f>
        <v>#REF!</v>
      </c>
    </row>
    <row r="19" spans="2:96" ht="15" customHeight="1" x14ac:dyDescent="0.25">
      <c r="B19" s="6">
        <f>(C18+(Crescimento!$Q$27-(C18*0.64))/0.8)/1000</f>
        <v>1.1187993738011861</v>
      </c>
      <c r="C19" s="8">
        <f>-53.07 + (304.89 * (B19)) + (90.79 *Crescimento!$Q$20) - (3.13 * Crescimento!$Q$20*Crescimento!$Q$20)</f>
        <v>757.4287040082213</v>
      </c>
      <c r="D19" s="1"/>
      <c r="E19" s="6" t="e">
        <f>(F18+(Crescimento!#REF!-(F18*0.64))/0.8)/1000</f>
        <v>#REF!</v>
      </c>
      <c r="F19" s="7" t="e">
        <f>-53.07 + (304.89 * (E19)) + (90.79 *Crescimento!#REF!) - (3.13 * Crescimento!#REF!*Crescimento!#REF!)</f>
        <v>#REF!</v>
      </c>
      <c r="H19" s="6" t="e">
        <f>(I18+(Crescimento!#REF!-(I18*0.64))/0.8)/1000</f>
        <v>#REF!</v>
      </c>
      <c r="I19" s="7" t="e">
        <f>-53.07 + (304.89 * (H19)) + (90.79 *Crescimento!#REF!) - (3.13 * Crescimento!#REF!*Crescimento!#REF!)</f>
        <v>#REF!</v>
      </c>
      <c r="K19" s="6" t="e">
        <f>(L18+(Crescimento!#REF!-(L18*0.64))/0.8)/1000</f>
        <v>#REF!</v>
      </c>
      <c r="L19" s="7" t="e">
        <f>-53.07 + (304.89 * (K19)) + (90.79 *Crescimento!#REF!) - (3.13 * Crescimento!#REF!*Crescimento!#REF!)</f>
        <v>#REF!</v>
      </c>
      <c r="N19" s="6" t="e">
        <f>(O18+(Crescimento!#REF!-(O18*0.64))/0.8)/1000</f>
        <v>#REF!</v>
      </c>
      <c r="O19" s="7" t="e">
        <f>-53.07 + (304.89 * (N19)) + (90.79 *Crescimento!#REF!) - (3.13 * Crescimento!#REF!*Crescimento!#REF!)</f>
        <v>#REF!</v>
      </c>
      <c r="P19" s="1"/>
      <c r="Q19" s="6" t="e">
        <f>(R18+(Crescimento!#REF!-(R18*0.64))/0.8)/1000</f>
        <v>#REF!</v>
      </c>
      <c r="R19" s="7" t="e">
        <f>-53.07 + (304.89 * (Q19)) + (90.79 *Crescimento!#REF!) - (3.13 * Crescimento!#REF!*Crescimento!#REF!)</f>
        <v>#REF!</v>
      </c>
      <c r="T19" s="6" t="e">
        <f>(U18+(Crescimento!#REF!-(U18*0.64))/0.8)/1000</f>
        <v>#REF!</v>
      </c>
      <c r="U19" s="7" t="e">
        <f>-53.07 + (304.89 * (T19)) + (90.79 *Crescimento!#REF!) - (3.13 * Crescimento!#REF!*Crescimento!#REF!)</f>
        <v>#REF!</v>
      </c>
      <c r="W19" s="6" t="e">
        <f>(X18+(Crescimento!#REF!-(X18*0.64))/0.8)/1000</f>
        <v>#REF!</v>
      </c>
      <c r="X19" s="7" t="e">
        <f>-53.07 + (304.89 * (W19)) + (90.79 *Crescimento!#REF!) - (3.13 * Crescimento!#REF!*Crescimento!#REF!)</f>
        <v>#REF!</v>
      </c>
      <c r="Z19" s="6" t="e">
        <f>(AA18+(Crescimento!#REF!-(AA18*0.64))/0.8)/1000</f>
        <v>#REF!</v>
      </c>
      <c r="AA19" s="7" t="e">
        <f>-53.07 + (304.89 * (Z19)) + (90.79 *Crescimento!#REF!) - (3.13 * Crescimento!#REF!*Crescimento!#REF!)</f>
        <v>#REF!</v>
      </c>
      <c r="AB19" s="1"/>
      <c r="AC19" s="6" t="e">
        <f>(AD18+(Crescimento!#REF!-(AD18*0.64))/0.8)/1000</f>
        <v>#REF!</v>
      </c>
      <c r="AD19" s="7" t="e">
        <f>-53.07 + (304.89 * (AC19)) + (90.79 *Crescimento!#REF!) - (3.13 * Crescimento!#REF!*Crescimento!#REF!)</f>
        <v>#REF!</v>
      </c>
      <c r="AF19" s="6" t="e">
        <f>(AG18+(Crescimento!#REF!-(AG18*0.64))/0.8)/1000</f>
        <v>#REF!</v>
      </c>
      <c r="AG19" s="7" t="e">
        <f>-53.07 + (304.89 * (AF19)) + (90.79 *Crescimento!#REF!) - (3.13 * Crescimento!#REF!*Crescimento!#REF!)</f>
        <v>#REF!</v>
      </c>
      <c r="AI19" s="6" t="e">
        <f>(AJ18+(Crescimento!#REF!-(AJ18*0.64))/0.8)/1000</f>
        <v>#REF!</v>
      </c>
      <c r="AJ19" s="7" t="e">
        <f>-53.07 + (304.89 * (AI19)) + (90.79 *Crescimento!#REF!) - (3.13 * Crescimento!#REF!*Crescimento!#REF!)</f>
        <v>#REF!</v>
      </c>
      <c r="AL19" s="6" t="e">
        <f>(AM18+(Crescimento!#REF!-(AM18*0.64))/0.8)/1000</f>
        <v>#REF!</v>
      </c>
      <c r="AM19" s="7" t="e">
        <f>-53.07 + (304.89 * (AL19)) + (90.79 *Crescimento!#REF!) - (3.13 * Crescimento!#REF!*Crescimento!#REF!)</f>
        <v>#REF!</v>
      </c>
      <c r="AN19" s="1"/>
      <c r="AO19" s="6" t="e">
        <f>(AP18+(Crescimento!#REF!-(AP18*0.64))/0.8)/1000</f>
        <v>#REF!</v>
      </c>
      <c r="AP19" s="7" t="e">
        <f>-53.07 + (304.89 * (AO19)) + (90.79 *Crescimento!#REF!) - (3.13 * Crescimento!#REF!*Crescimento!#REF!)</f>
        <v>#REF!</v>
      </c>
      <c r="AR19" s="6" t="e">
        <f>(AS18+(Crescimento!#REF!-(AS18*0.64))/0.8)/1000</f>
        <v>#REF!</v>
      </c>
      <c r="AS19" s="7" t="e">
        <f>-53.07 + (304.89 * (AR19)) + (90.79 *Crescimento!#REF!) - (3.13 * Crescimento!#REF!*Crescimento!#REF!)</f>
        <v>#REF!</v>
      </c>
      <c r="AU19" s="6" t="e">
        <f>(AV18+(Crescimento!#REF!-(AV18*0.64))/0.8)/1000</f>
        <v>#REF!</v>
      </c>
      <c r="AV19" s="7" t="e">
        <f>-53.07 + (304.89 * (AU19)) + (90.79 *Crescimento!#REF!) - (3.13 * Crescimento!#REF!*Crescimento!#REF!)</f>
        <v>#REF!</v>
      </c>
      <c r="AX19" s="6" t="e">
        <f>(AY18+(Crescimento!#REF!-(AY18*0.64))/0.8)/1000</f>
        <v>#REF!</v>
      </c>
      <c r="AY19" s="7" t="e">
        <f>-53.07 + (304.89 * (AX19)) + (90.79 *Crescimento!#REF!) - (3.13 * Crescimento!#REF!*Crescimento!#REF!)</f>
        <v>#REF!</v>
      </c>
      <c r="AZ19" s="1"/>
      <c r="BA19" s="6" t="e">
        <f>(BB18+(Crescimento!#REF!-(BB18*0.64))/0.8)/1000</f>
        <v>#REF!</v>
      </c>
      <c r="BB19" s="7" t="e">
        <f>-53.07 + (304.89 * (BA19)) + (90.79 *Crescimento!#REF!) - (3.13 * Crescimento!#REF!*Crescimento!#REF!)</f>
        <v>#REF!</v>
      </c>
      <c r="BD19" s="6" t="e">
        <f>(BE18+(Crescimento!#REF!-(BE18*0.64))/0.8)/1000</f>
        <v>#REF!</v>
      </c>
      <c r="BE19" s="7" t="e">
        <f>-53.07 + (304.89 * (BD19)) + (90.79 *Crescimento!#REF!) - (3.13 * Crescimento!#REF!*Crescimento!#REF!)</f>
        <v>#REF!</v>
      </c>
      <c r="BG19" s="6" t="e">
        <f>(BH18+(Crescimento!#REF!-(BH18*0.64))/0.8)/1000</f>
        <v>#REF!</v>
      </c>
      <c r="BH19" s="7" t="e">
        <f>-53.07 + (304.89 * (BG19)) + (90.79 *Crescimento!#REF!) - (3.13 * Crescimento!#REF!*Crescimento!#REF!)</f>
        <v>#REF!</v>
      </c>
      <c r="BJ19" s="6" t="e">
        <f>(BK18+(Crescimento!#REF!-(BK18*0.64))/0.8)/1000</f>
        <v>#REF!</v>
      </c>
      <c r="BK19" s="7" t="e">
        <f>-53.07 + (304.89 * (BJ19)) + (90.79 *Crescimento!#REF!) - (3.13 * Crescimento!#REF!*Crescimento!#REF!)</f>
        <v>#REF!</v>
      </c>
      <c r="BL19" s="1"/>
      <c r="BM19" s="6" t="e">
        <f>(BN18+(Crescimento!#REF!-(BN18*0.64))/0.8)/1000</f>
        <v>#REF!</v>
      </c>
      <c r="BN19" s="7" t="e">
        <f>-53.07 + (304.89 * (BM19)) + (90.79 *Crescimento!#REF!) - (3.13 * Crescimento!#REF!*Crescimento!#REF!)</f>
        <v>#REF!</v>
      </c>
      <c r="BP19" s="6" t="e">
        <f>(BQ18+(Crescimento!#REF!-(BQ18*0.64))/0.8)/1000</f>
        <v>#REF!</v>
      </c>
      <c r="BQ19" s="7" t="e">
        <f>-53.07 + (304.89 * (BP19)) + (90.79 *Crescimento!#REF!) - (3.13 * Crescimento!#REF!*Crescimento!#REF!)</f>
        <v>#REF!</v>
      </c>
      <c r="BS19" s="6" t="e">
        <f>(BT18+(Crescimento!#REF!-(BT18*0.64))/0.8)/1000</f>
        <v>#REF!</v>
      </c>
      <c r="BT19" s="7" t="e">
        <f>-53.07 + (304.89 * (BS19)) + (90.79 *Crescimento!#REF!) - (3.13 * Crescimento!#REF!*Crescimento!#REF!)</f>
        <v>#REF!</v>
      </c>
      <c r="BV19" s="6" t="e">
        <f>(BW18+(Crescimento!#REF!-(BW18*0.64))/0.8)/1000</f>
        <v>#REF!</v>
      </c>
      <c r="BW19" s="7" t="e">
        <f>-53.07 + (304.89 * (BV19)) + (90.79 *Crescimento!#REF!) - (3.13 * Crescimento!#REF!*Crescimento!#REF!)</f>
        <v>#REF!</v>
      </c>
      <c r="BX19" s="1"/>
      <c r="BY19" s="6" t="e">
        <f>(BZ18+(Crescimento!#REF!-(BZ18*0.64))/0.8)/1000</f>
        <v>#REF!</v>
      </c>
      <c r="BZ19" s="7" t="e">
        <f>-53.07 + (304.89 * (BY19)) + (90.79 *Crescimento!#REF!) - (3.13 * Crescimento!#REF!*Crescimento!#REF!)</f>
        <v>#REF!</v>
      </c>
      <c r="CB19" s="6" t="e">
        <f>(CC18+(Crescimento!#REF!-(CC18*0.64))/0.8)/1000</f>
        <v>#REF!</v>
      </c>
      <c r="CC19" s="7" t="e">
        <f>-53.07 + (304.89 * (CB19)) + (90.79 *Crescimento!#REF!) - (3.13 * Crescimento!#REF!*Crescimento!#REF!)</f>
        <v>#REF!</v>
      </c>
      <c r="CE19" s="6" t="e">
        <f>(CF18+(Crescimento!#REF!-(CF18*0.64))/0.8)/1000</f>
        <v>#REF!</v>
      </c>
      <c r="CF19" s="7" t="e">
        <f>-53.07 + (304.89 * (CE19)) + (90.79 *Crescimento!#REF!) - (3.13 * Crescimento!#REF!*Crescimento!#REF!)</f>
        <v>#REF!</v>
      </c>
      <c r="CH19" s="6" t="e">
        <f>(CI18+(Crescimento!#REF!-(CI18*0.64))/0.8)/1000</f>
        <v>#REF!</v>
      </c>
      <c r="CI19" s="7" t="e">
        <f>-53.07 + (304.89 * (CH19)) + (90.79 *Crescimento!#REF!) - (3.13 * Crescimento!#REF!*Crescimento!#REF!)</f>
        <v>#REF!</v>
      </c>
      <c r="CJ19" s="1"/>
      <c r="CK19" s="6" t="e">
        <f>(CL18+(Crescimento!#REF!-(CL18*0.64))/0.8)/1000</f>
        <v>#REF!</v>
      </c>
      <c r="CL19" s="7" t="e">
        <f>-53.07 + (304.89 * (CK19)) + (90.79 *Crescimento!#REF!) - (3.13 * Crescimento!#REF!*Crescimento!#REF!)</f>
        <v>#REF!</v>
      </c>
      <c r="CN19" s="6" t="e">
        <f>(CO18+(Crescimento!#REF!-(CO18*0.64))/0.8)/1000</f>
        <v>#REF!</v>
      </c>
      <c r="CO19" s="7" t="e">
        <f>-53.07 + (304.89 * (CN19)) + (90.79 *Crescimento!#REF!) - (3.13 * Crescimento!#REF!*Crescimento!#REF!)</f>
        <v>#REF!</v>
      </c>
      <c r="CQ19" s="6" t="e">
        <f>(CR18+(Crescimento!#REF!-(CR18*0.64))/0.8)/1000</f>
        <v>#REF!</v>
      </c>
      <c r="CR19" s="7" t="e">
        <f>-53.07 + (304.89 * (CQ19)) + (90.79 *Crescimento!#REF!) - (3.13 * Crescimento!#REF!*Crescimento!#REF!)</f>
        <v>#REF!</v>
      </c>
    </row>
    <row r="20" spans="2:96" ht="15" customHeight="1" x14ac:dyDescent="0.25">
      <c r="B20" s="6">
        <f>(C19+(Crescimento!$Q$27-(C19*0.64))/0.8)/1000</f>
        <v>1.1187993738011861</v>
      </c>
      <c r="C20" s="8">
        <f>-53.07 + (304.89 * (B20)) + (90.79 *Crescimento!$Q$20) - (3.13 * Crescimento!$Q$20*Crescimento!$Q$20)</f>
        <v>757.4287040082213</v>
      </c>
      <c r="D20" s="1"/>
      <c r="E20" s="6" t="e">
        <f>(F19+(Crescimento!#REF!-(F19*0.64))/0.8)/1000</f>
        <v>#REF!</v>
      </c>
      <c r="F20" s="7" t="e">
        <f>-53.07 + (304.89 * (E20)) + (90.79 *Crescimento!#REF!) - (3.13 * Crescimento!#REF!*Crescimento!#REF!)</f>
        <v>#REF!</v>
      </c>
      <c r="H20" s="6" t="e">
        <f>(I19+(Crescimento!#REF!-(I19*0.64))/0.8)/1000</f>
        <v>#REF!</v>
      </c>
      <c r="I20" s="7" t="e">
        <f>-53.07 + (304.89 * (H20)) + (90.79 *Crescimento!#REF!) - (3.13 * Crescimento!#REF!*Crescimento!#REF!)</f>
        <v>#REF!</v>
      </c>
      <c r="K20" s="6" t="e">
        <f>(L19+(Crescimento!#REF!-(L19*0.64))/0.8)/1000</f>
        <v>#REF!</v>
      </c>
      <c r="L20" s="7" t="e">
        <f>-53.07 + (304.89 * (K20)) + (90.79 *Crescimento!#REF!) - (3.13 * Crescimento!#REF!*Crescimento!#REF!)</f>
        <v>#REF!</v>
      </c>
      <c r="N20" s="6" t="e">
        <f>(O19+(Crescimento!#REF!-(O19*0.64))/0.8)/1000</f>
        <v>#REF!</v>
      </c>
      <c r="O20" s="7" t="e">
        <f>-53.07 + (304.89 * (N20)) + (90.79 *Crescimento!#REF!) - (3.13 * Crescimento!#REF!*Crescimento!#REF!)</f>
        <v>#REF!</v>
      </c>
      <c r="P20" s="1"/>
      <c r="Q20" s="6" t="e">
        <f>(R19+(Crescimento!#REF!-(R19*0.64))/0.8)/1000</f>
        <v>#REF!</v>
      </c>
      <c r="R20" s="7" t="e">
        <f>-53.07 + (304.89 * (Q20)) + (90.79 *Crescimento!#REF!) - (3.13 * Crescimento!#REF!*Crescimento!#REF!)</f>
        <v>#REF!</v>
      </c>
      <c r="T20" s="6" t="e">
        <f>(U19+(Crescimento!#REF!-(U19*0.64))/0.8)/1000</f>
        <v>#REF!</v>
      </c>
      <c r="U20" s="7" t="e">
        <f>-53.07 + (304.89 * (T20)) + (90.79 *Crescimento!#REF!) - (3.13 * Crescimento!#REF!*Crescimento!#REF!)</f>
        <v>#REF!</v>
      </c>
      <c r="W20" s="6" t="e">
        <f>(X19+(Crescimento!#REF!-(X19*0.64))/0.8)/1000</f>
        <v>#REF!</v>
      </c>
      <c r="X20" s="7" t="e">
        <f>-53.07 + (304.89 * (W20)) + (90.79 *Crescimento!#REF!) - (3.13 * Crescimento!#REF!*Crescimento!#REF!)</f>
        <v>#REF!</v>
      </c>
      <c r="Z20" s="6" t="e">
        <f>(AA19+(Crescimento!#REF!-(AA19*0.64))/0.8)/1000</f>
        <v>#REF!</v>
      </c>
      <c r="AA20" s="7" t="e">
        <f>-53.07 + (304.89 * (Z20)) + (90.79 *Crescimento!#REF!) - (3.13 * Crescimento!#REF!*Crescimento!#REF!)</f>
        <v>#REF!</v>
      </c>
      <c r="AB20" s="1"/>
      <c r="AC20" s="6" t="e">
        <f>(AD19+(Crescimento!#REF!-(AD19*0.64))/0.8)/1000</f>
        <v>#REF!</v>
      </c>
      <c r="AD20" s="7" t="e">
        <f>-53.07 + (304.89 * (AC20)) + (90.79 *Crescimento!#REF!) - (3.13 * Crescimento!#REF!*Crescimento!#REF!)</f>
        <v>#REF!</v>
      </c>
      <c r="AF20" s="6" t="e">
        <f>(AG19+(Crescimento!#REF!-(AG19*0.64))/0.8)/1000</f>
        <v>#REF!</v>
      </c>
      <c r="AG20" s="7" t="e">
        <f>-53.07 + (304.89 * (AF20)) + (90.79 *Crescimento!#REF!) - (3.13 * Crescimento!#REF!*Crescimento!#REF!)</f>
        <v>#REF!</v>
      </c>
      <c r="AI20" s="6" t="e">
        <f>(AJ19+(Crescimento!#REF!-(AJ19*0.64))/0.8)/1000</f>
        <v>#REF!</v>
      </c>
      <c r="AJ20" s="7" t="e">
        <f>-53.07 + (304.89 * (AI20)) + (90.79 *Crescimento!#REF!) - (3.13 * Crescimento!#REF!*Crescimento!#REF!)</f>
        <v>#REF!</v>
      </c>
      <c r="AL20" s="6" t="e">
        <f>(AM19+(Crescimento!#REF!-(AM19*0.64))/0.8)/1000</f>
        <v>#REF!</v>
      </c>
      <c r="AM20" s="7" t="e">
        <f>-53.07 + (304.89 * (AL20)) + (90.79 *Crescimento!#REF!) - (3.13 * Crescimento!#REF!*Crescimento!#REF!)</f>
        <v>#REF!</v>
      </c>
      <c r="AN20" s="1"/>
      <c r="AO20" s="6" t="e">
        <f>(AP19+(Crescimento!#REF!-(AP19*0.64))/0.8)/1000</f>
        <v>#REF!</v>
      </c>
      <c r="AP20" s="7" t="e">
        <f>-53.07 + (304.89 * (AO20)) + (90.79 *Crescimento!#REF!) - (3.13 * Crescimento!#REF!*Crescimento!#REF!)</f>
        <v>#REF!</v>
      </c>
      <c r="AR20" s="6" t="e">
        <f>(AS19+(Crescimento!#REF!-(AS19*0.64))/0.8)/1000</f>
        <v>#REF!</v>
      </c>
      <c r="AS20" s="7" t="e">
        <f>-53.07 + (304.89 * (AR20)) + (90.79 *Crescimento!#REF!) - (3.13 * Crescimento!#REF!*Crescimento!#REF!)</f>
        <v>#REF!</v>
      </c>
      <c r="AU20" s="6" t="e">
        <f>(AV19+(Crescimento!#REF!-(AV19*0.64))/0.8)/1000</f>
        <v>#REF!</v>
      </c>
      <c r="AV20" s="7" t="e">
        <f>-53.07 + (304.89 * (AU20)) + (90.79 *Crescimento!#REF!) - (3.13 * Crescimento!#REF!*Crescimento!#REF!)</f>
        <v>#REF!</v>
      </c>
      <c r="AX20" s="6" t="e">
        <f>(AY19+(Crescimento!#REF!-(AY19*0.64))/0.8)/1000</f>
        <v>#REF!</v>
      </c>
      <c r="AY20" s="7" t="e">
        <f>-53.07 + (304.89 * (AX20)) + (90.79 *Crescimento!#REF!) - (3.13 * Crescimento!#REF!*Crescimento!#REF!)</f>
        <v>#REF!</v>
      </c>
      <c r="AZ20" s="1"/>
      <c r="BA20" s="6" t="e">
        <f>(BB19+(Crescimento!#REF!-(BB19*0.64))/0.8)/1000</f>
        <v>#REF!</v>
      </c>
      <c r="BB20" s="7" t="e">
        <f>-53.07 + (304.89 * (BA20)) + (90.79 *Crescimento!#REF!) - (3.13 * Crescimento!#REF!*Crescimento!#REF!)</f>
        <v>#REF!</v>
      </c>
      <c r="BD20" s="6" t="e">
        <f>(BE19+(Crescimento!#REF!-(BE19*0.64))/0.8)/1000</f>
        <v>#REF!</v>
      </c>
      <c r="BE20" s="7" t="e">
        <f>-53.07 + (304.89 * (BD20)) + (90.79 *Crescimento!#REF!) - (3.13 * Crescimento!#REF!*Crescimento!#REF!)</f>
        <v>#REF!</v>
      </c>
      <c r="BG20" s="6" t="e">
        <f>(BH19+(Crescimento!#REF!-(BH19*0.64))/0.8)/1000</f>
        <v>#REF!</v>
      </c>
      <c r="BH20" s="7" t="e">
        <f>-53.07 + (304.89 * (BG20)) + (90.79 *Crescimento!#REF!) - (3.13 * Crescimento!#REF!*Crescimento!#REF!)</f>
        <v>#REF!</v>
      </c>
      <c r="BJ20" s="6" t="e">
        <f>(BK19+(Crescimento!#REF!-(BK19*0.64))/0.8)/1000</f>
        <v>#REF!</v>
      </c>
      <c r="BK20" s="7" t="e">
        <f>-53.07 + (304.89 * (BJ20)) + (90.79 *Crescimento!#REF!) - (3.13 * Crescimento!#REF!*Crescimento!#REF!)</f>
        <v>#REF!</v>
      </c>
      <c r="BL20" s="1"/>
      <c r="BM20" s="6" t="e">
        <f>(BN19+(Crescimento!#REF!-(BN19*0.64))/0.8)/1000</f>
        <v>#REF!</v>
      </c>
      <c r="BN20" s="7" t="e">
        <f>-53.07 + (304.89 * (BM20)) + (90.79 *Crescimento!#REF!) - (3.13 * Crescimento!#REF!*Crescimento!#REF!)</f>
        <v>#REF!</v>
      </c>
      <c r="BP20" s="6" t="e">
        <f>(BQ19+(Crescimento!#REF!-(BQ19*0.64))/0.8)/1000</f>
        <v>#REF!</v>
      </c>
      <c r="BQ20" s="7" t="e">
        <f>-53.07 + (304.89 * (BP20)) + (90.79 *Crescimento!#REF!) - (3.13 * Crescimento!#REF!*Crescimento!#REF!)</f>
        <v>#REF!</v>
      </c>
      <c r="BS20" s="6" t="e">
        <f>(BT19+(Crescimento!#REF!-(BT19*0.64))/0.8)/1000</f>
        <v>#REF!</v>
      </c>
      <c r="BT20" s="7" t="e">
        <f>-53.07 + (304.89 * (BS20)) + (90.79 *Crescimento!#REF!) - (3.13 * Crescimento!#REF!*Crescimento!#REF!)</f>
        <v>#REF!</v>
      </c>
      <c r="BV20" s="6" t="e">
        <f>(BW19+(Crescimento!#REF!-(BW19*0.64))/0.8)/1000</f>
        <v>#REF!</v>
      </c>
      <c r="BW20" s="7" t="e">
        <f>-53.07 + (304.89 * (BV20)) + (90.79 *Crescimento!#REF!) - (3.13 * Crescimento!#REF!*Crescimento!#REF!)</f>
        <v>#REF!</v>
      </c>
      <c r="BX20" s="1"/>
      <c r="BY20" s="6" t="e">
        <f>(BZ19+(Crescimento!#REF!-(BZ19*0.64))/0.8)/1000</f>
        <v>#REF!</v>
      </c>
      <c r="BZ20" s="7" t="e">
        <f>-53.07 + (304.89 * (BY20)) + (90.79 *Crescimento!#REF!) - (3.13 * Crescimento!#REF!*Crescimento!#REF!)</f>
        <v>#REF!</v>
      </c>
      <c r="CB20" s="6" t="e">
        <f>(CC19+(Crescimento!#REF!-(CC19*0.64))/0.8)/1000</f>
        <v>#REF!</v>
      </c>
      <c r="CC20" s="7" t="e">
        <f>-53.07 + (304.89 * (CB20)) + (90.79 *Crescimento!#REF!) - (3.13 * Crescimento!#REF!*Crescimento!#REF!)</f>
        <v>#REF!</v>
      </c>
      <c r="CE20" s="6" t="e">
        <f>(CF19+(Crescimento!#REF!-(CF19*0.64))/0.8)/1000</f>
        <v>#REF!</v>
      </c>
      <c r="CF20" s="7" t="e">
        <f>-53.07 + (304.89 * (CE20)) + (90.79 *Crescimento!#REF!) - (3.13 * Crescimento!#REF!*Crescimento!#REF!)</f>
        <v>#REF!</v>
      </c>
      <c r="CH20" s="6" t="e">
        <f>(CI19+(Crescimento!#REF!-(CI19*0.64))/0.8)/1000</f>
        <v>#REF!</v>
      </c>
      <c r="CI20" s="7" t="e">
        <f>-53.07 + (304.89 * (CH20)) + (90.79 *Crescimento!#REF!) - (3.13 * Crescimento!#REF!*Crescimento!#REF!)</f>
        <v>#REF!</v>
      </c>
      <c r="CJ20" s="1"/>
      <c r="CK20" s="6" t="e">
        <f>(CL19+(Crescimento!#REF!-(CL19*0.64))/0.8)/1000</f>
        <v>#REF!</v>
      </c>
      <c r="CL20" s="7" t="e">
        <f>-53.07 + (304.89 * (CK20)) + (90.79 *Crescimento!#REF!) - (3.13 * Crescimento!#REF!*Crescimento!#REF!)</f>
        <v>#REF!</v>
      </c>
      <c r="CN20" s="6" t="e">
        <f>(CO19+(Crescimento!#REF!-(CO19*0.64))/0.8)/1000</f>
        <v>#REF!</v>
      </c>
      <c r="CO20" s="7" t="e">
        <f>-53.07 + (304.89 * (CN20)) + (90.79 *Crescimento!#REF!) - (3.13 * Crescimento!#REF!*Crescimento!#REF!)</f>
        <v>#REF!</v>
      </c>
      <c r="CQ20" s="6" t="e">
        <f>(CR19+(Crescimento!#REF!-(CR19*0.64))/0.8)/1000</f>
        <v>#REF!</v>
      </c>
      <c r="CR20" s="7" t="e">
        <f>-53.07 + (304.89 * (CQ20)) + (90.79 *Crescimento!#REF!) - (3.13 * Crescimento!#REF!*Crescimento!#REF!)</f>
        <v>#REF!</v>
      </c>
    </row>
    <row r="21" spans="2:96" ht="15" customHeight="1" x14ac:dyDescent="0.25">
      <c r="B21" s="6">
        <f>(C20+(Crescimento!$Q$27-(C20*0.64))/0.8)/1000</f>
        <v>1.1187993738011861</v>
      </c>
      <c r="C21" s="8">
        <f>-53.07 + (304.89 * (B21)) + (90.79 *Crescimento!$Q$20) - (3.13 * Crescimento!$Q$20*Crescimento!$Q$20)</f>
        <v>757.4287040082213</v>
      </c>
      <c r="D21" s="1"/>
      <c r="E21" s="6" t="e">
        <f>(F20+(Crescimento!#REF!-(F20*0.64))/0.8)/1000</f>
        <v>#REF!</v>
      </c>
      <c r="F21" s="7" t="e">
        <f>-53.07 + (304.89 * (E21)) + (90.79 *Crescimento!#REF!) - (3.13 * Crescimento!#REF!*Crescimento!#REF!)</f>
        <v>#REF!</v>
      </c>
      <c r="H21" s="6" t="e">
        <f>(I20+(Crescimento!#REF!-(I20*0.64))/0.8)/1000</f>
        <v>#REF!</v>
      </c>
      <c r="I21" s="7" t="e">
        <f>-53.07 + (304.89 * (H21)) + (90.79 *Crescimento!#REF!) - (3.13 * Crescimento!#REF!*Crescimento!#REF!)</f>
        <v>#REF!</v>
      </c>
      <c r="K21" s="6" t="e">
        <f>(L20+(Crescimento!#REF!-(L20*0.64))/0.8)/1000</f>
        <v>#REF!</v>
      </c>
      <c r="L21" s="7" t="e">
        <f>-53.07 + (304.89 * (K21)) + (90.79 *Crescimento!#REF!) - (3.13 * Crescimento!#REF!*Crescimento!#REF!)</f>
        <v>#REF!</v>
      </c>
      <c r="N21" s="6" t="e">
        <f>(O20+(Crescimento!#REF!-(O20*0.64))/0.8)/1000</f>
        <v>#REF!</v>
      </c>
      <c r="O21" s="7" t="e">
        <f>-53.07 + (304.89 * (N21)) + (90.79 *Crescimento!#REF!) - (3.13 * Crescimento!#REF!*Crescimento!#REF!)</f>
        <v>#REF!</v>
      </c>
      <c r="P21" s="1"/>
      <c r="Q21" s="6" t="e">
        <f>(R20+(Crescimento!#REF!-(R20*0.64))/0.8)/1000</f>
        <v>#REF!</v>
      </c>
      <c r="R21" s="7" t="e">
        <f>-53.07 + (304.89 * (Q21)) + (90.79 *Crescimento!#REF!) - (3.13 * Crescimento!#REF!*Crescimento!#REF!)</f>
        <v>#REF!</v>
      </c>
      <c r="T21" s="6" t="e">
        <f>(U20+(Crescimento!#REF!-(U20*0.64))/0.8)/1000</f>
        <v>#REF!</v>
      </c>
      <c r="U21" s="7" t="e">
        <f>-53.07 + (304.89 * (T21)) + (90.79 *Crescimento!#REF!) - (3.13 * Crescimento!#REF!*Crescimento!#REF!)</f>
        <v>#REF!</v>
      </c>
      <c r="W21" s="6" t="e">
        <f>(X20+(Crescimento!#REF!-(X20*0.64))/0.8)/1000</f>
        <v>#REF!</v>
      </c>
      <c r="X21" s="7" t="e">
        <f>-53.07 + (304.89 * (W21)) + (90.79 *Crescimento!#REF!) - (3.13 * Crescimento!#REF!*Crescimento!#REF!)</f>
        <v>#REF!</v>
      </c>
      <c r="Z21" s="6" t="e">
        <f>(AA20+(Crescimento!#REF!-(AA20*0.64))/0.8)/1000</f>
        <v>#REF!</v>
      </c>
      <c r="AA21" s="7" t="e">
        <f>-53.07 + (304.89 * (Z21)) + (90.79 *Crescimento!#REF!) - (3.13 * Crescimento!#REF!*Crescimento!#REF!)</f>
        <v>#REF!</v>
      </c>
      <c r="AB21" s="1"/>
      <c r="AC21" s="6" t="e">
        <f>(AD20+(Crescimento!#REF!-(AD20*0.64))/0.8)/1000</f>
        <v>#REF!</v>
      </c>
      <c r="AD21" s="7" t="e">
        <f>-53.07 + (304.89 * (AC21)) + (90.79 *Crescimento!#REF!) - (3.13 * Crescimento!#REF!*Crescimento!#REF!)</f>
        <v>#REF!</v>
      </c>
      <c r="AF21" s="6" t="e">
        <f>(AG20+(Crescimento!#REF!-(AG20*0.64))/0.8)/1000</f>
        <v>#REF!</v>
      </c>
      <c r="AG21" s="7" t="e">
        <f>-53.07 + (304.89 * (AF21)) + (90.79 *Crescimento!#REF!) - (3.13 * Crescimento!#REF!*Crescimento!#REF!)</f>
        <v>#REF!</v>
      </c>
      <c r="AI21" s="6" t="e">
        <f>(AJ20+(Crescimento!#REF!-(AJ20*0.64))/0.8)/1000</f>
        <v>#REF!</v>
      </c>
      <c r="AJ21" s="7" t="e">
        <f>-53.07 + (304.89 * (AI21)) + (90.79 *Crescimento!#REF!) - (3.13 * Crescimento!#REF!*Crescimento!#REF!)</f>
        <v>#REF!</v>
      </c>
      <c r="AL21" s="6" t="e">
        <f>(AM20+(Crescimento!#REF!-(AM20*0.64))/0.8)/1000</f>
        <v>#REF!</v>
      </c>
      <c r="AM21" s="7" t="e">
        <f>-53.07 + (304.89 * (AL21)) + (90.79 *Crescimento!#REF!) - (3.13 * Crescimento!#REF!*Crescimento!#REF!)</f>
        <v>#REF!</v>
      </c>
      <c r="AN21" s="1"/>
      <c r="AO21" s="6" t="e">
        <f>(AP20+(Crescimento!#REF!-(AP20*0.64))/0.8)/1000</f>
        <v>#REF!</v>
      </c>
      <c r="AP21" s="7" t="e">
        <f>-53.07 + (304.89 * (AO21)) + (90.79 *Crescimento!#REF!) - (3.13 * Crescimento!#REF!*Crescimento!#REF!)</f>
        <v>#REF!</v>
      </c>
      <c r="AR21" s="6" t="e">
        <f>(AS20+(Crescimento!#REF!-(AS20*0.64))/0.8)/1000</f>
        <v>#REF!</v>
      </c>
      <c r="AS21" s="7" t="e">
        <f>-53.07 + (304.89 * (AR21)) + (90.79 *Crescimento!#REF!) - (3.13 * Crescimento!#REF!*Crescimento!#REF!)</f>
        <v>#REF!</v>
      </c>
      <c r="AU21" s="6" t="e">
        <f>(AV20+(Crescimento!#REF!-(AV20*0.64))/0.8)/1000</f>
        <v>#REF!</v>
      </c>
      <c r="AV21" s="7" t="e">
        <f>-53.07 + (304.89 * (AU21)) + (90.79 *Crescimento!#REF!) - (3.13 * Crescimento!#REF!*Crescimento!#REF!)</f>
        <v>#REF!</v>
      </c>
      <c r="AX21" s="6" t="e">
        <f>(AY20+(Crescimento!#REF!-(AY20*0.64))/0.8)/1000</f>
        <v>#REF!</v>
      </c>
      <c r="AY21" s="7" t="e">
        <f>-53.07 + (304.89 * (AX21)) + (90.79 *Crescimento!#REF!) - (3.13 * Crescimento!#REF!*Crescimento!#REF!)</f>
        <v>#REF!</v>
      </c>
      <c r="AZ21" s="1"/>
      <c r="BA21" s="6" t="e">
        <f>(BB20+(Crescimento!#REF!-(BB20*0.64))/0.8)/1000</f>
        <v>#REF!</v>
      </c>
      <c r="BB21" s="7" t="e">
        <f>-53.07 + (304.89 * (BA21)) + (90.79 *Crescimento!#REF!) - (3.13 * Crescimento!#REF!*Crescimento!#REF!)</f>
        <v>#REF!</v>
      </c>
      <c r="BD21" s="6" t="e">
        <f>(BE20+(Crescimento!#REF!-(BE20*0.64))/0.8)/1000</f>
        <v>#REF!</v>
      </c>
      <c r="BE21" s="7" t="e">
        <f>-53.07 + (304.89 * (BD21)) + (90.79 *Crescimento!#REF!) - (3.13 * Crescimento!#REF!*Crescimento!#REF!)</f>
        <v>#REF!</v>
      </c>
      <c r="BG21" s="6" t="e">
        <f>(BH20+(Crescimento!#REF!-(BH20*0.64))/0.8)/1000</f>
        <v>#REF!</v>
      </c>
      <c r="BH21" s="7" t="e">
        <f>-53.07 + (304.89 * (BG21)) + (90.79 *Crescimento!#REF!) - (3.13 * Crescimento!#REF!*Crescimento!#REF!)</f>
        <v>#REF!</v>
      </c>
      <c r="BJ21" s="6" t="e">
        <f>(BK20+(Crescimento!#REF!-(BK20*0.64))/0.8)/1000</f>
        <v>#REF!</v>
      </c>
      <c r="BK21" s="7" t="e">
        <f>-53.07 + (304.89 * (BJ21)) + (90.79 *Crescimento!#REF!) - (3.13 * Crescimento!#REF!*Crescimento!#REF!)</f>
        <v>#REF!</v>
      </c>
      <c r="BL21" s="1"/>
      <c r="BM21" s="6" t="e">
        <f>(BN20+(Crescimento!#REF!-(BN20*0.64))/0.8)/1000</f>
        <v>#REF!</v>
      </c>
      <c r="BN21" s="7" t="e">
        <f>-53.07 + (304.89 * (BM21)) + (90.79 *Crescimento!#REF!) - (3.13 * Crescimento!#REF!*Crescimento!#REF!)</f>
        <v>#REF!</v>
      </c>
      <c r="BP21" s="6" t="e">
        <f>(BQ20+(Crescimento!#REF!-(BQ20*0.64))/0.8)/1000</f>
        <v>#REF!</v>
      </c>
      <c r="BQ21" s="7" t="e">
        <f>-53.07 + (304.89 * (BP21)) + (90.79 *Crescimento!#REF!) - (3.13 * Crescimento!#REF!*Crescimento!#REF!)</f>
        <v>#REF!</v>
      </c>
      <c r="BS21" s="6" t="e">
        <f>(BT20+(Crescimento!#REF!-(BT20*0.64))/0.8)/1000</f>
        <v>#REF!</v>
      </c>
      <c r="BT21" s="7" t="e">
        <f>-53.07 + (304.89 * (BS21)) + (90.79 *Crescimento!#REF!) - (3.13 * Crescimento!#REF!*Crescimento!#REF!)</f>
        <v>#REF!</v>
      </c>
      <c r="BV21" s="6" t="e">
        <f>(BW20+(Crescimento!#REF!-(BW20*0.64))/0.8)/1000</f>
        <v>#REF!</v>
      </c>
      <c r="BW21" s="7" t="e">
        <f>-53.07 + (304.89 * (BV21)) + (90.79 *Crescimento!#REF!) - (3.13 * Crescimento!#REF!*Crescimento!#REF!)</f>
        <v>#REF!</v>
      </c>
      <c r="BX21" s="1"/>
      <c r="BY21" s="6" t="e">
        <f>(BZ20+(Crescimento!#REF!-(BZ20*0.64))/0.8)/1000</f>
        <v>#REF!</v>
      </c>
      <c r="BZ21" s="7" t="e">
        <f>-53.07 + (304.89 * (BY21)) + (90.79 *Crescimento!#REF!) - (3.13 * Crescimento!#REF!*Crescimento!#REF!)</f>
        <v>#REF!</v>
      </c>
      <c r="CB21" s="6" t="e">
        <f>(CC20+(Crescimento!#REF!-(CC20*0.64))/0.8)/1000</f>
        <v>#REF!</v>
      </c>
      <c r="CC21" s="7" t="e">
        <f>-53.07 + (304.89 * (CB21)) + (90.79 *Crescimento!#REF!) - (3.13 * Crescimento!#REF!*Crescimento!#REF!)</f>
        <v>#REF!</v>
      </c>
      <c r="CE21" s="6" t="e">
        <f>(CF20+(Crescimento!#REF!-(CF20*0.64))/0.8)/1000</f>
        <v>#REF!</v>
      </c>
      <c r="CF21" s="7" t="e">
        <f>-53.07 + (304.89 * (CE21)) + (90.79 *Crescimento!#REF!) - (3.13 * Crescimento!#REF!*Crescimento!#REF!)</f>
        <v>#REF!</v>
      </c>
      <c r="CH21" s="6" t="e">
        <f>(CI20+(Crescimento!#REF!-(CI20*0.64))/0.8)/1000</f>
        <v>#REF!</v>
      </c>
      <c r="CI21" s="7" t="e">
        <f>-53.07 + (304.89 * (CH21)) + (90.79 *Crescimento!#REF!) - (3.13 * Crescimento!#REF!*Crescimento!#REF!)</f>
        <v>#REF!</v>
      </c>
      <c r="CJ21" s="1"/>
      <c r="CK21" s="6" t="e">
        <f>(CL20+(Crescimento!#REF!-(CL20*0.64))/0.8)/1000</f>
        <v>#REF!</v>
      </c>
      <c r="CL21" s="7" t="e">
        <f>-53.07 + (304.89 * (CK21)) + (90.79 *Crescimento!#REF!) - (3.13 * Crescimento!#REF!*Crescimento!#REF!)</f>
        <v>#REF!</v>
      </c>
      <c r="CN21" s="6" t="e">
        <f>(CO20+(Crescimento!#REF!-(CO20*0.64))/0.8)/1000</f>
        <v>#REF!</v>
      </c>
      <c r="CO21" s="7" t="e">
        <f>-53.07 + (304.89 * (CN21)) + (90.79 *Crescimento!#REF!) - (3.13 * Crescimento!#REF!*Crescimento!#REF!)</f>
        <v>#REF!</v>
      </c>
      <c r="CQ21" s="6" t="e">
        <f>(CR20+(Crescimento!#REF!-(CR20*0.64))/0.8)/1000</f>
        <v>#REF!</v>
      </c>
      <c r="CR21" s="7" t="e">
        <f>-53.07 + (304.89 * (CQ21)) + (90.79 *Crescimento!#REF!) - (3.13 * Crescimento!#REF!*Crescimento!#REF!)</f>
        <v>#REF!</v>
      </c>
    </row>
    <row r="22" spans="2:96" ht="15" customHeight="1" x14ac:dyDescent="0.25">
      <c r="B22" s="6">
        <f>(C21+(Crescimento!$Q$27-(C21*0.64))/0.8)/1000</f>
        <v>1.1187993738011861</v>
      </c>
      <c r="C22" s="8">
        <f>-53.07 + (304.89 * (B22)) + (90.79 *Crescimento!$Q$20) - (3.13 * Crescimento!$Q$20*Crescimento!$Q$20)</f>
        <v>757.4287040082213</v>
      </c>
      <c r="D22" s="1"/>
      <c r="E22" s="6" t="e">
        <f>(F21+(Crescimento!#REF!-(F21*0.64))/0.8)/1000</f>
        <v>#REF!</v>
      </c>
      <c r="F22" s="7" t="e">
        <f>-53.07 + (304.89 * (E22)) + (90.79 *Crescimento!#REF!) - (3.13 * Crescimento!#REF!*Crescimento!#REF!)</f>
        <v>#REF!</v>
      </c>
      <c r="H22" s="6" t="e">
        <f>(I21+(Crescimento!#REF!-(I21*0.64))/0.8)/1000</f>
        <v>#REF!</v>
      </c>
      <c r="I22" s="7" t="e">
        <f>-53.07 + (304.89 * (H22)) + (90.79 *Crescimento!#REF!) - (3.13 * Crescimento!#REF!*Crescimento!#REF!)</f>
        <v>#REF!</v>
      </c>
      <c r="K22" s="6" t="e">
        <f>(L21+(Crescimento!#REF!-(L21*0.64))/0.8)/1000</f>
        <v>#REF!</v>
      </c>
      <c r="L22" s="7" t="e">
        <f>-53.07 + (304.89 * (K22)) + (90.79 *Crescimento!#REF!) - (3.13 * Crescimento!#REF!*Crescimento!#REF!)</f>
        <v>#REF!</v>
      </c>
      <c r="N22" s="6" t="e">
        <f>(O21+(Crescimento!#REF!-(O21*0.64))/0.8)/1000</f>
        <v>#REF!</v>
      </c>
      <c r="O22" s="7" t="e">
        <f>-53.07 + (304.89 * (N22)) + (90.79 *Crescimento!#REF!) - (3.13 * Crescimento!#REF!*Crescimento!#REF!)</f>
        <v>#REF!</v>
      </c>
      <c r="P22" s="1"/>
      <c r="Q22" s="6" t="e">
        <f>(R21+(Crescimento!#REF!-(R21*0.64))/0.8)/1000</f>
        <v>#REF!</v>
      </c>
      <c r="R22" s="7" t="e">
        <f>-53.07 + (304.89 * (Q22)) + (90.79 *Crescimento!#REF!) - (3.13 * Crescimento!#REF!*Crescimento!#REF!)</f>
        <v>#REF!</v>
      </c>
      <c r="T22" s="6" t="e">
        <f>(U21+(Crescimento!#REF!-(U21*0.64))/0.8)/1000</f>
        <v>#REF!</v>
      </c>
      <c r="U22" s="7" t="e">
        <f>-53.07 + (304.89 * (T22)) + (90.79 *Crescimento!#REF!) - (3.13 * Crescimento!#REF!*Crescimento!#REF!)</f>
        <v>#REF!</v>
      </c>
      <c r="W22" s="6" t="e">
        <f>(X21+(Crescimento!#REF!-(X21*0.64))/0.8)/1000</f>
        <v>#REF!</v>
      </c>
      <c r="X22" s="7" t="e">
        <f>-53.07 + (304.89 * (W22)) + (90.79 *Crescimento!#REF!) - (3.13 * Crescimento!#REF!*Crescimento!#REF!)</f>
        <v>#REF!</v>
      </c>
      <c r="Z22" s="6" t="e">
        <f>(AA21+(Crescimento!#REF!-(AA21*0.64))/0.8)/1000</f>
        <v>#REF!</v>
      </c>
      <c r="AA22" s="7" t="e">
        <f>-53.07 + (304.89 * (Z22)) + (90.79 *Crescimento!#REF!) - (3.13 * Crescimento!#REF!*Crescimento!#REF!)</f>
        <v>#REF!</v>
      </c>
      <c r="AB22" s="1"/>
      <c r="AC22" s="6" t="e">
        <f>(AD21+(Crescimento!#REF!-(AD21*0.64))/0.8)/1000</f>
        <v>#REF!</v>
      </c>
      <c r="AD22" s="7" t="e">
        <f>-53.07 + (304.89 * (AC22)) + (90.79 *Crescimento!#REF!) - (3.13 * Crescimento!#REF!*Crescimento!#REF!)</f>
        <v>#REF!</v>
      </c>
      <c r="AF22" s="6" t="e">
        <f>(AG21+(Crescimento!#REF!-(AG21*0.64))/0.8)/1000</f>
        <v>#REF!</v>
      </c>
      <c r="AG22" s="7" t="e">
        <f>-53.07 + (304.89 * (AF22)) + (90.79 *Crescimento!#REF!) - (3.13 * Crescimento!#REF!*Crescimento!#REF!)</f>
        <v>#REF!</v>
      </c>
      <c r="AI22" s="6" t="e">
        <f>(AJ21+(Crescimento!#REF!-(AJ21*0.64))/0.8)/1000</f>
        <v>#REF!</v>
      </c>
      <c r="AJ22" s="7" t="e">
        <f>-53.07 + (304.89 * (AI22)) + (90.79 *Crescimento!#REF!) - (3.13 * Crescimento!#REF!*Crescimento!#REF!)</f>
        <v>#REF!</v>
      </c>
      <c r="AL22" s="6" t="e">
        <f>(AM21+(Crescimento!#REF!-(AM21*0.64))/0.8)/1000</f>
        <v>#REF!</v>
      </c>
      <c r="AM22" s="7" t="e">
        <f>-53.07 + (304.89 * (AL22)) + (90.79 *Crescimento!#REF!) - (3.13 * Crescimento!#REF!*Crescimento!#REF!)</f>
        <v>#REF!</v>
      </c>
      <c r="AN22" s="1"/>
      <c r="AO22" s="6" t="e">
        <f>(AP21+(Crescimento!#REF!-(AP21*0.64))/0.8)/1000</f>
        <v>#REF!</v>
      </c>
      <c r="AP22" s="7" t="e">
        <f>-53.07 + (304.89 * (AO22)) + (90.79 *Crescimento!#REF!) - (3.13 * Crescimento!#REF!*Crescimento!#REF!)</f>
        <v>#REF!</v>
      </c>
      <c r="AR22" s="6" t="e">
        <f>(AS21+(Crescimento!#REF!-(AS21*0.64))/0.8)/1000</f>
        <v>#REF!</v>
      </c>
      <c r="AS22" s="7" t="e">
        <f>-53.07 + (304.89 * (AR22)) + (90.79 *Crescimento!#REF!) - (3.13 * Crescimento!#REF!*Crescimento!#REF!)</f>
        <v>#REF!</v>
      </c>
      <c r="AU22" s="6" t="e">
        <f>(AV21+(Crescimento!#REF!-(AV21*0.64))/0.8)/1000</f>
        <v>#REF!</v>
      </c>
      <c r="AV22" s="7" t="e">
        <f>-53.07 + (304.89 * (AU22)) + (90.79 *Crescimento!#REF!) - (3.13 * Crescimento!#REF!*Crescimento!#REF!)</f>
        <v>#REF!</v>
      </c>
      <c r="AX22" s="6" t="e">
        <f>(AY21+(Crescimento!#REF!-(AY21*0.64))/0.8)/1000</f>
        <v>#REF!</v>
      </c>
      <c r="AY22" s="7" t="e">
        <f>-53.07 + (304.89 * (AX22)) + (90.79 *Crescimento!#REF!) - (3.13 * Crescimento!#REF!*Crescimento!#REF!)</f>
        <v>#REF!</v>
      </c>
      <c r="AZ22" s="1"/>
      <c r="BA22" s="6" t="e">
        <f>(BB21+(Crescimento!#REF!-(BB21*0.64))/0.8)/1000</f>
        <v>#REF!</v>
      </c>
      <c r="BB22" s="7" t="e">
        <f>-53.07 + (304.89 * (BA22)) + (90.79 *Crescimento!#REF!) - (3.13 * Crescimento!#REF!*Crescimento!#REF!)</f>
        <v>#REF!</v>
      </c>
      <c r="BD22" s="6" t="e">
        <f>(BE21+(Crescimento!#REF!-(BE21*0.64))/0.8)/1000</f>
        <v>#REF!</v>
      </c>
      <c r="BE22" s="7" t="e">
        <f>-53.07 + (304.89 * (BD22)) + (90.79 *Crescimento!#REF!) - (3.13 * Crescimento!#REF!*Crescimento!#REF!)</f>
        <v>#REF!</v>
      </c>
      <c r="BG22" s="6" t="e">
        <f>(BH21+(Crescimento!#REF!-(BH21*0.64))/0.8)/1000</f>
        <v>#REF!</v>
      </c>
      <c r="BH22" s="7" t="e">
        <f>-53.07 + (304.89 * (BG22)) + (90.79 *Crescimento!#REF!) - (3.13 * Crescimento!#REF!*Crescimento!#REF!)</f>
        <v>#REF!</v>
      </c>
      <c r="BJ22" s="6" t="e">
        <f>(BK21+(Crescimento!#REF!-(BK21*0.64))/0.8)/1000</f>
        <v>#REF!</v>
      </c>
      <c r="BK22" s="7" t="e">
        <f>-53.07 + (304.89 * (BJ22)) + (90.79 *Crescimento!#REF!) - (3.13 * Crescimento!#REF!*Crescimento!#REF!)</f>
        <v>#REF!</v>
      </c>
      <c r="BL22" s="1"/>
      <c r="BM22" s="6" t="e">
        <f>(BN21+(Crescimento!#REF!-(BN21*0.64))/0.8)/1000</f>
        <v>#REF!</v>
      </c>
      <c r="BN22" s="7" t="e">
        <f>-53.07 + (304.89 * (BM22)) + (90.79 *Crescimento!#REF!) - (3.13 * Crescimento!#REF!*Crescimento!#REF!)</f>
        <v>#REF!</v>
      </c>
      <c r="BP22" s="6" t="e">
        <f>(BQ21+(Crescimento!#REF!-(BQ21*0.64))/0.8)/1000</f>
        <v>#REF!</v>
      </c>
      <c r="BQ22" s="7" t="e">
        <f>-53.07 + (304.89 * (BP22)) + (90.79 *Crescimento!#REF!) - (3.13 * Crescimento!#REF!*Crescimento!#REF!)</f>
        <v>#REF!</v>
      </c>
      <c r="BS22" s="6" t="e">
        <f>(BT21+(Crescimento!#REF!-(BT21*0.64))/0.8)/1000</f>
        <v>#REF!</v>
      </c>
      <c r="BT22" s="7" t="e">
        <f>-53.07 + (304.89 * (BS22)) + (90.79 *Crescimento!#REF!) - (3.13 * Crescimento!#REF!*Crescimento!#REF!)</f>
        <v>#REF!</v>
      </c>
      <c r="BV22" s="6" t="e">
        <f>(BW21+(Crescimento!#REF!-(BW21*0.64))/0.8)/1000</f>
        <v>#REF!</v>
      </c>
      <c r="BW22" s="7" t="e">
        <f>-53.07 + (304.89 * (BV22)) + (90.79 *Crescimento!#REF!) - (3.13 * Crescimento!#REF!*Crescimento!#REF!)</f>
        <v>#REF!</v>
      </c>
      <c r="BX22" s="1"/>
      <c r="BY22" s="6" t="e">
        <f>(BZ21+(Crescimento!#REF!-(BZ21*0.64))/0.8)/1000</f>
        <v>#REF!</v>
      </c>
      <c r="BZ22" s="7" t="e">
        <f>-53.07 + (304.89 * (BY22)) + (90.79 *Crescimento!#REF!) - (3.13 * Crescimento!#REF!*Crescimento!#REF!)</f>
        <v>#REF!</v>
      </c>
      <c r="CB22" s="6" t="e">
        <f>(CC21+(Crescimento!#REF!-(CC21*0.64))/0.8)/1000</f>
        <v>#REF!</v>
      </c>
      <c r="CC22" s="7" t="e">
        <f>-53.07 + (304.89 * (CB22)) + (90.79 *Crescimento!#REF!) - (3.13 * Crescimento!#REF!*Crescimento!#REF!)</f>
        <v>#REF!</v>
      </c>
      <c r="CE22" s="6" t="e">
        <f>(CF21+(Crescimento!#REF!-(CF21*0.64))/0.8)/1000</f>
        <v>#REF!</v>
      </c>
      <c r="CF22" s="7" t="e">
        <f>-53.07 + (304.89 * (CE22)) + (90.79 *Crescimento!#REF!) - (3.13 * Crescimento!#REF!*Crescimento!#REF!)</f>
        <v>#REF!</v>
      </c>
      <c r="CH22" s="6" t="e">
        <f>(CI21+(Crescimento!#REF!-(CI21*0.64))/0.8)/1000</f>
        <v>#REF!</v>
      </c>
      <c r="CI22" s="7" t="e">
        <f>-53.07 + (304.89 * (CH22)) + (90.79 *Crescimento!#REF!) - (3.13 * Crescimento!#REF!*Crescimento!#REF!)</f>
        <v>#REF!</v>
      </c>
      <c r="CJ22" s="1"/>
      <c r="CK22" s="6" t="e">
        <f>(CL21+(Crescimento!#REF!-(CL21*0.64))/0.8)/1000</f>
        <v>#REF!</v>
      </c>
      <c r="CL22" s="7" t="e">
        <f>-53.07 + (304.89 * (CK22)) + (90.79 *Crescimento!#REF!) - (3.13 * Crescimento!#REF!*Crescimento!#REF!)</f>
        <v>#REF!</v>
      </c>
      <c r="CN22" s="6" t="e">
        <f>(CO21+(Crescimento!#REF!-(CO21*0.64))/0.8)/1000</f>
        <v>#REF!</v>
      </c>
      <c r="CO22" s="7" t="e">
        <f>-53.07 + (304.89 * (CN22)) + (90.79 *Crescimento!#REF!) - (3.13 * Crescimento!#REF!*Crescimento!#REF!)</f>
        <v>#REF!</v>
      </c>
      <c r="CQ22" s="6" t="e">
        <f>(CR21+(Crescimento!#REF!-(CR21*0.64))/0.8)/1000</f>
        <v>#REF!</v>
      </c>
      <c r="CR22" s="7" t="e">
        <f>-53.07 + (304.89 * (CQ22)) + (90.79 *Crescimento!#REF!) - (3.13 * Crescimento!#REF!*Crescimento!#REF!)</f>
        <v>#REF!</v>
      </c>
    </row>
    <row r="23" spans="2:96" ht="15" customHeight="1" x14ac:dyDescent="0.25">
      <c r="B23" s="6">
        <f>(C22+(Crescimento!$Q$27-(C22*0.64))/0.8)/1000</f>
        <v>1.1187993738011861</v>
      </c>
      <c r="C23" s="8">
        <f>-53.07 + (304.89 * (B23)) + (90.79 *Crescimento!$Q$20) - (3.13 * Crescimento!$Q$20*Crescimento!$Q$20)</f>
        <v>757.4287040082213</v>
      </c>
      <c r="D23" s="1"/>
      <c r="E23" s="6" t="e">
        <f>(F22+(Crescimento!#REF!-(F22*0.64))/0.8)/1000</f>
        <v>#REF!</v>
      </c>
      <c r="F23" s="7" t="e">
        <f>-53.07 + (304.89 * (E23)) + (90.79 *Crescimento!#REF!) - (3.13 * Crescimento!#REF!*Crescimento!#REF!)</f>
        <v>#REF!</v>
      </c>
      <c r="H23" s="6" t="e">
        <f>(I22+(Crescimento!#REF!-(I22*0.64))/0.8)/1000</f>
        <v>#REF!</v>
      </c>
      <c r="I23" s="7" t="e">
        <f>-53.07 + (304.89 * (H23)) + (90.79 *Crescimento!#REF!) - (3.13 * Crescimento!#REF!*Crescimento!#REF!)</f>
        <v>#REF!</v>
      </c>
      <c r="K23" s="6" t="e">
        <f>(L22+(Crescimento!#REF!-(L22*0.64))/0.8)/1000</f>
        <v>#REF!</v>
      </c>
      <c r="L23" s="7" t="e">
        <f>-53.07 + (304.89 * (K23)) + (90.79 *Crescimento!#REF!) - (3.13 * Crescimento!#REF!*Crescimento!#REF!)</f>
        <v>#REF!</v>
      </c>
      <c r="N23" s="6" t="e">
        <f>(O22+(Crescimento!#REF!-(O22*0.64))/0.8)/1000</f>
        <v>#REF!</v>
      </c>
      <c r="O23" s="7" t="e">
        <f>-53.07 + (304.89 * (N23)) + (90.79 *Crescimento!#REF!) - (3.13 * Crescimento!#REF!*Crescimento!#REF!)</f>
        <v>#REF!</v>
      </c>
      <c r="P23" s="1"/>
      <c r="Q23" s="6" t="e">
        <f>(R22+(Crescimento!#REF!-(R22*0.64))/0.8)/1000</f>
        <v>#REF!</v>
      </c>
      <c r="R23" s="7" t="e">
        <f>-53.07 + (304.89 * (Q23)) + (90.79 *Crescimento!#REF!) - (3.13 * Crescimento!#REF!*Crescimento!#REF!)</f>
        <v>#REF!</v>
      </c>
      <c r="T23" s="6" t="e">
        <f>(U22+(Crescimento!#REF!-(U22*0.64))/0.8)/1000</f>
        <v>#REF!</v>
      </c>
      <c r="U23" s="7" t="e">
        <f>-53.07 + (304.89 * (T23)) + (90.79 *Crescimento!#REF!) - (3.13 * Crescimento!#REF!*Crescimento!#REF!)</f>
        <v>#REF!</v>
      </c>
      <c r="W23" s="6" t="e">
        <f>(X22+(Crescimento!#REF!-(X22*0.64))/0.8)/1000</f>
        <v>#REF!</v>
      </c>
      <c r="X23" s="7" t="e">
        <f>-53.07 + (304.89 * (W23)) + (90.79 *Crescimento!#REF!) - (3.13 * Crescimento!#REF!*Crescimento!#REF!)</f>
        <v>#REF!</v>
      </c>
      <c r="Z23" s="6" t="e">
        <f>(AA22+(Crescimento!#REF!-(AA22*0.64))/0.8)/1000</f>
        <v>#REF!</v>
      </c>
      <c r="AA23" s="7" t="e">
        <f>-53.07 + (304.89 * (Z23)) + (90.79 *Crescimento!#REF!) - (3.13 * Crescimento!#REF!*Crescimento!#REF!)</f>
        <v>#REF!</v>
      </c>
      <c r="AB23" s="1"/>
      <c r="AC23" s="6" t="e">
        <f>(AD22+(Crescimento!#REF!-(AD22*0.64))/0.8)/1000</f>
        <v>#REF!</v>
      </c>
      <c r="AD23" s="7" t="e">
        <f>-53.07 + (304.89 * (AC23)) + (90.79 *Crescimento!#REF!) - (3.13 * Crescimento!#REF!*Crescimento!#REF!)</f>
        <v>#REF!</v>
      </c>
      <c r="AF23" s="6" t="e">
        <f>(AG22+(Crescimento!#REF!-(AG22*0.64))/0.8)/1000</f>
        <v>#REF!</v>
      </c>
      <c r="AG23" s="7" t="e">
        <f>-53.07 + (304.89 * (AF23)) + (90.79 *Crescimento!#REF!) - (3.13 * Crescimento!#REF!*Crescimento!#REF!)</f>
        <v>#REF!</v>
      </c>
      <c r="AI23" s="6" t="e">
        <f>(AJ22+(Crescimento!#REF!-(AJ22*0.64))/0.8)/1000</f>
        <v>#REF!</v>
      </c>
      <c r="AJ23" s="7" t="e">
        <f>-53.07 + (304.89 * (AI23)) + (90.79 *Crescimento!#REF!) - (3.13 * Crescimento!#REF!*Crescimento!#REF!)</f>
        <v>#REF!</v>
      </c>
      <c r="AL23" s="6" t="e">
        <f>(AM22+(Crescimento!#REF!-(AM22*0.64))/0.8)/1000</f>
        <v>#REF!</v>
      </c>
      <c r="AM23" s="7" t="e">
        <f>-53.07 + (304.89 * (AL23)) + (90.79 *Crescimento!#REF!) - (3.13 * Crescimento!#REF!*Crescimento!#REF!)</f>
        <v>#REF!</v>
      </c>
      <c r="AN23" s="1"/>
      <c r="AO23" s="6" t="e">
        <f>(AP22+(Crescimento!#REF!-(AP22*0.64))/0.8)/1000</f>
        <v>#REF!</v>
      </c>
      <c r="AP23" s="7" t="e">
        <f>-53.07 + (304.89 * (AO23)) + (90.79 *Crescimento!#REF!) - (3.13 * Crescimento!#REF!*Crescimento!#REF!)</f>
        <v>#REF!</v>
      </c>
      <c r="AR23" s="6" t="e">
        <f>(AS22+(Crescimento!#REF!-(AS22*0.64))/0.8)/1000</f>
        <v>#REF!</v>
      </c>
      <c r="AS23" s="7" t="e">
        <f>-53.07 + (304.89 * (AR23)) + (90.79 *Crescimento!#REF!) - (3.13 * Crescimento!#REF!*Crescimento!#REF!)</f>
        <v>#REF!</v>
      </c>
      <c r="AU23" s="6" t="e">
        <f>(AV22+(Crescimento!#REF!-(AV22*0.64))/0.8)/1000</f>
        <v>#REF!</v>
      </c>
      <c r="AV23" s="7" t="e">
        <f>-53.07 + (304.89 * (AU23)) + (90.79 *Crescimento!#REF!) - (3.13 * Crescimento!#REF!*Crescimento!#REF!)</f>
        <v>#REF!</v>
      </c>
      <c r="AX23" s="6" t="e">
        <f>(AY22+(Crescimento!#REF!-(AY22*0.64))/0.8)/1000</f>
        <v>#REF!</v>
      </c>
      <c r="AY23" s="7" t="e">
        <f>-53.07 + (304.89 * (AX23)) + (90.79 *Crescimento!#REF!) - (3.13 * Crescimento!#REF!*Crescimento!#REF!)</f>
        <v>#REF!</v>
      </c>
      <c r="AZ23" s="1"/>
      <c r="BA23" s="6" t="e">
        <f>(BB22+(Crescimento!#REF!-(BB22*0.64))/0.8)/1000</f>
        <v>#REF!</v>
      </c>
      <c r="BB23" s="7" t="e">
        <f>-53.07 + (304.89 * (BA23)) + (90.79 *Crescimento!#REF!) - (3.13 * Crescimento!#REF!*Crescimento!#REF!)</f>
        <v>#REF!</v>
      </c>
      <c r="BD23" s="6" t="e">
        <f>(BE22+(Crescimento!#REF!-(BE22*0.64))/0.8)/1000</f>
        <v>#REF!</v>
      </c>
      <c r="BE23" s="7" t="e">
        <f>-53.07 + (304.89 * (BD23)) + (90.79 *Crescimento!#REF!) - (3.13 * Crescimento!#REF!*Crescimento!#REF!)</f>
        <v>#REF!</v>
      </c>
      <c r="BG23" s="6" t="e">
        <f>(BH22+(Crescimento!#REF!-(BH22*0.64))/0.8)/1000</f>
        <v>#REF!</v>
      </c>
      <c r="BH23" s="7" t="e">
        <f>-53.07 + (304.89 * (BG23)) + (90.79 *Crescimento!#REF!) - (3.13 * Crescimento!#REF!*Crescimento!#REF!)</f>
        <v>#REF!</v>
      </c>
      <c r="BJ23" s="6" t="e">
        <f>(BK22+(Crescimento!#REF!-(BK22*0.64))/0.8)/1000</f>
        <v>#REF!</v>
      </c>
      <c r="BK23" s="7" t="e">
        <f>-53.07 + (304.89 * (BJ23)) + (90.79 *Crescimento!#REF!) - (3.13 * Crescimento!#REF!*Crescimento!#REF!)</f>
        <v>#REF!</v>
      </c>
      <c r="BL23" s="1"/>
      <c r="BM23" s="6" t="e">
        <f>(BN22+(Crescimento!#REF!-(BN22*0.64))/0.8)/1000</f>
        <v>#REF!</v>
      </c>
      <c r="BN23" s="7" t="e">
        <f>-53.07 + (304.89 * (BM23)) + (90.79 *Crescimento!#REF!) - (3.13 * Crescimento!#REF!*Crescimento!#REF!)</f>
        <v>#REF!</v>
      </c>
      <c r="BP23" s="6" t="e">
        <f>(BQ22+(Crescimento!#REF!-(BQ22*0.64))/0.8)/1000</f>
        <v>#REF!</v>
      </c>
      <c r="BQ23" s="7" t="e">
        <f>-53.07 + (304.89 * (BP23)) + (90.79 *Crescimento!#REF!) - (3.13 * Crescimento!#REF!*Crescimento!#REF!)</f>
        <v>#REF!</v>
      </c>
      <c r="BS23" s="6" t="e">
        <f>(BT22+(Crescimento!#REF!-(BT22*0.64))/0.8)/1000</f>
        <v>#REF!</v>
      </c>
      <c r="BT23" s="7" t="e">
        <f>-53.07 + (304.89 * (BS23)) + (90.79 *Crescimento!#REF!) - (3.13 * Crescimento!#REF!*Crescimento!#REF!)</f>
        <v>#REF!</v>
      </c>
      <c r="BV23" s="6" t="e">
        <f>(BW22+(Crescimento!#REF!-(BW22*0.64))/0.8)/1000</f>
        <v>#REF!</v>
      </c>
      <c r="BW23" s="7" t="e">
        <f>-53.07 + (304.89 * (BV23)) + (90.79 *Crescimento!#REF!) - (3.13 * Crescimento!#REF!*Crescimento!#REF!)</f>
        <v>#REF!</v>
      </c>
      <c r="BX23" s="1"/>
      <c r="BY23" s="6" t="e">
        <f>(BZ22+(Crescimento!#REF!-(BZ22*0.64))/0.8)/1000</f>
        <v>#REF!</v>
      </c>
      <c r="BZ23" s="7" t="e">
        <f>-53.07 + (304.89 * (BY23)) + (90.79 *Crescimento!#REF!) - (3.13 * Crescimento!#REF!*Crescimento!#REF!)</f>
        <v>#REF!</v>
      </c>
      <c r="CB23" s="6" t="e">
        <f>(CC22+(Crescimento!#REF!-(CC22*0.64))/0.8)/1000</f>
        <v>#REF!</v>
      </c>
      <c r="CC23" s="7" t="e">
        <f>-53.07 + (304.89 * (CB23)) + (90.79 *Crescimento!#REF!) - (3.13 * Crescimento!#REF!*Crescimento!#REF!)</f>
        <v>#REF!</v>
      </c>
      <c r="CE23" s="6" t="e">
        <f>(CF22+(Crescimento!#REF!-(CF22*0.64))/0.8)/1000</f>
        <v>#REF!</v>
      </c>
      <c r="CF23" s="7" t="e">
        <f>-53.07 + (304.89 * (CE23)) + (90.79 *Crescimento!#REF!) - (3.13 * Crescimento!#REF!*Crescimento!#REF!)</f>
        <v>#REF!</v>
      </c>
      <c r="CH23" s="6" t="e">
        <f>(CI22+(Crescimento!#REF!-(CI22*0.64))/0.8)/1000</f>
        <v>#REF!</v>
      </c>
      <c r="CI23" s="7" t="e">
        <f>-53.07 + (304.89 * (CH23)) + (90.79 *Crescimento!#REF!) - (3.13 * Crescimento!#REF!*Crescimento!#REF!)</f>
        <v>#REF!</v>
      </c>
      <c r="CJ23" s="1"/>
      <c r="CK23" s="6" t="e">
        <f>(CL22+(Crescimento!#REF!-(CL22*0.64))/0.8)/1000</f>
        <v>#REF!</v>
      </c>
      <c r="CL23" s="7" t="e">
        <f>-53.07 + (304.89 * (CK23)) + (90.79 *Crescimento!#REF!) - (3.13 * Crescimento!#REF!*Crescimento!#REF!)</f>
        <v>#REF!</v>
      </c>
      <c r="CN23" s="6" t="e">
        <f>(CO22+(Crescimento!#REF!-(CO22*0.64))/0.8)/1000</f>
        <v>#REF!</v>
      </c>
      <c r="CO23" s="7" t="e">
        <f>-53.07 + (304.89 * (CN23)) + (90.79 *Crescimento!#REF!) - (3.13 * Crescimento!#REF!*Crescimento!#REF!)</f>
        <v>#REF!</v>
      </c>
      <c r="CQ23" s="6" t="e">
        <f>(CR22+(Crescimento!#REF!-(CR22*0.64))/0.8)/1000</f>
        <v>#REF!</v>
      </c>
      <c r="CR23" s="7" t="e">
        <f>-53.07 + (304.89 * (CQ23)) + (90.79 *Crescimento!#REF!) - (3.13 * Crescimento!#REF!*Crescimento!#REF!)</f>
        <v>#REF!</v>
      </c>
    </row>
    <row r="24" spans="2:96" ht="15" customHeight="1" x14ac:dyDescent="0.25">
      <c r="B24" s="6">
        <f>(C23+(Crescimento!$Q$27-(C23*0.64))/0.8)/1000</f>
        <v>1.1187993738011861</v>
      </c>
      <c r="C24" s="8">
        <f>-53.07 + (304.89 * (B24)) + (90.79 *Crescimento!$Q$20) - (3.13 * Crescimento!$Q$20*Crescimento!$Q$20)</f>
        <v>757.4287040082213</v>
      </c>
      <c r="D24" s="1"/>
      <c r="E24" s="6" t="e">
        <f>(F23+(Crescimento!#REF!-(F23*0.64))/0.8)/1000</f>
        <v>#REF!</v>
      </c>
      <c r="F24" s="7" t="e">
        <f>-53.07 + (304.89 * (E24)) + (90.79 *Crescimento!#REF!) - (3.13 * Crescimento!#REF!*Crescimento!#REF!)</f>
        <v>#REF!</v>
      </c>
      <c r="H24" s="6" t="e">
        <f>(I23+(Crescimento!#REF!-(I23*0.64))/0.8)/1000</f>
        <v>#REF!</v>
      </c>
      <c r="I24" s="7" t="e">
        <f>-53.07 + (304.89 * (H24)) + (90.79 *Crescimento!#REF!) - (3.13 * Crescimento!#REF!*Crescimento!#REF!)</f>
        <v>#REF!</v>
      </c>
      <c r="K24" s="6" t="e">
        <f>(L23+(Crescimento!#REF!-(L23*0.64))/0.8)/1000</f>
        <v>#REF!</v>
      </c>
      <c r="L24" s="7" t="e">
        <f>-53.07 + (304.89 * (K24)) + (90.79 *Crescimento!#REF!) - (3.13 * Crescimento!#REF!*Crescimento!#REF!)</f>
        <v>#REF!</v>
      </c>
      <c r="N24" s="6" t="e">
        <f>(O23+(Crescimento!#REF!-(O23*0.64))/0.8)/1000</f>
        <v>#REF!</v>
      </c>
      <c r="O24" s="7" t="e">
        <f>-53.07 + (304.89 * (N24)) + (90.79 *Crescimento!#REF!) - (3.13 * Crescimento!#REF!*Crescimento!#REF!)</f>
        <v>#REF!</v>
      </c>
      <c r="P24" s="1"/>
      <c r="Q24" s="6" t="e">
        <f>(R23+(Crescimento!#REF!-(R23*0.64))/0.8)/1000</f>
        <v>#REF!</v>
      </c>
      <c r="R24" s="7" t="e">
        <f>-53.07 + (304.89 * (Q24)) + (90.79 *Crescimento!#REF!) - (3.13 * Crescimento!#REF!*Crescimento!#REF!)</f>
        <v>#REF!</v>
      </c>
      <c r="T24" s="6" t="e">
        <f>(U23+(Crescimento!#REF!-(U23*0.64))/0.8)/1000</f>
        <v>#REF!</v>
      </c>
      <c r="U24" s="7" t="e">
        <f>-53.07 + (304.89 * (T24)) + (90.79 *Crescimento!#REF!) - (3.13 * Crescimento!#REF!*Crescimento!#REF!)</f>
        <v>#REF!</v>
      </c>
      <c r="W24" s="6" t="e">
        <f>(X23+(Crescimento!#REF!-(X23*0.64))/0.8)/1000</f>
        <v>#REF!</v>
      </c>
      <c r="X24" s="7" t="e">
        <f>-53.07 + (304.89 * (W24)) + (90.79 *Crescimento!#REF!) - (3.13 * Crescimento!#REF!*Crescimento!#REF!)</f>
        <v>#REF!</v>
      </c>
      <c r="Z24" s="6" t="e">
        <f>(AA23+(Crescimento!#REF!-(AA23*0.64))/0.8)/1000</f>
        <v>#REF!</v>
      </c>
      <c r="AA24" s="7" t="e">
        <f>-53.07 + (304.89 * (Z24)) + (90.79 *Crescimento!#REF!) - (3.13 * Crescimento!#REF!*Crescimento!#REF!)</f>
        <v>#REF!</v>
      </c>
      <c r="AB24" s="1"/>
      <c r="AC24" s="6" t="e">
        <f>(AD23+(Crescimento!#REF!-(AD23*0.64))/0.8)/1000</f>
        <v>#REF!</v>
      </c>
      <c r="AD24" s="7" t="e">
        <f>-53.07 + (304.89 * (AC24)) + (90.79 *Crescimento!#REF!) - (3.13 * Crescimento!#REF!*Crescimento!#REF!)</f>
        <v>#REF!</v>
      </c>
      <c r="AF24" s="6" t="e">
        <f>(AG23+(Crescimento!#REF!-(AG23*0.64))/0.8)/1000</f>
        <v>#REF!</v>
      </c>
      <c r="AG24" s="7" t="e">
        <f>-53.07 + (304.89 * (AF24)) + (90.79 *Crescimento!#REF!) - (3.13 * Crescimento!#REF!*Crescimento!#REF!)</f>
        <v>#REF!</v>
      </c>
      <c r="AI24" s="6" t="e">
        <f>(AJ23+(Crescimento!#REF!-(AJ23*0.64))/0.8)/1000</f>
        <v>#REF!</v>
      </c>
      <c r="AJ24" s="7" t="e">
        <f>-53.07 + (304.89 * (AI24)) + (90.79 *Crescimento!#REF!) - (3.13 * Crescimento!#REF!*Crescimento!#REF!)</f>
        <v>#REF!</v>
      </c>
      <c r="AL24" s="6" t="e">
        <f>(AM23+(Crescimento!#REF!-(AM23*0.64))/0.8)/1000</f>
        <v>#REF!</v>
      </c>
      <c r="AM24" s="7" t="e">
        <f>-53.07 + (304.89 * (AL24)) + (90.79 *Crescimento!#REF!) - (3.13 * Crescimento!#REF!*Crescimento!#REF!)</f>
        <v>#REF!</v>
      </c>
      <c r="AN24" s="1"/>
      <c r="AO24" s="6" t="e">
        <f>(AP23+(Crescimento!#REF!-(AP23*0.64))/0.8)/1000</f>
        <v>#REF!</v>
      </c>
      <c r="AP24" s="7" t="e">
        <f>-53.07 + (304.89 * (AO24)) + (90.79 *Crescimento!#REF!) - (3.13 * Crescimento!#REF!*Crescimento!#REF!)</f>
        <v>#REF!</v>
      </c>
      <c r="AR24" s="6" t="e">
        <f>(AS23+(Crescimento!#REF!-(AS23*0.64))/0.8)/1000</f>
        <v>#REF!</v>
      </c>
      <c r="AS24" s="7" t="e">
        <f>-53.07 + (304.89 * (AR24)) + (90.79 *Crescimento!#REF!) - (3.13 * Crescimento!#REF!*Crescimento!#REF!)</f>
        <v>#REF!</v>
      </c>
      <c r="AU24" s="6" t="e">
        <f>(AV23+(Crescimento!#REF!-(AV23*0.64))/0.8)/1000</f>
        <v>#REF!</v>
      </c>
      <c r="AV24" s="7" t="e">
        <f>-53.07 + (304.89 * (AU24)) + (90.79 *Crescimento!#REF!) - (3.13 * Crescimento!#REF!*Crescimento!#REF!)</f>
        <v>#REF!</v>
      </c>
      <c r="AX24" s="6" t="e">
        <f>(AY23+(Crescimento!#REF!-(AY23*0.64))/0.8)/1000</f>
        <v>#REF!</v>
      </c>
      <c r="AY24" s="7" t="e">
        <f>-53.07 + (304.89 * (AX24)) + (90.79 *Crescimento!#REF!) - (3.13 * Crescimento!#REF!*Crescimento!#REF!)</f>
        <v>#REF!</v>
      </c>
      <c r="AZ24" s="1"/>
      <c r="BA24" s="6" t="e">
        <f>(BB23+(Crescimento!#REF!-(BB23*0.64))/0.8)/1000</f>
        <v>#REF!</v>
      </c>
      <c r="BB24" s="7" t="e">
        <f>-53.07 + (304.89 * (BA24)) + (90.79 *Crescimento!#REF!) - (3.13 * Crescimento!#REF!*Crescimento!#REF!)</f>
        <v>#REF!</v>
      </c>
      <c r="BD24" s="6" t="e">
        <f>(BE23+(Crescimento!#REF!-(BE23*0.64))/0.8)/1000</f>
        <v>#REF!</v>
      </c>
      <c r="BE24" s="7" t="e">
        <f>-53.07 + (304.89 * (BD24)) + (90.79 *Crescimento!#REF!) - (3.13 * Crescimento!#REF!*Crescimento!#REF!)</f>
        <v>#REF!</v>
      </c>
      <c r="BG24" s="6" t="e">
        <f>(BH23+(Crescimento!#REF!-(BH23*0.64))/0.8)/1000</f>
        <v>#REF!</v>
      </c>
      <c r="BH24" s="7" t="e">
        <f>-53.07 + (304.89 * (BG24)) + (90.79 *Crescimento!#REF!) - (3.13 * Crescimento!#REF!*Crescimento!#REF!)</f>
        <v>#REF!</v>
      </c>
      <c r="BJ24" s="6" t="e">
        <f>(BK23+(Crescimento!#REF!-(BK23*0.64))/0.8)/1000</f>
        <v>#REF!</v>
      </c>
      <c r="BK24" s="7" t="e">
        <f>-53.07 + (304.89 * (BJ24)) + (90.79 *Crescimento!#REF!) - (3.13 * Crescimento!#REF!*Crescimento!#REF!)</f>
        <v>#REF!</v>
      </c>
      <c r="BL24" s="1"/>
      <c r="BM24" s="6" t="e">
        <f>(BN23+(Crescimento!#REF!-(BN23*0.64))/0.8)/1000</f>
        <v>#REF!</v>
      </c>
      <c r="BN24" s="7" t="e">
        <f>-53.07 + (304.89 * (BM24)) + (90.79 *Crescimento!#REF!) - (3.13 * Crescimento!#REF!*Crescimento!#REF!)</f>
        <v>#REF!</v>
      </c>
      <c r="BP24" s="6" t="e">
        <f>(BQ23+(Crescimento!#REF!-(BQ23*0.64))/0.8)/1000</f>
        <v>#REF!</v>
      </c>
      <c r="BQ24" s="7" t="e">
        <f>-53.07 + (304.89 * (BP24)) + (90.79 *Crescimento!#REF!) - (3.13 * Crescimento!#REF!*Crescimento!#REF!)</f>
        <v>#REF!</v>
      </c>
      <c r="BS24" s="6" t="e">
        <f>(BT23+(Crescimento!#REF!-(BT23*0.64))/0.8)/1000</f>
        <v>#REF!</v>
      </c>
      <c r="BT24" s="7" t="e">
        <f>-53.07 + (304.89 * (BS24)) + (90.79 *Crescimento!#REF!) - (3.13 * Crescimento!#REF!*Crescimento!#REF!)</f>
        <v>#REF!</v>
      </c>
      <c r="BV24" s="6" t="e">
        <f>(BW23+(Crescimento!#REF!-(BW23*0.64))/0.8)/1000</f>
        <v>#REF!</v>
      </c>
      <c r="BW24" s="7" t="e">
        <f>-53.07 + (304.89 * (BV24)) + (90.79 *Crescimento!#REF!) - (3.13 * Crescimento!#REF!*Crescimento!#REF!)</f>
        <v>#REF!</v>
      </c>
      <c r="BX24" s="1"/>
      <c r="BY24" s="6" t="e">
        <f>(BZ23+(Crescimento!#REF!-(BZ23*0.64))/0.8)/1000</f>
        <v>#REF!</v>
      </c>
      <c r="BZ24" s="7" t="e">
        <f>-53.07 + (304.89 * (BY24)) + (90.79 *Crescimento!#REF!) - (3.13 * Crescimento!#REF!*Crescimento!#REF!)</f>
        <v>#REF!</v>
      </c>
      <c r="CB24" s="6" t="e">
        <f>(CC23+(Crescimento!#REF!-(CC23*0.64))/0.8)/1000</f>
        <v>#REF!</v>
      </c>
      <c r="CC24" s="7" t="e">
        <f>-53.07 + (304.89 * (CB24)) + (90.79 *Crescimento!#REF!) - (3.13 * Crescimento!#REF!*Crescimento!#REF!)</f>
        <v>#REF!</v>
      </c>
      <c r="CE24" s="6" t="e">
        <f>(CF23+(Crescimento!#REF!-(CF23*0.64))/0.8)/1000</f>
        <v>#REF!</v>
      </c>
      <c r="CF24" s="7" t="e">
        <f>-53.07 + (304.89 * (CE24)) + (90.79 *Crescimento!#REF!) - (3.13 * Crescimento!#REF!*Crescimento!#REF!)</f>
        <v>#REF!</v>
      </c>
      <c r="CH24" s="6" t="e">
        <f>(CI23+(Crescimento!#REF!-(CI23*0.64))/0.8)/1000</f>
        <v>#REF!</v>
      </c>
      <c r="CI24" s="7" t="e">
        <f>-53.07 + (304.89 * (CH24)) + (90.79 *Crescimento!#REF!) - (3.13 * Crescimento!#REF!*Crescimento!#REF!)</f>
        <v>#REF!</v>
      </c>
      <c r="CJ24" s="1"/>
      <c r="CK24" s="6" t="e">
        <f>(CL23+(Crescimento!#REF!-(CL23*0.64))/0.8)/1000</f>
        <v>#REF!</v>
      </c>
      <c r="CL24" s="7" t="e">
        <f>-53.07 + (304.89 * (CK24)) + (90.79 *Crescimento!#REF!) - (3.13 * Crescimento!#REF!*Crescimento!#REF!)</f>
        <v>#REF!</v>
      </c>
      <c r="CN24" s="6" t="e">
        <f>(CO23+(Crescimento!#REF!-(CO23*0.64))/0.8)/1000</f>
        <v>#REF!</v>
      </c>
      <c r="CO24" s="7" t="e">
        <f>-53.07 + (304.89 * (CN24)) + (90.79 *Crescimento!#REF!) - (3.13 * Crescimento!#REF!*Crescimento!#REF!)</f>
        <v>#REF!</v>
      </c>
      <c r="CQ24" s="6" t="e">
        <f>(CR23+(Crescimento!#REF!-(CR23*0.64))/0.8)/1000</f>
        <v>#REF!</v>
      </c>
      <c r="CR24" s="7" t="e">
        <f>-53.07 + (304.89 * (CQ24)) + (90.79 *Crescimento!#REF!) - (3.13 * Crescimento!#REF!*Crescimento!#REF!)</f>
        <v>#REF!</v>
      </c>
    </row>
    <row r="25" spans="2:96" ht="15" customHeight="1" x14ac:dyDescent="0.25">
      <c r="B25" s="6">
        <f>(C24+(Crescimento!$Q$27-(C24*0.64))/0.8)/1000</f>
        <v>1.1187993738011861</v>
      </c>
      <c r="C25" s="8">
        <f>-53.07 + (304.89 * (B25)) + (90.79 *Crescimento!$Q$20) - (3.13 * Crescimento!$Q$20*Crescimento!$Q$20)</f>
        <v>757.4287040082213</v>
      </c>
      <c r="D25" s="1"/>
      <c r="E25" s="6" t="e">
        <f>(F24+(Crescimento!#REF!-(F24*0.64))/0.8)/1000</f>
        <v>#REF!</v>
      </c>
      <c r="F25" s="7" t="e">
        <f>-53.07 + (304.89 * (E25)) + (90.79 *Crescimento!#REF!) - (3.13 * Crescimento!#REF!*Crescimento!#REF!)</f>
        <v>#REF!</v>
      </c>
      <c r="H25" s="6" t="e">
        <f>(I24+(Crescimento!#REF!-(I24*0.64))/0.8)/1000</f>
        <v>#REF!</v>
      </c>
      <c r="I25" s="7" t="e">
        <f>-53.07 + (304.89 * (H25)) + (90.79 *Crescimento!#REF!) - (3.13 * Crescimento!#REF!*Crescimento!#REF!)</f>
        <v>#REF!</v>
      </c>
      <c r="K25" s="6" t="e">
        <f>(L24+(Crescimento!#REF!-(L24*0.64))/0.8)/1000</f>
        <v>#REF!</v>
      </c>
      <c r="L25" s="7" t="e">
        <f>-53.07 + (304.89 * (K25)) + (90.79 *Crescimento!#REF!) - (3.13 * Crescimento!#REF!*Crescimento!#REF!)</f>
        <v>#REF!</v>
      </c>
      <c r="N25" s="6" t="e">
        <f>(O24+(Crescimento!#REF!-(O24*0.64))/0.8)/1000</f>
        <v>#REF!</v>
      </c>
      <c r="O25" s="7" t="e">
        <f>-53.07 + (304.89 * (N25)) + (90.79 *Crescimento!#REF!) - (3.13 * Crescimento!#REF!*Crescimento!#REF!)</f>
        <v>#REF!</v>
      </c>
      <c r="P25" s="1"/>
      <c r="Q25" s="6" t="e">
        <f>(R24+(Crescimento!#REF!-(R24*0.64))/0.8)/1000</f>
        <v>#REF!</v>
      </c>
      <c r="R25" s="7" t="e">
        <f>-53.07 + (304.89 * (Q25)) + (90.79 *Crescimento!#REF!) - (3.13 * Crescimento!#REF!*Crescimento!#REF!)</f>
        <v>#REF!</v>
      </c>
      <c r="T25" s="6" t="e">
        <f>(U24+(Crescimento!#REF!-(U24*0.64))/0.8)/1000</f>
        <v>#REF!</v>
      </c>
      <c r="U25" s="7" t="e">
        <f>-53.07 + (304.89 * (T25)) + (90.79 *Crescimento!#REF!) - (3.13 * Crescimento!#REF!*Crescimento!#REF!)</f>
        <v>#REF!</v>
      </c>
      <c r="W25" s="6" t="e">
        <f>(X24+(Crescimento!#REF!-(X24*0.64))/0.8)/1000</f>
        <v>#REF!</v>
      </c>
      <c r="X25" s="7" t="e">
        <f>-53.07 + (304.89 * (W25)) + (90.79 *Crescimento!#REF!) - (3.13 * Crescimento!#REF!*Crescimento!#REF!)</f>
        <v>#REF!</v>
      </c>
      <c r="Z25" s="6" t="e">
        <f>(AA24+(Crescimento!#REF!-(AA24*0.64))/0.8)/1000</f>
        <v>#REF!</v>
      </c>
      <c r="AA25" s="7" t="e">
        <f>-53.07 + (304.89 * (Z25)) + (90.79 *Crescimento!#REF!) - (3.13 * Crescimento!#REF!*Crescimento!#REF!)</f>
        <v>#REF!</v>
      </c>
      <c r="AB25" s="1"/>
      <c r="AC25" s="6" t="e">
        <f>(AD24+(Crescimento!#REF!-(AD24*0.64))/0.8)/1000</f>
        <v>#REF!</v>
      </c>
      <c r="AD25" s="7" t="e">
        <f>-53.07 + (304.89 * (AC25)) + (90.79 *Crescimento!#REF!) - (3.13 * Crescimento!#REF!*Crescimento!#REF!)</f>
        <v>#REF!</v>
      </c>
      <c r="AF25" s="6" t="e">
        <f>(AG24+(Crescimento!#REF!-(AG24*0.64))/0.8)/1000</f>
        <v>#REF!</v>
      </c>
      <c r="AG25" s="7" t="e">
        <f>-53.07 + (304.89 * (AF25)) + (90.79 *Crescimento!#REF!) - (3.13 * Crescimento!#REF!*Crescimento!#REF!)</f>
        <v>#REF!</v>
      </c>
      <c r="AI25" s="6" t="e">
        <f>(AJ24+(Crescimento!#REF!-(AJ24*0.64))/0.8)/1000</f>
        <v>#REF!</v>
      </c>
      <c r="AJ25" s="7" t="e">
        <f>-53.07 + (304.89 * (AI25)) + (90.79 *Crescimento!#REF!) - (3.13 * Crescimento!#REF!*Crescimento!#REF!)</f>
        <v>#REF!</v>
      </c>
      <c r="AL25" s="6" t="e">
        <f>(AM24+(Crescimento!#REF!-(AM24*0.64))/0.8)/1000</f>
        <v>#REF!</v>
      </c>
      <c r="AM25" s="7" t="e">
        <f>-53.07 + (304.89 * (AL25)) + (90.79 *Crescimento!#REF!) - (3.13 * Crescimento!#REF!*Crescimento!#REF!)</f>
        <v>#REF!</v>
      </c>
      <c r="AN25" s="1"/>
      <c r="AO25" s="6" t="e">
        <f>(AP24+(Crescimento!#REF!-(AP24*0.64))/0.8)/1000</f>
        <v>#REF!</v>
      </c>
      <c r="AP25" s="7" t="e">
        <f>-53.07 + (304.89 * (AO25)) + (90.79 *Crescimento!#REF!) - (3.13 * Crescimento!#REF!*Crescimento!#REF!)</f>
        <v>#REF!</v>
      </c>
      <c r="AR25" s="6" t="e">
        <f>(AS24+(Crescimento!#REF!-(AS24*0.64))/0.8)/1000</f>
        <v>#REF!</v>
      </c>
      <c r="AS25" s="7" t="e">
        <f>-53.07 + (304.89 * (AR25)) + (90.79 *Crescimento!#REF!) - (3.13 * Crescimento!#REF!*Crescimento!#REF!)</f>
        <v>#REF!</v>
      </c>
      <c r="AU25" s="6" t="e">
        <f>(AV24+(Crescimento!#REF!-(AV24*0.64))/0.8)/1000</f>
        <v>#REF!</v>
      </c>
      <c r="AV25" s="7" t="e">
        <f>-53.07 + (304.89 * (AU25)) + (90.79 *Crescimento!#REF!) - (3.13 * Crescimento!#REF!*Crescimento!#REF!)</f>
        <v>#REF!</v>
      </c>
      <c r="AX25" s="6" t="e">
        <f>(AY24+(Crescimento!#REF!-(AY24*0.64))/0.8)/1000</f>
        <v>#REF!</v>
      </c>
      <c r="AY25" s="7" t="e">
        <f>-53.07 + (304.89 * (AX25)) + (90.79 *Crescimento!#REF!) - (3.13 * Crescimento!#REF!*Crescimento!#REF!)</f>
        <v>#REF!</v>
      </c>
      <c r="AZ25" s="1"/>
      <c r="BA25" s="6" t="e">
        <f>(BB24+(Crescimento!#REF!-(BB24*0.64))/0.8)/1000</f>
        <v>#REF!</v>
      </c>
      <c r="BB25" s="7" t="e">
        <f>-53.07 + (304.89 * (BA25)) + (90.79 *Crescimento!#REF!) - (3.13 * Crescimento!#REF!*Crescimento!#REF!)</f>
        <v>#REF!</v>
      </c>
      <c r="BD25" s="6" t="e">
        <f>(BE24+(Crescimento!#REF!-(BE24*0.64))/0.8)/1000</f>
        <v>#REF!</v>
      </c>
      <c r="BE25" s="7" t="e">
        <f>-53.07 + (304.89 * (BD25)) + (90.79 *Crescimento!#REF!) - (3.13 * Crescimento!#REF!*Crescimento!#REF!)</f>
        <v>#REF!</v>
      </c>
      <c r="BG25" s="6" t="e">
        <f>(BH24+(Crescimento!#REF!-(BH24*0.64))/0.8)/1000</f>
        <v>#REF!</v>
      </c>
      <c r="BH25" s="7" t="e">
        <f>-53.07 + (304.89 * (BG25)) + (90.79 *Crescimento!#REF!) - (3.13 * Crescimento!#REF!*Crescimento!#REF!)</f>
        <v>#REF!</v>
      </c>
      <c r="BJ25" s="6" t="e">
        <f>(BK24+(Crescimento!#REF!-(BK24*0.64))/0.8)/1000</f>
        <v>#REF!</v>
      </c>
      <c r="BK25" s="7" t="e">
        <f>-53.07 + (304.89 * (BJ25)) + (90.79 *Crescimento!#REF!) - (3.13 * Crescimento!#REF!*Crescimento!#REF!)</f>
        <v>#REF!</v>
      </c>
      <c r="BL25" s="1"/>
      <c r="BM25" s="6" t="e">
        <f>(BN24+(Crescimento!#REF!-(BN24*0.64))/0.8)/1000</f>
        <v>#REF!</v>
      </c>
      <c r="BN25" s="7" t="e">
        <f>-53.07 + (304.89 * (BM25)) + (90.79 *Crescimento!#REF!) - (3.13 * Crescimento!#REF!*Crescimento!#REF!)</f>
        <v>#REF!</v>
      </c>
      <c r="BP25" s="6" t="e">
        <f>(BQ24+(Crescimento!#REF!-(BQ24*0.64))/0.8)/1000</f>
        <v>#REF!</v>
      </c>
      <c r="BQ25" s="7" t="e">
        <f>-53.07 + (304.89 * (BP25)) + (90.79 *Crescimento!#REF!) - (3.13 * Crescimento!#REF!*Crescimento!#REF!)</f>
        <v>#REF!</v>
      </c>
      <c r="BS25" s="6" t="e">
        <f>(BT24+(Crescimento!#REF!-(BT24*0.64))/0.8)/1000</f>
        <v>#REF!</v>
      </c>
      <c r="BT25" s="7" t="e">
        <f>-53.07 + (304.89 * (BS25)) + (90.79 *Crescimento!#REF!) - (3.13 * Crescimento!#REF!*Crescimento!#REF!)</f>
        <v>#REF!</v>
      </c>
      <c r="BV25" s="6" t="e">
        <f>(BW24+(Crescimento!#REF!-(BW24*0.64))/0.8)/1000</f>
        <v>#REF!</v>
      </c>
      <c r="BW25" s="7" t="e">
        <f>-53.07 + (304.89 * (BV25)) + (90.79 *Crescimento!#REF!) - (3.13 * Crescimento!#REF!*Crescimento!#REF!)</f>
        <v>#REF!</v>
      </c>
      <c r="BX25" s="1"/>
      <c r="BY25" s="6" t="e">
        <f>(BZ24+(Crescimento!#REF!-(BZ24*0.64))/0.8)/1000</f>
        <v>#REF!</v>
      </c>
      <c r="BZ25" s="7" t="e">
        <f>-53.07 + (304.89 * (BY25)) + (90.79 *Crescimento!#REF!) - (3.13 * Crescimento!#REF!*Crescimento!#REF!)</f>
        <v>#REF!</v>
      </c>
      <c r="CB25" s="6" t="e">
        <f>(CC24+(Crescimento!#REF!-(CC24*0.64))/0.8)/1000</f>
        <v>#REF!</v>
      </c>
      <c r="CC25" s="7" t="e">
        <f>-53.07 + (304.89 * (CB25)) + (90.79 *Crescimento!#REF!) - (3.13 * Crescimento!#REF!*Crescimento!#REF!)</f>
        <v>#REF!</v>
      </c>
      <c r="CE25" s="6" t="e">
        <f>(CF24+(Crescimento!#REF!-(CF24*0.64))/0.8)/1000</f>
        <v>#REF!</v>
      </c>
      <c r="CF25" s="7" t="e">
        <f>-53.07 + (304.89 * (CE25)) + (90.79 *Crescimento!#REF!) - (3.13 * Crescimento!#REF!*Crescimento!#REF!)</f>
        <v>#REF!</v>
      </c>
      <c r="CH25" s="6" t="e">
        <f>(CI24+(Crescimento!#REF!-(CI24*0.64))/0.8)/1000</f>
        <v>#REF!</v>
      </c>
      <c r="CI25" s="7" t="e">
        <f>-53.07 + (304.89 * (CH25)) + (90.79 *Crescimento!#REF!) - (3.13 * Crescimento!#REF!*Crescimento!#REF!)</f>
        <v>#REF!</v>
      </c>
      <c r="CJ25" s="1"/>
      <c r="CK25" s="6" t="e">
        <f>(CL24+(Crescimento!#REF!-(CL24*0.64))/0.8)/1000</f>
        <v>#REF!</v>
      </c>
      <c r="CL25" s="7" t="e">
        <f>-53.07 + (304.89 * (CK25)) + (90.79 *Crescimento!#REF!) - (3.13 * Crescimento!#REF!*Crescimento!#REF!)</f>
        <v>#REF!</v>
      </c>
      <c r="CN25" s="6" t="e">
        <f>(CO24+(Crescimento!#REF!-(CO24*0.64))/0.8)/1000</f>
        <v>#REF!</v>
      </c>
      <c r="CO25" s="7" t="e">
        <f>-53.07 + (304.89 * (CN25)) + (90.79 *Crescimento!#REF!) - (3.13 * Crescimento!#REF!*Crescimento!#REF!)</f>
        <v>#REF!</v>
      </c>
      <c r="CQ25" s="6" t="e">
        <f>(CR24+(Crescimento!#REF!-(CR24*0.64))/0.8)/1000</f>
        <v>#REF!</v>
      </c>
      <c r="CR25" s="7" t="e">
        <f>-53.07 + (304.89 * (CQ25)) + (90.79 *Crescimento!#REF!) - (3.13 * Crescimento!#REF!*Crescimento!#REF!)</f>
        <v>#REF!</v>
      </c>
    </row>
    <row r="26" spans="2:96" ht="15" customHeight="1" x14ac:dyDescent="0.25">
      <c r="B26" s="6">
        <f>(C25+(Crescimento!$Q$27-(C25*0.64))/0.8)/1000</f>
        <v>1.1187993738011861</v>
      </c>
      <c r="C26" s="8">
        <f>-53.07 + (304.89 * (B26)) + (90.79 *Crescimento!$Q$20) - (3.13 * Crescimento!$Q$20*Crescimento!$Q$20)</f>
        <v>757.4287040082213</v>
      </c>
      <c r="D26" s="1"/>
      <c r="E26" s="6" t="e">
        <f>(F25+(Crescimento!#REF!-(F25*0.64))/0.8)/1000</f>
        <v>#REF!</v>
      </c>
      <c r="F26" s="7" t="e">
        <f>-53.07 + (304.89 * (E26)) + (90.79 *Crescimento!#REF!) - (3.13 * Crescimento!#REF!*Crescimento!#REF!)</f>
        <v>#REF!</v>
      </c>
      <c r="H26" s="6" t="e">
        <f>(I25+(Crescimento!#REF!-(I25*0.64))/0.8)/1000</f>
        <v>#REF!</v>
      </c>
      <c r="I26" s="7" t="e">
        <f>-53.07 + (304.89 * (H26)) + (90.79 *Crescimento!#REF!) - (3.13 * Crescimento!#REF!*Crescimento!#REF!)</f>
        <v>#REF!</v>
      </c>
      <c r="K26" s="6" t="e">
        <f>(L25+(Crescimento!#REF!-(L25*0.64))/0.8)/1000</f>
        <v>#REF!</v>
      </c>
      <c r="L26" s="7" t="e">
        <f>-53.07 + (304.89 * (K26)) + (90.79 *Crescimento!#REF!) - (3.13 * Crescimento!#REF!*Crescimento!#REF!)</f>
        <v>#REF!</v>
      </c>
      <c r="N26" s="6" t="e">
        <f>(O25+(Crescimento!#REF!-(O25*0.64))/0.8)/1000</f>
        <v>#REF!</v>
      </c>
      <c r="O26" s="7" t="e">
        <f>-53.07 + (304.89 * (N26)) + (90.79 *Crescimento!#REF!) - (3.13 * Crescimento!#REF!*Crescimento!#REF!)</f>
        <v>#REF!</v>
      </c>
      <c r="P26" s="1"/>
      <c r="Q26" s="6" t="e">
        <f>(R25+(Crescimento!#REF!-(R25*0.64))/0.8)/1000</f>
        <v>#REF!</v>
      </c>
      <c r="R26" s="7" t="e">
        <f>-53.07 + (304.89 * (Q26)) + (90.79 *Crescimento!#REF!) - (3.13 * Crescimento!#REF!*Crescimento!#REF!)</f>
        <v>#REF!</v>
      </c>
      <c r="T26" s="6" t="e">
        <f>(U25+(Crescimento!#REF!-(U25*0.64))/0.8)/1000</f>
        <v>#REF!</v>
      </c>
      <c r="U26" s="7" t="e">
        <f>-53.07 + (304.89 * (T26)) + (90.79 *Crescimento!#REF!) - (3.13 * Crescimento!#REF!*Crescimento!#REF!)</f>
        <v>#REF!</v>
      </c>
      <c r="W26" s="6" t="e">
        <f>(X25+(Crescimento!#REF!-(X25*0.64))/0.8)/1000</f>
        <v>#REF!</v>
      </c>
      <c r="X26" s="7" t="e">
        <f>-53.07 + (304.89 * (W26)) + (90.79 *Crescimento!#REF!) - (3.13 * Crescimento!#REF!*Crescimento!#REF!)</f>
        <v>#REF!</v>
      </c>
      <c r="Z26" s="6" t="e">
        <f>(AA25+(Crescimento!#REF!-(AA25*0.64))/0.8)/1000</f>
        <v>#REF!</v>
      </c>
      <c r="AA26" s="7" t="e">
        <f>-53.07 + (304.89 * (Z26)) + (90.79 *Crescimento!#REF!) - (3.13 * Crescimento!#REF!*Crescimento!#REF!)</f>
        <v>#REF!</v>
      </c>
      <c r="AB26" s="1"/>
      <c r="AC26" s="6" t="e">
        <f>(AD25+(Crescimento!#REF!-(AD25*0.64))/0.8)/1000</f>
        <v>#REF!</v>
      </c>
      <c r="AD26" s="7" t="e">
        <f>-53.07 + (304.89 * (AC26)) + (90.79 *Crescimento!#REF!) - (3.13 * Crescimento!#REF!*Crescimento!#REF!)</f>
        <v>#REF!</v>
      </c>
      <c r="AF26" s="6" t="e">
        <f>(AG25+(Crescimento!#REF!-(AG25*0.64))/0.8)/1000</f>
        <v>#REF!</v>
      </c>
      <c r="AG26" s="7" t="e">
        <f>-53.07 + (304.89 * (AF26)) + (90.79 *Crescimento!#REF!) - (3.13 * Crescimento!#REF!*Crescimento!#REF!)</f>
        <v>#REF!</v>
      </c>
      <c r="AI26" s="6" t="e">
        <f>(AJ25+(Crescimento!#REF!-(AJ25*0.64))/0.8)/1000</f>
        <v>#REF!</v>
      </c>
      <c r="AJ26" s="7" t="e">
        <f>-53.07 + (304.89 * (AI26)) + (90.79 *Crescimento!#REF!) - (3.13 * Crescimento!#REF!*Crescimento!#REF!)</f>
        <v>#REF!</v>
      </c>
      <c r="AL26" s="6" t="e">
        <f>(AM25+(Crescimento!#REF!-(AM25*0.64))/0.8)/1000</f>
        <v>#REF!</v>
      </c>
      <c r="AM26" s="7" t="e">
        <f>-53.07 + (304.89 * (AL26)) + (90.79 *Crescimento!#REF!) - (3.13 * Crescimento!#REF!*Crescimento!#REF!)</f>
        <v>#REF!</v>
      </c>
      <c r="AN26" s="1"/>
      <c r="AO26" s="6" t="e">
        <f>(AP25+(Crescimento!#REF!-(AP25*0.64))/0.8)/1000</f>
        <v>#REF!</v>
      </c>
      <c r="AP26" s="7" t="e">
        <f>-53.07 + (304.89 * (AO26)) + (90.79 *Crescimento!#REF!) - (3.13 * Crescimento!#REF!*Crescimento!#REF!)</f>
        <v>#REF!</v>
      </c>
      <c r="AR26" s="6" t="e">
        <f>(AS25+(Crescimento!#REF!-(AS25*0.64))/0.8)/1000</f>
        <v>#REF!</v>
      </c>
      <c r="AS26" s="7" t="e">
        <f>-53.07 + (304.89 * (AR26)) + (90.79 *Crescimento!#REF!) - (3.13 * Crescimento!#REF!*Crescimento!#REF!)</f>
        <v>#REF!</v>
      </c>
      <c r="AU26" s="6" t="e">
        <f>(AV25+(Crescimento!#REF!-(AV25*0.64))/0.8)/1000</f>
        <v>#REF!</v>
      </c>
      <c r="AV26" s="7" t="e">
        <f>-53.07 + (304.89 * (AU26)) + (90.79 *Crescimento!#REF!) - (3.13 * Crescimento!#REF!*Crescimento!#REF!)</f>
        <v>#REF!</v>
      </c>
      <c r="AX26" s="6" t="e">
        <f>(AY25+(Crescimento!#REF!-(AY25*0.64))/0.8)/1000</f>
        <v>#REF!</v>
      </c>
      <c r="AY26" s="7" t="e">
        <f>-53.07 + (304.89 * (AX26)) + (90.79 *Crescimento!#REF!) - (3.13 * Crescimento!#REF!*Crescimento!#REF!)</f>
        <v>#REF!</v>
      </c>
      <c r="AZ26" s="1"/>
      <c r="BA26" s="6" t="e">
        <f>(BB25+(Crescimento!#REF!-(BB25*0.64))/0.8)/1000</f>
        <v>#REF!</v>
      </c>
      <c r="BB26" s="7" t="e">
        <f>-53.07 + (304.89 * (BA26)) + (90.79 *Crescimento!#REF!) - (3.13 * Crescimento!#REF!*Crescimento!#REF!)</f>
        <v>#REF!</v>
      </c>
      <c r="BD26" s="6" t="e">
        <f>(BE25+(Crescimento!#REF!-(BE25*0.64))/0.8)/1000</f>
        <v>#REF!</v>
      </c>
      <c r="BE26" s="7" t="e">
        <f>-53.07 + (304.89 * (BD26)) + (90.79 *Crescimento!#REF!) - (3.13 * Crescimento!#REF!*Crescimento!#REF!)</f>
        <v>#REF!</v>
      </c>
      <c r="BG26" s="6" t="e">
        <f>(BH25+(Crescimento!#REF!-(BH25*0.64))/0.8)/1000</f>
        <v>#REF!</v>
      </c>
      <c r="BH26" s="7" t="e">
        <f>-53.07 + (304.89 * (BG26)) + (90.79 *Crescimento!#REF!) - (3.13 * Crescimento!#REF!*Crescimento!#REF!)</f>
        <v>#REF!</v>
      </c>
      <c r="BJ26" s="6" t="e">
        <f>(BK25+(Crescimento!#REF!-(BK25*0.64))/0.8)/1000</f>
        <v>#REF!</v>
      </c>
      <c r="BK26" s="7" t="e">
        <f>-53.07 + (304.89 * (BJ26)) + (90.79 *Crescimento!#REF!) - (3.13 * Crescimento!#REF!*Crescimento!#REF!)</f>
        <v>#REF!</v>
      </c>
      <c r="BL26" s="1"/>
      <c r="BM26" s="6" t="e">
        <f>(BN25+(Crescimento!#REF!-(BN25*0.64))/0.8)/1000</f>
        <v>#REF!</v>
      </c>
      <c r="BN26" s="7" t="e">
        <f>-53.07 + (304.89 * (BM26)) + (90.79 *Crescimento!#REF!) - (3.13 * Crescimento!#REF!*Crescimento!#REF!)</f>
        <v>#REF!</v>
      </c>
      <c r="BP26" s="6" t="e">
        <f>(BQ25+(Crescimento!#REF!-(BQ25*0.64))/0.8)/1000</f>
        <v>#REF!</v>
      </c>
      <c r="BQ26" s="7" t="e">
        <f>-53.07 + (304.89 * (BP26)) + (90.79 *Crescimento!#REF!) - (3.13 * Crescimento!#REF!*Crescimento!#REF!)</f>
        <v>#REF!</v>
      </c>
      <c r="BS26" s="6" t="e">
        <f>(BT25+(Crescimento!#REF!-(BT25*0.64))/0.8)/1000</f>
        <v>#REF!</v>
      </c>
      <c r="BT26" s="7" t="e">
        <f>-53.07 + (304.89 * (BS26)) + (90.79 *Crescimento!#REF!) - (3.13 * Crescimento!#REF!*Crescimento!#REF!)</f>
        <v>#REF!</v>
      </c>
      <c r="BV26" s="6" t="e">
        <f>(BW25+(Crescimento!#REF!-(BW25*0.64))/0.8)/1000</f>
        <v>#REF!</v>
      </c>
      <c r="BW26" s="7" t="e">
        <f>-53.07 + (304.89 * (BV26)) + (90.79 *Crescimento!#REF!) - (3.13 * Crescimento!#REF!*Crescimento!#REF!)</f>
        <v>#REF!</v>
      </c>
      <c r="BX26" s="1"/>
      <c r="BY26" s="6" t="e">
        <f>(BZ25+(Crescimento!#REF!-(BZ25*0.64))/0.8)/1000</f>
        <v>#REF!</v>
      </c>
      <c r="BZ26" s="7" t="e">
        <f>-53.07 + (304.89 * (BY26)) + (90.79 *Crescimento!#REF!) - (3.13 * Crescimento!#REF!*Crescimento!#REF!)</f>
        <v>#REF!</v>
      </c>
      <c r="CB26" s="6" t="e">
        <f>(CC25+(Crescimento!#REF!-(CC25*0.64))/0.8)/1000</f>
        <v>#REF!</v>
      </c>
      <c r="CC26" s="7" t="e">
        <f>-53.07 + (304.89 * (CB26)) + (90.79 *Crescimento!#REF!) - (3.13 * Crescimento!#REF!*Crescimento!#REF!)</f>
        <v>#REF!</v>
      </c>
      <c r="CE26" s="6" t="e">
        <f>(CF25+(Crescimento!#REF!-(CF25*0.64))/0.8)/1000</f>
        <v>#REF!</v>
      </c>
      <c r="CF26" s="7" t="e">
        <f>-53.07 + (304.89 * (CE26)) + (90.79 *Crescimento!#REF!) - (3.13 * Crescimento!#REF!*Crescimento!#REF!)</f>
        <v>#REF!</v>
      </c>
      <c r="CH26" s="6" t="e">
        <f>(CI25+(Crescimento!#REF!-(CI25*0.64))/0.8)/1000</f>
        <v>#REF!</v>
      </c>
      <c r="CI26" s="7" t="e">
        <f>-53.07 + (304.89 * (CH26)) + (90.79 *Crescimento!#REF!) - (3.13 * Crescimento!#REF!*Crescimento!#REF!)</f>
        <v>#REF!</v>
      </c>
      <c r="CJ26" s="1"/>
      <c r="CK26" s="6" t="e">
        <f>(CL25+(Crescimento!#REF!-(CL25*0.64))/0.8)/1000</f>
        <v>#REF!</v>
      </c>
      <c r="CL26" s="7" t="e">
        <f>-53.07 + (304.89 * (CK26)) + (90.79 *Crescimento!#REF!) - (3.13 * Crescimento!#REF!*Crescimento!#REF!)</f>
        <v>#REF!</v>
      </c>
      <c r="CN26" s="6" t="e">
        <f>(CO25+(Crescimento!#REF!-(CO25*0.64))/0.8)/1000</f>
        <v>#REF!</v>
      </c>
      <c r="CO26" s="7" t="e">
        <f>-53.07 + (304.89 * (CN26)) + (90.79 *Crescimento!#REF!) - (3.13 * Crescimento!#REF!*Crescimento!#REF!)</f>
        <v>#REF!</v>
      </c>
      <c r="CQ26" s="6" t="e">
        <f>(CR25+(Crescimento!#REF!-(CR25*0.64))/0.8)/1000</f>
        <v>#REF!</v>
      </c>
      <c r="CR26" s="7" t="e">
        <f>-53.07 + (304.89 * (CQ26)) + (90.79 *Crescimento!#REF!) - (3.13 * Crescimento!#REF!*Crescimento!#REF!)</f>
        <v>#REF!</v>
      </c>
    </row>
    <row r="27" spans="2:96" ht="15" customHeight="1" x14ac:dyDescent="0.25">
      <c r="B27" s="6">
        <f>(C26+(Crescimento!$Q$27-(C26*0.64))/0.8)/1000</f>
        <v>1.1187993738011861</v>
      </c>
      <c r="C27" s="8">
        <f>-53.07 + (304.89 * (B27)) + (90.79 *Crescimento!$Q$20) - (3.13 * Crescimento!$Q$20*Crescimento!$Q$20)</f>
        <v>757.4287040082213</v>
      </c>
      <c r="D27" s="1"/>
      <c r="E27" s="6" t="e">
        <f>(F26+(Crescimento!#REF!-(F26*0.64))/0.8)/1000</f>
        <v>#REF!</v>
      </c>
      <c r="F27" s="7" t="e">
        <f>-53.07 + (304.89 * (E27)) + (90.79 *Crescimento!#REF!) - (3.13 * Crescimento!#REF!*Crescimento!#REF!)</f>
        <v>#REF!</v>
      </c>
      <c r="H27" s="6" t="e">
        <f>(I26+(Crescimento!#REF!-(I26*0.64))/0.8)/1000</f>
        <v>#REF!</v>
      </c>
      <c r="I27" s="7" t="e">
        <f>-53.07 + (304.89 * (H27)) + (90.79 *Crescimento!#REF!) - (3.13 * Crescimento!#REF!*Crescimento!#REF!)</f>
        <v>#REF!</v>
      </c>
      <c r="K27" s="6" t="e">
        <f>(L26+(Crescimento!#REF!-(L26*0.64))/0.8)/1000</f>
        <v>#REF!</v>
      </c>
      <c r="L27" s="7" t="e">
        <f>-53.07 + (304.89 * (K27)) + (90.79 *Crescimento!#REF!) - (3.13 * Crescimento!#REF!*Crescimento!#REF!)</f>
        <v>#REF!</v>
      </c>
      <c r="N27" s="6" t="e">
        <f>(O26+(Crescimento!#REF!-(O26*0.64))/0.8)/1000</f>
        <v>#REF!</v>
      </c>
      <c r="O27" s="7" t="e">
        <f>-53.07 + (304.89 * (N27)) + (90.79 *Crescimento!#REF!) - (3.13 * Crescimento!#REF!*Crescimento!#REF!)</f>
        <v>#REF!</v>
      </c>
      <c r="P27" s="1"/>
      <c r="Q27" s="6" t="e">
        <f>(R26+(Crescimento!#REF!-(R26*0.64))/0.8)/1000</f>
        <v>#REF!</v>
      </c>
      <c r="R27" s="7" t="e">
        <f>-53.07 + (304.89 * (Q27)) + (90.79 *Crescimento!#REF!) - (3.13 * Crescimento!#REF!*Crescimento!#REF!)</f>
        <v>#REF!</v>
      </c>
      <c r="T27" s="6" t="e">
        <f>(U26+(Crescimento!#REF!-(U26*0.64))/0.8)/1000</f>
        <v>#REF!</v>
      </c>
      <c r="U27" s="7" t="e">
        <f>-53.07 + (304.89 * (T27)) + (90.79 *Crescimento!#REF!) - (3.13 * Crescimento!#REF!*Crescimento!#REF!)</f>
        <v>#REF!</v>
      </c>
      <c r="W27" s="6" t="e">
        <f>(X26+(Crescimento!#REF!-(X26*0.64))/0.8)/1000</f>
        <v>#REF!</v>
      </c>
      <c r="X27" s="7" t="e">
        <f>-53.07 + (304.89 * (W27)) + (90.79 *Crescimento!#REF!) - (3.13 * Crescimento!#REF!*Crescimento!#REF!)</f>
        <v>#REF!</v>
      </c>
      <c r="Z27" s="6" t="e">
        <f>(AA26+(Crescimento!#REF!-(AA26*0.64))/0.8)/1000</f>
        <v>#REF!</v>
      </c>
      <c r="AA27" s="7" t="e">
        <f>-53.07 + (304.89 * (Z27)) + (90.79 *Crescimento!#REF!) - (3.13 * Crescimento!#REF!*Crescimento!#REF!)</f>
        <v>#REF!</v>
      </c>
      <c r="AB27" s="1"/>
      <c r="AC27" s="6" t="e">
        <f>(AD26+(Crescimento!#REF!-(AD26*0.64))/0.8)/1000</f>
        <v>#REF!</v>
      </c>
      <c r="AD27" s="7" t="e">
        <f>-53.07 + (304.89 * (AC27)) + (90.79 *Crescimento!#REF!) - (3.13 * Crescimento!#REF!*Crescimento!#REF!)</f>
        <v>#REF!</v>
      </c>
      <c r="AF27" s="6" t="e">
        <f>(AG26+(Crescimento!#REF!-(AG26*0.64))/0.8)/1000</f>
        <v>#REF!</v>
      </c>
      <c r="AG27" s="7" t="e">
        <f>-53.07 + (304.89 * (AF27)) + (90.79 *Crescimento!#REF!) - (3.13 * Crescimento!#REF!*Crescimento!#REF!)</f>
        <v>#REF!</v>
      </c>
      <c r="AI27" s="6" t="e">
        <f>(AJ26+(Crescimento!#REF!-(AJ26*0.64))/0.8)/1000</f>
        <v>#REF!</v>
      </c>
      <c r="AJ27" s="7" t="e">
        <f>-53.07 + (304.89 * (AI27)) + (90.79 *Crescimento!#REF!) - (3.13 * Crescimento!#REF!*Crescimento!#REF!)</f>
        <v>#REF!</v>
      </c>
      <c r="AL27" s="6" t="e">
        <f>(AM26+(Crescimento!#REF!-(AM26*0.64))/0.8)/1000</f>
        <v>#REF!</v>
      </c>
      <c r="AM27" s="7" t="e">
        <f>-53.07 + (304.89 * (AL27)) + (90.79 *Crescimento!#REF!) - (3.13 * Crescimento!#REF!*Crescimento!#REF!)</f>
        <v>#REF!</v>
      </c>
      <c r="AN27" s="1"/>
      <c r="AO27" s="6" t="e">
        <f>(AP26+(Crescimento!#REF!-(AP26*0.64))/0.8)/1000</f>
        <v>#REF!</v>
      </c>
      <c r="AP27" s="7" t="e">
        <f>-53.07 + (304.89 * (AO27)) + (90.79 *Crescimento!#REF!) - (3.13 * Crescimento!#REF!*Crescimento!#REF!)</f>
        <v>#REF!</v>
      </c>
      <c r="AR27" s="6" t="e">
        <f>(AS26+(Crescimento!#REF!-(AS26*0.64))/0.8)/1000</f>
        <v>#REF!</v>
      </c>
      <c r="AS27" s="7" t="e">
        <f>-53.07 + (304.89 * (AR27)) + (90.79 *Crescimento!#REF!) - (3.13 * Crescimento!#REF!*Crescimento!#REF!)</f>
        <v>#REF!</v>
      </c>
      <c r="AU27" s="6" t="e">
        <f>(AV26+(Crescimento!#REF!-(AV26*0.64))/0.8)/1000</f>
        <v>#REF!</v>
      </c>
      <c r="AV27" s="7" t="e">
        <f>-53.07 + (304.89 * (AU27)) + (90.79 *Crescimento!#REF!) - (3.13 * Crescimento!#REF!*Crescimento!#REF!)</f>
        <v>#REF!</v>
      </c>
      <c r="AX27" s="6" t="e">
        <f>(AY26+(Crescimento!#REF!-(AY26*0.64))/0.8)/1000</f>
        <v>#REF!</v>
      </c>
      <c r="AY27" s="7" t="e">
        <f>-53.07 + (304.89 * (AX27)) + (90.79 *Crescimento!#REF!) - (3.13 * Crescimento!#REF!*Crescimento!#REF!)</f>
        <v>#REF!</v>
      </c>
      <c r="AZ27" s="1"/>
      <c r="BA27" s="6" t="e">
        <f>(BB26+(Crescimento!#REF!-(BB26*0.64))/0.8)/1000</f>
        <v>#REF!</v>
      </c>
      <c r="BB27" s="7" t="e">
        <f>-53.07 + (304.89 * (BA27)) + (90.79 *Crescimento!#REF!) - (3.13 * Crescimento!#REF!*Crescimento!#REF!)</f>
        <v>#REF!</v>
      </c>
      <c r="BD27" s="6" t="e">
        <f>(BE26+(Crescimento!#REF!-(BE26*0.64))/0.8)/1000</f>
        <v>#REF!</v>
      </c>
      <c r="BE27" s="7" t="e">
        <f>-53.07 + (304.89 * (BD27)) + (90.79 *Crescimento!#REF!) - (3.13 * Crescimento!#REF!*Crescimento!#REF!)</f>
        <v>#REF!</v>
      </c>
      <c r="BG27" s="6" t="e">
        <f>(BH26+(Crescimento!#REF!-(BH26*0.64))/0.8)/1000</f>
        <v>#REF!</v>
      </c>
      <c r="BH27" s="7" t="e">
        <f>-53.07 + (304.89 * (BG27)) + (90.79 *Crescimento!#REF!) - (3.13 * Crescimento!#REF!*Crescimento!#REF!)</f>
        <v>#REF!</v>
      </c>
      <c r="BJ27" s="6" t="e">
        <f>(BK26+(Crescimento!#REF!-(BK26*0.64))/0.8)/1000</f>
        <v>#REF!</v>
      </c>
      <c r="BK27" s="7" t="e">
        <f>-53.07 + (304.89 * (BJ27)) + (90.79 *Crescimento!#REF!) - (3.13 * Crescimento!#REF!*Crescimento!#REF!)</f>
        <v>#REF!</v>
      </c>
      <c r="BL27" s="1"/>
      <c r="BM27" s="6" t="e">
        <f>(BN26+(Crescimento!#REF!-(BN26*0.64))/0.8)/1000</f>
        <v>#REF!</v>
      </c>
      <c r="BN27" s="7" t="e">
        <f>-53.07 + (304.89 * (BM27)) + (90.79 *Crescimento!#REF!) - (3.13 * Crescimento!#REF!*Crescimento!#REF!)</f>
        <v>#REF!</v>
      </c>
      <c r="BP27" s="6" t="e">
        <f>(BQ26+(Crescimento!#REF!-(BQ26*0.64))/0.8)/1000</f>
        <v>#REF!</v>
      </c>
      <c r="BQ27" s="7" t="e">
        <f>-53.07 + (304.89 * (BP27)) + (90.79 *Crescimento!#REF!) - (3.13 * Crescimento!#REF!*Crescimento!#REF!)</f>
        <v>#REF!</v>
      </c>
      <c r="BS27" s="6" t="e">
        <f>(BT26+(Crescimento!#REF!-(BT26*0.64))/0.8)/1000</f>
        <v>#REF!</v>
      </c>
      <c r="BT27" s="7" t="e">
        <f>-53.07 + (304.89 * (BS27)) + (90.79 *Crescimento!#REF!) - (3.13 * Crescimento!#REF!*Crescimento!#REF!)</f>
        <v>#REF!</v>
      </c>
      <c r="BV27" s="6" t="e">
        <f>(BW26+(Crescimento!#REF!-(BW26*0.64))/0.8)/1000</f>
        <v>#REF!</v>
      </c>
      <c r="BW27" s="7" t="e">
        <f>-53.07 + (304.89 * (BV27)) + (90.79 *Crescimento!#REF!) - (3.13 * Crescimento!#REF!*Crescimento!#REF!)</f>
        <v>#REF!</v>
      </c>
      <c r="BX27" s="1"/>
      <c r="BY27" s="6" t="e">
        <f>(BZ26+(Crescimento!#REF!-(BZ26*0.64))/0.8)/1000</f>
        <v>#REF!</v>
      </c>
      <c r="BZ27" s="7" t="e">
        <f>-53.07 + (304.89 * (BY27)) + (90.79 *Crescimento!#REF!) - (3.13 * Crescimento!#REF!*Crescimento!#REF!)</f>
        <v>#REF!</v>
      </c>
      <c r="CB27" s="6" t="e">
        <f>(CC26+(Crescimento!#REF!-(CC26*0.64))/0.8)/1000</f>
        <v>#REF!</v>
      </c>
      <c r="CC27" s="7" t="e">
        <f>-53.07 + (304.89 * (CB27)) + (90.79 *Crescimento!#REF!) - (3.13 * Crescimento!#REF!*Crescimento!#REF!)</f>
        <v>#REF!</v>
      </c>
      <c r="CE27" s="6" t="e">
        <f>(CF26+(Crescimento!#REF!-(CF26*0.64))/0.8)/1000</f>
        <v>#REF!</v>
      </c>
      <c r="CF27" s="7" t="e">
        <f>-53.07 + (304.89 * (CE27)) + (90.79 *Crescimento!#REF!) - (3.13 * Crescimento!#REF!*Crescimento!#REF!)</f>
        <v>#REF!</v>
      </c>
      <c r="CH27" s="6" t="e">
        <f>(CI26+(Crescimento!#REF!-(CI26*0.64))/0.8)/1000</f>
        <v>#REF!</v>
      </c>
      <c r="CI27" s="7" t="e">
        <f>-53.07 + (304.89 * (CH27)) + (90.79 *Crescimento!#REF!) - (3.13 * Crescimento!#REF!*Crescimento!#REF!)</f>
        <v>#REF!</v>
      </c>
      <c r="CJ27" s="1"/>
      <c r="CK27" s="6" t="e">
        <f>(CL26+(Crescimento!#REF!-(CL26*0.64))/0.8)/1000</f>
        <v>#REF!</v>
      </c>
      <c r="CL27" s="7" t="e">
        <f>-53.07 + (304.89 * (CK27)) + (90.79 *Crescimento!#REF!) - (3.13 * Crescimento!#REF!*Crescimento!#REF!)</f>
        <v>#REF!</v>
      </c>
      <c r="CN27" s="6" t="e">
        <f>(CO26+(Crescimento!#REF!-(CO26*0.64))/0.8)/1000</f>
        <v>#REF!</v>
      </c>
      <c r="CO27" s="7" t="e">
        <f>-53.07 + (304.89 * (CN27)) + (90.79 *Crescimento!#REF!) - (3.13 * Crescimento!#REF!*Crescimento!#REF!)</f>
        <v>#REF!</v>
      </c>
      <c r="CQ27" s="6" t="e">
        <f>(CR26+(Crescimento!#REF!-(CR26*0.64))/0.8)/1000</f>
        <v>#REF!</v>
      </c>
      <c r="CR27" s="7" t="e">
        <f>-53.07 + (304.89 * (CQ27)) + (90.79 *Crescimento!#REF!) - (3.13 * Crescimento!#REF!*Crescimento!#REF!)</f>
        <v>#REF!</v>
      </c>
    </row>
    <row r="28" spans="2:96" ht="15" customHeight="1" x14ac:dyDescent="0.25">
      <c r="B28" s="6">
        <f>(C27+(Crescimento!$Q$27-(C27*0.64))/0.8)/1000</f>
        <v>1.1187993738011861</v>
      </c>
      <c r="C28" s="8">
        <f>-53.07 + (304.89 * (B28)) + (90.79 *Crescimento!$Q$20) - (3.13 * Crescimento!$Q$20*Crescimento!$Q$20)</f>
        <v>757.4287040082213</v>
      </c>
      <c r="D28" s="1"/>
      <c r="E28" s="6" t="e">
        <f>(F27+(Crescimento!#REF!-(F27*0.64))/0.8)/1000</f>
        <v>#REF!</v>
      </c>
      <c r="F28" s="7" t="e">
        <f>-53.07 + (304.89 * (E28)) + (90.79 *Crescimento!#REF!) - (3.13 * Crescimento!#REF!*Crescimento!#REF!)</f>
        <v>#REF!</v>
      </c>
      <c r="H28" s="6" t="e">
        <f>(I27+(Crescimento!#REF!-(I27*0.64))/0.8)/1000</f>
        <v>#REF!</v>
      </c>
      <c r="I28" s="7" t="e">
        <f>-53.07 + (304.89 * (H28)) + (90.79 *Crescimento!#REF!) - (3.13 * Crescimento!#REF!*Crescimento!#REF!)</f>
        <v>#REF!</v>
      </c>
      <c r="K28" s="6" t="e">
        <f>(L27+(Crescimento!#REF!-(L27*0.64))/0.8)/1000</f>
        <v>#REF!</v>
      </c>
      <c r="L28" s="7" t="e">
        <f>-53.07 + (304.89 * (K28)) + (90.79 *Crescimento!#REF!) - (3.13 * Crescimento!#REF!*Crescimento!#REF!)</f>
        <v>#REF!</v>
      </c>
      <c r="N28" s="6" t="e">
        <f>(O27+(Crescimento!#REF!-(O27*0.64))/0.8)/1000</f>
        <v>#REF!</v>
      </c>
      <c r="O28" s="7" t="e">
        <f>-53.07 + (304.89 * (N28)) + (90.79 *Crescimento!#REF!) - (3.13 * Crescimento!#REF!*Crescimento!#REF!)</f>
        <v>#REF!</v>
      </c>
      <c r="P28" s="1"/>
      <c r="Q28" s="6" t="e">
        <f>(R27+(Crescimento!#REF!-(R27*0.64))/0.8)/1000</f>
        <v>#REF!</v>
      </c>
      <c r="R28" s="7" t="e">
        <f>-53.07 + (304.89 * (Q28)) + (90.79 *Crescimento!#REF!) - (3.13 * Crescimento!#REF!*Crescimento!#REF!)</f>
        <v>#REF!</v>
      </c>
      <c r="T28" s="6" t="e">
        <f>(U27+(Crescimento!#REF!-(U27*0.64))/0.8)/1000</f>
        <v>#REF!</v>
      </c>
      <c r="U28" s="7" t="e">
        <f>-53.07 + (304.89 * (T28)) + (90.79 *Crescimento!#REF!) - (3.13 * Crescimento!#REF!*Crescimento!#REF!)</f>
        <v>#REF!</v>
      </c>
      <c r="W28" s="6" t="e">
        <f>(X27+(Crescimento!#REF!-(X27*0.64))/0.8)/1000</f>
        <v>#REF!</v>
      </c>
      <c r="X28" s="7" t="e">
        <f>-53.07 + (304.89 * (W28)) + (90.79 *Crescimento!#REF!) - (3.13 * Crescimento!#REF!*Crescimento!#REF!)</f>
        <v>#REF!</v>
      </c>
      <c r="Z28" s="6" t="e">
        <f>(AA27+(Crescimento!#REF!-(AA27*0.64))/0.8)/1000</f>
        <v>#REF!</v>
      </c>
      <c r="AA28" s="7" t="e">
        <f>-53.07 + (304.89 * (Z28)) + (90.79 *Crescimento!#REF!) - (3.13 * Crescimento!#REF!*Crescimento!#REF!)</f>
        <v>#REF!</v>
      </c>
      <c r="AB28" s="1"/>
      <c r="AC28" s="6" t="e">
        <f>(AD27+(Crescimento!#REF!-(AD27*0.64))/0.8)/1000</f>
        <v>#REF!</v>
      </c>
      <c r="AD28" s="7" t="e">
        <f>-53.07 + (304.89 * (AC28)) + (90.79 *Crescimento!#REF!) - (3.13 * Crescimento!#REF!*Crescimento!#REF!)</f>
        <v>#REF!</v>
      </c>
      <c r="AF28" s="6" t="e">
        <f>(AG27+(Crescimento!#REF!-(AG27*0.64))/0.8)/1000</f>
        <v>#REF!</v>
      </c>
      <c r="AG28" s="7" t="e">
        <f>-53.07 + (304.89 * (AF28)) + (90.79 *Crescimento!#REF!) - (3.13 * Crescimento!#REF!*Crescimento!#REF!)</f>
        <v>#REF!</v>
      </c>
      <c r="AI28" s="6" t="e">
        <f>(AJ27+(Crescimento!#REF!-(AJ27*0.64))/0.8)/1000</f>
        <v>#REF!</v>
      </c>
      <c r="AJ28" s="7" t="e">
        <f>-53.07 + (304.89 * (AI28)) + (90.79 *Crescimento!#REF!) - (3.13 * Crescimento!#REF!*Crescimento!#REF!)</f>
        <v>#REF!</v>
      </c>
      <c r="AL28" s="6" t="e">
        <f>(AM27+(Crescimento!#REF!-(AM27*0.64))/0.8)/1000</f>
        <v>#REF!</v>
      </c>
      <c r="AM28" s="7" t="e">
        <f>-53.07 + (304.89 * (AL28)) + (90.79 *Crescimento!#REF!) - (3.13 * Crescimento!#REF!*Crescimento!#REF!)</f>
        <v>#REF!</v>
      </c>
      <c r="AN28" s="1"/>
      <c r="AO28" s="6" t="e">
        <f>(AP27+(Crescimento!#REF!-(AP27*0.64))/0.8)/1000</f>
        <v>#REF!</v>
      </c>
      <c r="AP28" s="7" t="e">
        <f>-53.07 + (304.89 * (AO28)) + (90.79 *Crescimento!#REF!) - (3.13 * Crescimento!#REF!*Crescimento!#REF!)</f>
        <v>#REF!</v>
      </c>
      <c r="AR28" s="6" t="e">
        <f>(AS27+(Crescimento!#REF!-(AS27*0.64))/0.8)/1000</f>
        <v>#REF!</v>
      </c>
      <c r="AS28" s="7" t="e">
        <f>-53.07 + (304.89 * (AR28)) + (90.79 *Crescimento!#REF!) - (3.13 * Crescimento!#REF!*Crescimento!#REF!)</f>
        <v>#REF!</v>
      </c>
      <c r="AU28" s="6" t="e">
        <f>(AV27+(Crescimento!#REF!-(AV27*0.64))/0.8)/1000</f>
        <v>#REF!</v>
      </c>
      <c r="AV28" s="7" t="e">
        <f>-53.07 + (304.89 * (AU28)) + (90.79 *Crescimento!#REF!) - (3.13 * Crescimento!#REF!*Crescimento!#REF!)</f>
        <v>#REF!</v>
      </c>
      <c r="AX28" s="6" t="e">
        <f>(AY27+(Crescimento!#REF!-(AY27*0.64))/0.8)/1000</f>
        <v>#REF!</v>
      </c>
      <c r="AY28" s="7" t="e">
        <f>-53.07 + (304.89 * (AX28)) + (90.79 *Crescimento!#REF!) - (3.13 * Crescimento!#REF!*Crescimento!#REF!)</f>
        <v>#REF!</v>
      </c>
      <c r="AZ28" s="1"/>
      <c r="BA28" s="6" t="e">
        <f>(BB27+(Crescimento!#REF!-(BB27*0.64))/0.8)/1000</f>
        <v>#REF!</v>
      </c>
      <c r="BB28" s="7" t="e">
        <f>-53.07 + (304.89 * (BA28)) + (90.79 *Crescimento!#REF!) - (3.13 * Crescimento!#REF!*Crescimento!#REF!)</f>
        <v>#REF!</v>
      </c>
      <c r="BD28" s="6" t="e">
        <f>(BE27+(Crescimento!#REF!-(BE27*0.64))/0.8)/1000</f>
        <v>#REF!</v>
      </c>
      <c r="BE28" s="7" t="e">
        <f>-53.07 + (304.89 * (BD28)) + (90.79 *Crescimento!#REF!) - (3.13 * Crescimento!#REF!*Crescimento!#REF!)</f>
        <v>#REF!</v>
      </c>
      <c r="BG28" s="6" t="e">
        <f>(BH27+(Crescimento!#REF!-(BH27*0.64))/0.8)/1000</f>
        <v>#REF!</v>
      </c>
      <c r="BH28" s="7" t="e">
        <f>-53.07 + (304.89 * (BG28)) + (90.79 *Crescimento!#REF!) - (3.13 * Crescimento!#REF!*Crescimento!#REF!)</f>
        <v>#REF!</v>
      </c>
      <c r="BJ28" s="6" t="e">
        <f>(BK27+(Crescimento!#REF!-(BK27*0.64))/0.8)/1000</f>
        <v>#REF!</v>
      </c>
      <c r="BK28" s="7" t="e">
        <f>-53.07 + (304.89 * (BJ28)) + (90.79 *Crescimento!#REF!) - (3.13 * Crescimento!#REF!*Crescimento!#REF!)</f>
        <v>#REF!</v>
      </c>
      <c r="BL28" s="1"/>
      <c r="BM28" s="6" t="e">
        <f>(BN27+(Crescimento!#REF!-(BN27*0.64))/0.8)/1000</f>
        <v>#REF!</v>
      </c>
      <c r="BN28" s="7" t="e">
        <f>-53.07 + (304.89 * (BM28)) + (90.79 *Crescimento!#REF!) - (3.13 * Crescimento!#REF!*Crescimento!#REF!)</f>
        <v>#REF!</v>
      </c>
      <c r="BP28" s="6" t="e">
        <f>(BQ27+(Crescimento!#REF!-(BQ27*0.64))/0.8)/1000</f>
        <v>#REF!</v>
      </c>
      <c r="BQ28" s="7" t="e">
        <f>-53.07 + (304.89 * (BP28)) + (90.79 *Crescimento!#REF!) - (3.13 * Crescimento!#REF!*Crescimento!#REF!)</f>
        <v>#REF!</v>
      </c>
      <c r="BS28" s="6" t="e">
        <f>(BT27+(Crescimento!#REF!-(BT27*0.64))/0.8)/1000</f>
        <v>#REF!</v>
      </c>
      <c r="BT28" s="7" t="e">
        <f>-53.07 + (304.89 * (BS28)) + (90.79 *Crescimento!#REF!) - (3.13 * Crescimento!#REF!*Crescimento!#REF!)</f>
        <v>#REF!</v>
      </c>
      <c r="BV28" s="6" t="e">
        <f>(BW27+(Crescimento!#REF!-(BW27*0.64))/0.8)/1000</f>
        <v>#REF!</v>
      </c>
      <c r="BW28" s="7" t="e">
        <f>-53.07 + (304.89 * (BV28)) + (90.79 *Crescimento!#REF!) - (3.13 * Crescimento!#REF!*Crescimento!#REF!)</f>
        <v>#REF!</v>
      </c>
      <c r="BX28" s="1"/>
      <c r="BY28" s="6" t="e">
        <f>(BZ27+(Crescimento!#REF!-(BZ27*0.64))/0.8)/1000</f>
        <v>#REF!</v>
      </c>
      <c r="BZ28" s="7" t="e">
        <f>-53.07 + (304.89 * (BY28)) + (90.79 *Crescimento!#REF!) - (3.13 * Crescimento!#REF!*Crescimento!#REF!)</f>
        <v>#REF!</v>
      </c>
      <c r="CB28" s="6" t="e">
        <f>(CC27+(Crescimento!#REF!-(CC27*0.64))/0.8)/1000</f>
        <v>#REF!</v>
      </c>
      <c r="CC28" s="7" t="e">
        <f>-53.07 + (304.89 * (CB28)) + (90.79 *Crescimento!#REF!) - (3.13 * Crescimento!#REF!*Crescimento!#REF!)</f>
        <v>#REF!</v>
      </c>
      <c r="CE28" s="6" t="e">
        <f>(CF27+(Crescimento!#REF!-(CF27*0.64))/0.8)/1000</f>
        <v>#REF!</v>
      </c>
      <c r="CF28" s="7" t="e">
        <f>-53.07 + (304.89 * (CE28)) + (90.79 *Crescimento!#REF!) - (3.13 * Crescimento!#REF!*Crescimento!#REF!)</f>
        <v>#REF!</v>
      </c>
      <c r="CH28" s="6" t="e">
        <f>(CI27+(Crescimento!#REF!-(CI27*0.64))/0.8)/1000</f>
        <v>#REF!</v>
      </c>
      <c r="CI28" s="7" t="e">
        <f>-53.07 + (304.89 * (CH28)) + (90.79 *Crescimento!#REF!) - (3.13 * Crescimento!#REF!*Crescimento!#REF!)</f>
        <v>#REF!</v>
      </c>
      <c r="CJ28" s="1"/>
      <c r="CK28" s="6" t="e">
        <f>(CL27+(Crescimento!#REF!-(CL27*0.64))/0.8)/1000</f>
        <v>#REF!</v>
      </c>
      <c r="CL28" s="7" t="e">
        <f>-53.07 + (304.89 * (CK28)) + (90.79 *Crescimento!#REF!) - (3.13 * Crescimento!#REF!*Crescimento!#REF!)</f>
        <v>#REF!</v>
      </c>
      <c r="CN28" s="6" t="e">
        <f>(CO27+(Crescimento!#REF!-(CO27*0.64))/0.8)/1000</f>
        <v>#REF!</v>
      </c>
      <c r="CO28" s="7" t="e">
        <f>-53.07 + (304.89 * (CN28)) + (90.79 *Crescimento!#REF!) - (3.13 * Crescimento!#REF!*Crescimento!#REF!)</f>
        <v>#REF!</v>
      </c>
      <c r="CQ28" s="6" t="e">
        <f>(CR27+(Crescimento!#REF!-(CR27*0.64))/0.8)/1000</f>
        <v>#REF!</v>
      </c>
      <c r="CR28" s="7" t="e">
        <f>-53.07 + (304.89 * (CQ28)) + (90.79 *Crescimento!#REF!) - (3.13 * Crescimento!#REF!*Crescimento!#REF!)</f>
        <v>#REF!</v>
      </c>
    </row>
    <row r="29" spans="2:96" ht="15" customHeight="1" x14ac:dyDescent="0.25">
      <c r="B29" s="6">
        <f>(C28+(Crescimento!$Q$27-(C28*0.64))/0.8)/1000</f>
        <v>1.1187993738011861</v>
      </c>
      <c r="C29" s="8">
        <f>-53.07 + (304.89 * (B29)) + (90.79 *Crescimento!$Q$20) - (3.13 * Crescimento!$Q$20*Crescimento!$Q$20)</f>
        <v>757.4287040082213</v>
      </c>
      <c r="D29" s="1"/>
      <c r="E29" s="6" t="e">
        <f>(F28+(Crescimento!#REF!-(F28*0.64))/0.8)/1000</f>
        <v>#REF!</v>
      </c>
      <c r="F29" s="7" t="e">
        <f>-53.07 + (304.89 * (E29)) + (90.79 *Crescimento!#REF!) - (3.13 * Crescimento!#REF!*Crescimento!#REF!)</f>
        <v>#REF!</v>
      </c>
      <c r="H29" s="6" t="e">
        <f>(I28+(Crescimento!#REF!-(I28*0.64))/0.8)/1000</f>
        <v>#REF!</v>
      </c>
      <c r="I29" s="7" t="e">
        <f>-53.07 + (304.89 * (H29)) + (90.79 *Crescimento!#REF!) - (3.13 * Crescimento!#REF!*Crescimento!#REF!)</f>
        <v>#REF!</v>
      </c>
      <c r="K29" s="6" t="e">
        <f>(L28+(Crescimento!#REF!-(L28*0.64))/0.8)/1000</f>
        <v>#REF!</v>
      </c>
      <c r="L29" s="7" t="e">
        <f>-53.07 + (304.89 * (K29)) + (90.79 *Crescimento!#REF!) - (3.13 * Crescimento!#REF!*Crescimento!#REF!)</f>
        <v>#REF!</v>
      </c>
      <c r="N29" s="6" t="e">
        <f>(O28+(Crescimento!#REF!-(O28*0.64))/0.8)/1000</f>
        <v>#REF!</v>
      </c>
      <c r="O29" s="7" t="e">
        <f>-53.07 + (304.89 * (N29)) + (90.79 *Crescimento!#REF!) - (3.13 * Crescimento!#REF!*Crescimento!#REF!)</f>
        <v>#REF!</v>
      </c>
      <c r="P29" s="1"/>
      <c r="Q29" s="6" t="e">
        <f>(R28+(Crescimento!#REF!-(R28*0.64))/0.8)/1000</f>
        <v>#REF!</v>
      </c>
      <c r="R29" s="7" t="e">
        <f>-53.07 + (304.89 * (Q29)) + (90.79 *Crescimento!#REF!) - (3.13 * Crescimento!#REF!*Crescimento!#REF!)</f>
        <v>#REF!</v>
      </c>
      <c r="T29" s="6" t="e">
        <f>(U28+(Crescimento!#REF!-(U28*0.64))/0.8)/1000</f>
        <v>#REF!</v>
      </c>
      <c r="U29" s="7" t="e">
        <f>-53.07 + (304.89 * (T29)) + (90.79 *Crescimento!#REF!) - (3.13 * Crescimento!#REF!*Crescimento!#REF!)</f>
        <v>#REF!</v>
      </c>
      <c r="W29" s="6" t="e">
        <f>(X28+(Crescimento!#REF!-(X28*0.64))/0.8)/1000</f>
        <v>#REF!</v>
      </c>
      <c r="X29" s="7" t="e">
        <f>-53.07 + (304.89 * (W29)) + (90.79 *Crescimento!#REF!) - (3.13 * Crescimento!#REF!*Crescimento!#REF!)</f>
        <v>#REF!</v>
      </c>
      <c r="Z29" s="6" t="e">
        <f>(AA28+(Crescimento!#REF!-(AA28*0.64))/0.8)/1000</f>
        <v>#REF!</v>
      </c>
      <c r="AA29" s="7" t="e">
        <f>-53.07 + (304.89 * (Z29)) + (90.79 *Crescimento!#REF!) - (3.13 * Crescimento!#REF!*Crescimento!#REF!)</f>
        <v>#REF!</v>
      </c>
      <c r="AB29" s="1"/>
      <c r="AC29" s="6" t="e">
        <f>(AD28+(Crescimento!#REF!-(AD28*0.64))/0.8)/1000</f>
        <v>#REF!</v>
      </c>
      <c r="AD29" s="7" t="e">
        <f>-53.07 + (304.89 * (AC29)) + (90.79 *Crescimento!#REF!) - (3.13 * Crescimento!#REF!*Crescimento!#REF!)</f>
        <v>#REF!</v>
      </c>
      <c r="AF29" s="6" t="e">
        <f>(AG28+(Crescimento!#REF!-(AG28*0.64))/0.8)/1000</f>
        <v>#REF!</v>
      </c>
      <c r="AG29" s="7" t="e">
        <f>-53.07 + (304.89 * (AF29)) + (90.79 *Crescimento!#REF!) - (3.13 * Crescimento!#REF!*Crescimento!#REF!)</f>
        <v>#REF!</v>
      </c>
      <c r="AI29" s="6" t="e">
        <f>(AJ28+(Crescimento!#REF!-(AJ28*0.64))/0.8)/1000</f>
        <v>#REF!</v>
      </c>
      <c r="AJ29" s="7" t="e">
        <f>-53.07 + (304.89 * (AI29)) + (90.79 *Crescimento!#REF!) - (3.13 * Crescimento!#REF!*Crescimento!#REF!)</f>
        <v>#REF!</v>
      </c>
      <c r="AL29" s="6" t="e">
        <f>(AM28+(Crescimento!#REF!-(AM28*0.64))/0.8)/1000</f>
        <v>#REF!</v>
      </c>
      <c r="AM29" s="7" t="e">
        <f>-53.07 + (304.89 * (AL29)) + (90.79 *Crescimento!#REF!) - (3.13 * Crescimento!#REF!*Crescimento!#REF!)</f>
        <v>#REF!</v>
      </c>
      <c r="AN29" s="1"/>
      <c r="AO29" s="6" t="e">
        <f>(AP28+(Crescimento!#REF!-(AP28*0.64))/0.8)/1000</f>
        <v>#REF!</v>
      </c>
      <c r="AP29" s="7" t="e">
        <f>-53.07 + (304.89 * (AO29)) + (90.79 *Crescimento!#REF!) - (3.13 * Crescimento!#REF!*Crescimento!#REF!)</f>
        <v>#REF!</v>
      </c>
      <c r="AR29" s="6" t="e">
        <f>(AS28+(Crescimento!#REF!-(AS28*0.64))/0.8)/1000</f>
        <v>#REF!</v>
      </c>
      <c r="AS29" s="7" t="e">
        <f>-53.07 + (304.89 * (AR29)) + (90.79 *Crescimento!#REF!) - (3.13 * Crescimento!#REF!*Crescimento!#REF!)</f>
        <v>#REF!</v>
      </c>
      <c r="AU29" s="6" t="e">
        <f>(AV28+(Crescimento!#REF!-(AV28*0.64))/0.8)/1000</f>
        <v>#REF!</v>
      </c>
      <c r="AV29" s="7" t="e">
        <f>-53.07 + (304.89 * (AU29)) + (90.79 *Crescimento!#REF!) - (3.13 * Crescimento!#REF!*Crescimento!#REF!)</f>
        <v>#REF!</v>
      </c>
      <c r="AX29" s="6" t="e">
        <f>(AY28+(Crescimento!#REF!-(AY28*0.64))/0.8)/1000</f>
        <v>#REF!</v>
      </c>
      <c r="AY29" s="7" t="e">
        <f>-53.07 + (304.89 * (AX29)) + (90.79 *Crescimento!#REF!) - (3.13 * Crescimento!#REF!*Crescimento!#REF!)</f>
        <v>#REF!</v>
      </c>
      <c r="AZ29" s="1"/>
      <c r="BA29" s="6" t="e">
        <f>(BB28+(Crescimento!#REF!-(BB28*0.64))/0.8)/1000</f>
        <v>#REF!</v>
      </c>
      <c r="BB29" s="7" t="e">
        <f>-53.07 + (304.89 * (BA29)) + (90.79 *Crescimento!#REF!) - (3.13 * Crescimento!#REF!*Crescimento!#REF!)</f>
        <v>#REF!</v>
      </c>
      <c r="BD29" s="6" t="e">
        <f>(BE28+(Crescimento!#REF!-(BE28*0.64))/0.8)/1000</f>
        <v>#REF!</v>
      </c>
      <c r="BE29" s="7" t="e">
        <f>-53.07 + (304.89 * (BD29)) + (90.79 *Crescimento!#REF!) - (3.13 * Crescimento!#REF!*Crescimento!#REF!)</f>
        <v>#REF!</v>
      </c>
      <c r="BG29" s="6" t="e">
        <f>(BH28+(Crescimento!#REF!-(BH28*0.64))/0.8)/1000</f>
        <v>#REF!</v>
      </c>
      <c r="BH29" s="7" t="e">
        <f>-53.07 + (304.89 * (BG29)) + (90.79 *Crescimento!#REF!) - (3.13 * Crescimento!#REF!*Crescimento!#REF!)</f>
        <v>#REF!</v>
      </c>
      <c r="BJ29" s="6" t="e">
        <f>(BK28+(Crescimento!#REF!-(BK28*0.64))/0.8)/1000</f>
        <v>#REF!</v>
      </c>
      <c r="BK29" s="7" t="e">
        <f>-53.07 + (304.89 * (BJ29)) + (90.79 *Crescimento!#REF!) - (3.13 * Crescimento!#REF!*Crescimento!#REF!)</f>
        <v>#REF!</v>
      </c>
      <c r="BL29" s="1"/>
      <c r="BM29" s="6" t="e">
        <f>(BN28+(Crescimento!#REF!-(BN28*0.64))/0.8)/1000</f>
        <v>#REF!</v>
      </c>
      <c r="BN29" s="7" t="e">
        <f>-53.07 + (304.89 * (BM29)) + (90.79 *Crescimento!#REF!) - (3.13 * Crescimento!#REF!*Crescimento!#REF!)</f>
        <v>#REF!</v>
      </c>
      <c r="BP29" s="6" t="e">
        <f>(BQ28+(Crescimento!#REF!-(BQ28*0.64))/0.8)/1000</f>
        <v>#REF!</v>
      </c>
      <c r="BQ29" s="7" t="e">
        <f>-53.07 + (304.89 * (BP29)) + (90.79 *Crescimento!#REF!) - (3.13 * Crescimento!#REF!*Crescimento!#REF!)</f>
        <v>#REF!</v>
      </c>
      <c r="BS29" s="6" t="e">
        <f>(BT28+(Crescimento!#REF!-(BT28*0.64))/0.8)/1000</f>
        <v>#REF!</v>
      </c>
      <c r="BT29" s="7" t="e">
        <f>-53.07 + (304.89 * (BS29)) + (90.79 *Crescimento!#REF!) - (3.13 * Crescimento!#REF!*Crescimento!#REF!)</f>
        <v>#REF!</v>
      </c>
      <c r="BV29" s="6" t="e">
        <f>(BW28+(Crescimento!#REF!-(BW28*0.64))/0.8)/1000</f>
        <v>#REF!</v>
      </c>
      <c r="BW29" s="7" t="e">
        <f>-53.07 + (304.89 * (BV29)) + (90.79 *Crescimento!#REF!) - (3.13 * Crescimento!#REF!*Crescimento!#REF!)</f>
        <v>#REF!</v>
      </c>
      <c r="BX29" s="1"/>
      <c r="BY29" s="6" t="e">
        <f>(BZ28+(Crescimento!#REF!-(BZ28*0.64))/0.8)/1000</f>
        <v>#REF!</v>
      </c>
      <c r="BZ29" s="7" t="e">
        <f>-53.07 + (304.89 * (BY29)) + (90.79 *Crescimento!#REF!) - (3.13 * Crescimento!#REF!*Crescimento!#REF!)</f>
        <v>#REF!</v>
      </c>
      <c r="CB29" s="6" t="e">
        <f>(CC28+(Crescimento!#REF!-(CC28*0.64))/0.8)/1000</f>
        <v>#REF!</v>
      </c>
      <c r="CC29" s="7" t="e">
        <f>-53.07 + (304.89 * (CB29)) + (90.79 *Crescimento!#REF!) - (3.13 * Crescimento!#REF!*Crescimento!#REF!)</f>
        <v>#REF!</v>
      </c>
      <c r="CE29" s="6" t="e">
        <f>(CF28+(Crescimento!#REF!-(CF28*0.64))/0.8)/1000</f>
        <v>#REF!</v>
      </c>
      <c r="CF29" s="7" t="e">
        <f>-53.07 + (304.89 * (CE29)) + (90.79 *Crescimento!#REF!) - (3.13 * Crescimento!#REF!*Crescimento!#REF!)</f>
        <v>#REF!</v>
      </c>
      <c r="CH29" s="6" t="e">
        <f>(CI28+(Crescimento!#REF!-(CI28*0.64))/0.8)/1000</f>
        <v>#REF!</v>
      </c>
      <c r="CI29" s="7" t="e">
        <f>-53.07 + (304.89 * (CH29)) + (90.79 *Crescimento!#REF!) - (3.13 * Crescimento!#REF!*Crescimento!#REF!)</f>
        <v>#REF!</v>
      </c>
      <c r="CJ29" s="1"/>
      <c r="CK29" s="6" t="e">
        <f>(CL28+(Crescimento!#REF!-(CL28*0.64))/0.8)/1000</f>
        <v>#REF!</v>
      </c>
      <c r="CL29" s="7" t="e">
        <f>-53.07 + (304.89 * (CK29)) + (90.79 *Crescimento!#REF!) - (3.13 * Crescimento!#REF!*Crescimento!#REF!)</f>
        <v>#REF!</v>
      </c>
      <c r="CN29" s="6" t="e">
        <f>(CO28+(Crescimento!#REF!-(CO28*0.64))/0.8)/1000</f>
        <v>#REF!</v>
      </c>
      <c r="CO29" s="7" t="e">
        <f>-53.07 + (304.89 * (CN29)) + (90.79 *Crescimento!#REF!) - (3.13 * Crescimento!#REF!*Crescimento!#REF!)</f>
        <v>#REF!</v>
      </c>
      <c r="CQ29" s="6" t="e">
        <f>(CR28+(Crescimento!#REF!-(CR28*0.64))/0.8)/1000</f>
        <v>#REF!</v>
      </c>
      <c r="CR29" s="7" t="e">
        <f>-53.07 + (304.89 * (CQ29)) + (90.79 *Crescimento!#REF!) - (3.13 * Crescimento!#REF!*Crescimento!#REF!)</f>
        <v>#REF!</v>
      </c>
    </row>
    <row r="30" spans="2:96" ht="15" customHeight="1" x14ac:dyDescent="0.25">
      <c r="B30" s="6">
        <f>(C29+(Crescimento!$Q$27-(C29*0.64))/0.8)/1000</f>
        <v>1.1187993738011861</v>
      </c>
      <c r="C30" s="8">
        <f>-53.07 + (304.89 * (B30)) + (90.79 *Crescimento!$Q$20) - (3.13 * Crescimento!$Q$20*Crescimento!$Q$20)</f>
        <v>757.4287040082213</v>
      </c>
      <c r="D30" s="1"/>
      <c r="E30" s="6" t="e">
        <f>(F29+(Crescimento!#REF!-(F29*0.64))/0.8)/1000</f>
        <v>#REF!</v>
      </c>
      <c r="F30" s="7" t="e">
        <f>-53.07 + (304.89 * (E30)) + (90.79 *Crescimento!#REF!) - (3.13 * Crescimento!#REF!*Crescimento!#REF!)</f>
        <v>#REF!</v>
      </c>
      <c r="H30" s="6" t="e">
        <f>(I29+(Crescimento!#REF!-(I29*0.64))/0.8)/1000</f>
        <v>#REF!</v>
      </c>
      <c r="I30" s="7" t="e">
        <f>-53.07 + (304.89 * (H30)) + (90.79 *Crescimento!#REF!) - (3.13 * Crescimento!#REF!*Crescimento!#REF!)</f>
        <v>#REF!</v>
      </c>
      <c r="K30" s="6" t="e">
        <f>(L29+(Crescimento!#REF!-(L29*0.64))/0.8)/1000</f>
        <v>#REF!</v>
      </c>
      <c r="L30" s="7" t="e">
        <f>-53.07 + (304.89 * (K30)) + (90.79 *Crescimento!#REF!) - (3.13 * Crescimento!#REF!*Crescimento!#REF!)</f>
        <v>#REF!</v>
      </c>
      <c r="N30" s="6" t="e">
        <f>(O29+(Crescimento!#REF!-(O29*0.64))/0.8)/1000</f>
        <v>#REF!</v>
      </c>
      <c r="O30" s="7" t="e">
        <f>-53.07 + (304.89 * (N30)) + (90.79 *Crescimento!#REF!) - (3.13 * Crescimento!#REF!*Crescimento!#REF!)</f>
        <v>#REF!</v>
      </c>
      <c r="P30" s="1"/>
      <c r="Q30" s="6" t="e">
        <f>(R29+(Crescimento!#REF!-(R29*0.64))/0.8)/1000</f>
        <v>#REF!</v>
      </c>
      <c r="R30" s="7" t="e">
        <f>-53.07 + (304.89 * (Q30)) + (90.79 *Crescimento!#REF!) - (3.13 * Crescimento!#REF!*Crescimento!#REF!)</f>
        <v>#REF!</v>
      </c>
      <c r="T30" s="6" t="e">
        <f>(U29+(Crescimento!#REF!-(U29*0.64))/0.8)/1000</f>
        <v>#REF!</v>
      </c>
      <c r="U30" s="7" t="e">
        <f>-53.07 + (304.89 * (T30)) + (90.79 *Crescimento!#REF!) - (3.13 * Crescimento!#REF!*Crescimento!#REF!)</f>
        <v>#REF!</v>
      </c>
      <c r="W30" s="6" t="e">
        <f>(X29+(Crescimento!#REF!-(X29*0.64))/0.8)/1000</f>
        <v>#REF!</v>
      </c>
      <c r="X30" s="7" t="e">
        <f>-53.07 + (304.89 * (W30)) + (90.79 *Crescimento!#REF!) - (3.13 * Crescimento!#REF!*Crescimento!#REF!)</f>
        <v>#REF!</v>
      </c>
      <c r="Z30" s="6" t="e">
        <f>(AA29+(Crescimento!#REF!-(AA29*0.64))/0.8)/1000</f>
        <v>#REF!</v>
      </c>
      <c r="AA30" s="7" t="e">
        <f>-53.07 + (304.89 * (Z30)) + (90.79 *Crescimento!#REF!) - (3.13 * Crescimento!#REF!*Crescimento!#REF!)</f>
        <v>#REF!</v>
      </c>
      <c r="AB30" s="1"/>
      <c r="AC30" s="6" t="e">
        <f>(AD29+(Crescimento!#REF!-(AD29*0.64))/0.8)/1000</f>
        <v>#REF!</v>
      </c>
      <c r="AD30" s="7" t="e">
        <f>-53.07 + (304.89 * (AC30)) + (90.79 *Crescimento!#REF!) - (3.13 * Crescimento!#REF!*Crescimento!#REF!)</f>
        <v>#REF!</v>
      </c>
      <c r="AF30" s="6" t="e">
        <f>(AG29+(Crescimento!#REF!-(AG29*0.64))/0.8)/1000</f>
        <v>#REF!</v>
      </c>
      <c r="AG30" s="7" t="e">
        <f>-53.07 + (304.89 * (AF30)) + (90.79 *Crescimento!#REF!) - (3.13 * Crescimento!#REF!*Crescimento!#REF!)</f>
        <v>#REF!</v>
      </c>
      <c r="AI30" s="6" t="e">
        <f>(AJ29+(Crescimento!#REF!-(AJ29*0.64))/0.8)/1000</f>
        <v>#REF!</v>
      </c>
      <c r="AJ30" s="7" t="e">
        <f>-53.07 + (304.89 * (AI30)) + (90.79 *Crescimento!#REF!) - (3.13 * Crescimento!#REF!*Crescimento!#REF!)</f>
        <v>#REF!</v>
      </c>
      <c r="AL30" s="6" t="e">
        <f>(AM29+(Crescimento!#REF!-(AM29*0.64))/0.8)/1000</f>
        <v>#REF!</v>
      </c>
      <c r="AM30" s="7" t="e">
        <f>-53.07 + (304.89 * (AL30)) + (90.79 *Crescimento!#REF!) - (3.13 * Crescimento!#REF!*Crescimento!#REF!)</f>
        <v>#REF!</v>
      </c>
      <c r="AN30" s="1"/>
      <c r="AO30" s="6" t="e">
        <f>(AP29+(Crescimento!#REF!-(AP29*0.64))/0.8)/1000</f>
        <v>#REF!</v>
      </c>
      <c r="AP30" s="7" t="e">
        <f>-53.07 + (304.89 * (AO30)) + (90.79 *Crescimento!#REF!) - (3.13 * Crescimento!#REF!*Crescimento!#REF!)</f>
        <v>#REF!</v>
      </c>
      <c r="AR30" s="6" t="e">
        <f>(AS29+(Crescimento!#REF!-(AS29*0.64))/0.8)/1000</f>
        <v>#REF!</v>
      </c>
      <c r="AS30" s="7" t="e">
        <f>-53.07 + (304.89 * (AR30)) + (90.79 *Crescimento!#REF!) - (3.13 * Crescimento!#REF!*Crescimento!#REF!)</f>
        <v>#REF!</v>
      </c>
      <c r="AU30" s="6" t="e">
        <f>(AV29+(Crescimento!#REF!-(AV29*0.64))/0.8)/1000</f>
        <v>#REF!</v>
      </c>
      <c r="AV30" s="7" t="e">
        <f>-53.07 + (304.89 * (AU30)) + (90.79 *Crescimento!#REF!) - (3.13 * Crescimento!#REF!*Crescimento!#REF!)</f>
        <v>#REF!</v>
      </c>
      <c r="AX30" s="6" t="e">
        <f>(AY29+(Crescimento!#REF!-(AY29*0.64))/0.8)/1000</f>
        <v>#REF!</v>
      </c>
      <c r="AY30" s="7" t="e">
        <f>-53.07 + (304.89 * (AX30)) + (90.79 *Crescimento!#REF!) - (3.13 * Crescimento!#REF!*Crescimento!#REF!)</f>
        <v>#REF!</v>
      </c>
      <c r="AZ30" s="1"/>
      <c r="BA30" s="6" t="e">
        <f>(BB29+(Crescimento!#REF!-(BB29*0.64))/0.8)/1000</f>
        <v>#REF!</v>
      </c>
      <c r="BB30" s="7" t="e">
        <f>-53.07 + (304.89 * (BA30)) + (90.79 *Crescimento!#REF!) - (3.13 * Crescimento!#REF!*Crescimento!#REF!)</f>
        <v>#REF!</v>
      </c>
      <c r="BD30" s="6" t="e">
        <f>(BE29+(Crescimento!#REF!-(BE29*0.64))/0.8)/1000</f>
        <v>#REF!</v>
      </c>
      <c r="BE30" s="7" t="e">
        <f>-53.07 + (304.89 * (BD30)) + (90.79 *Crescimento!#REF!) - (3.13 * Crescimento!#REF!*Crescimento!#REF!)</f>
        <v>#REF!</v>
      </c>
      <c r="BG30" s="6" t="e">
        <f>(BH29+(Crescimento!#REF!-(BH29*0.64))/0.8)/1000</f>
        <v>#REF!</v>
      </c>
      <c r="BH30" s="7" t="e">
        <f>-53.07 + (304.89 * (BG30)) + (90.79 *Crescimento!#REF!) - (3.13 * Crescimento!#REF!*Crescimento!#REF!)</f>
        <v>#REF!</v>
      </c>
      <c r="BJ30" s="6" t="e">
        <f>(BK29+(Crescimento!#REF!-(BK29*0.64))/0.8)/1000</f>
        <v>#REF!</v>
      </c>
      <c r="BK30" s="7" t="e">
        <f>-53.07 + (304.89 * (BJ30)) + (90.79 *Crescimento!#REF!) - (3.13 * Crescimento!#REF!*Crescimento!#REF!)</f>
        <v>#REF!</v>
      </c>
      <c r="BL30" s="1"/>
      <c r="BM30" s="6" t="e">
        <f>(BN29+(Crescimento!#REF!-(BN29*0.64))/0.8)/1000</f>
        <v>#REF!</v>
      </c>
      <c r="BN30" s="7" t="e">
        <f>-53.07 + (304.89 * (BM30)) + (90.79 *Crescimento!#REF!) - (3.13 * Crescimento!#REF!*Crescimento!#REF!)</f>
        <v>#REF!</v>
      </c>
      <c r="BP30" s="6" t="e">
        <f>(BQ29+(Crescimento!#REF!-(BQ29*0.64))/0.8)/1000</f>
        <v>#REF!</v>
      </c>
      <c r="BQ30" s="7" t="e">
        <f>-53.07 + (304.89 * (BP30)) + (90.79 *Crescimento!#REF!) - (3.13 * Crescimento!#REF!*Crescimento!#REF!)</f>
        <v>#REF!</v>
      </c>
      <c r="BS30" s="6" t="e">
        <f>(BT29+(Crescimento!#REF!-(BT29*0.64))/0.8)/1000</f>
        <v>#REF!</v>
      </c>
      <c r="BT30" s="7" t="e">
        <f>-53.07 + (304.89 * (BS30)) + (90.79 *Crescimento!#REF!) - (3.13 * Crescimento!#REF!*Crescimento!#REF!)</f>
        <v>#REF!</v>
      </c>
      <c r="BV30" s="6" t="e">
        <f>(BW29+(Crescimento!#REF!-(BW29*0.64))/0.8)/1000</f>
        <v>#REF!</v>
      </c>
      <c r="BW30" s="7" t="e">
        <f>-53.07 + (304.89 * (BV30)) + (90.79 *Crescimento!#REF!) - (3.13 * Crescimento!#REF!*Crescimento!#REF!)</f>
        <v>#REF!</v>
      </c>
      <c r="BX30" s="1"/>
      <c r="BY30" s="6" t="e">
        <f>(BZ29+(Crescimento!#REF!-(BZ29*0.64))/0.8)/1000</f>
        <v>#REF!</v>
      </c>
      <c r="BZ30" s="7" t="e">
        <f>-53.07 + (304.89 * (BY30)) + (90.79 *Crescimento!#REF!) - (3.13 * Crescimento!#REF!*Crescimento!#REF!)</f>
        <v>#REF!</v>
      </c>
      <c r="CB30" s="6" t="e">
        <f>(CC29+(Crescimento!#REF!-(CC29*0.64))/0.8)/1000</f>
        <v>#REF!</v>
      </c>
      <c r="CC30" s="7" t="e">
        <f>-53.07 + (304.89 * (CB30)) + (90.79 *Crescimento!#REF!) - (3.13 * Crescimento!#REF!*Crescimento!#REF!)</f>
        <v>#REF!</v>
      </c>
      <c r="CE30" s="6" t="e">
        <f>(CF29+(Crescimento!#REF!-(CF29*0.64))/0.8)/1000</f>
        <v>#REF!</v>
      </c>
      <c r="CF30" s="7" t="e">
        <f>-53.07 + (304.89 * (CE30)) + (90.79 *Crescimento!#REF!) - (3.13 * Crescimento!#REF!*Crescimento!#REF!)</f>
        <v>#REF!</v>
      </c>
      <c r="CH30" s="6" t="e">
        <f>(CI29+(Crescimento!#REF!-(CI29*0.64))/0.8)/1000</f>
        <v>#REF!</v>
      </c>
      <c r="CI30" s="7" t="e">
        <f>-53.07 + (304.89 * (CH30)) + (90.79 *Crescimento!#REF!) - (3.13 * Crescimento!#REF!*Crescimento!#REF!)</f>
        <v>#REF!</v>
      </c>
      <c r="CJ30" s="1"/>
      <c r="CK30" s="6" t="e">
        <f>(CL29+(Crescimento!#REF!-(CL29*0.64))/0.8)/1000</f>
        <v>#REF!</v>
      </c>
      <c r="CL30" s="7" t="e">
        <f>-53.07 + (304.89 * (CK30)) + (90.79 *Crescimento!#REF!) - (3.13 * Crescimento!#REF!*Crescimento!#REF!)</f>
        <v>#REF!</v>
      </c>
      <c r="CN30" s="6" t="e">
        <f>(CO29+(Crescimento!#REF!-(CO29*0.64))/0.8)/1000</f>
        <v>#REF!</v>
      </c>
      <c r="CO30" s="7" t="e">
        <f>-53.07 + (304.89 * (CN30)) + (90.79 *Crescimento!#REF!) - (3.13 * Crescimento!#REF!*Crescimento!#REF!)</f>
        <v>#REF!</v>
      </c>
      <c r="CQ30" s="6" t="e">
        <f>(CR29+(Crescimento!#REF!-(CR29*0.64))/0.8)/1000</f>
        <v>#REF!</v>
      </c>
      <c r="CR30" s="7" t="e">
        <f>-53.07 + (304.89 * (CQ30)) + (90.79 *Crescimento!#REF!) - (3.13 * Crescimento!#REF!*Crescimento!#REF!)</f>
        <v>#REF!</v>
      </c>
    </row>
    <row r="31" spans="2:96" ht="15" customHeight="1" x14ac:dyDescent="0.25">
      <c r="B31" s="6">
        <f>(C30+(Crescimento!$Q$27-(C30*0.64))/0.8)/1000</f>
        <v>1.1187993738011861</v>
      </c>
      <c r="C31" s="8">
        <f>-53.07 + (304.89 * (B31)) + (90.79 *Crescimento!$Q$20) - (3.13 * Crescimento!$Q$20*Crescimento!$Q$20)</f>
        <v>757.4287040082213</v>
      </c>
      <c r="D31" s="1"/>
      <c r="E31" s="6" t="e">
        <f>(F30+(Crescimento!#REF!-(F30*0.64))/0.8)/1000</f>
        <v>#REF!</v>
      </c>
      <c r="F31" s="7" t="e">
        <f>-53.07 + (304.89 * (E31)) + (90.79 *Crescimento!#REF!) - (3.13 * Crescimento!#REF!*Crescimento!#REF!)</f>
        <v>#REF!</v>
      </c>
      <c r="H31" s="6" t="e">
        <f>(I30+(Crescimento!#REF!-(I30*0.64))/0.8)/1000</f>
        <v>#REF!</v>
      </c>
      <c r="I31" s="7" t="e">
        <f>-53.07 + (304.89 * (H31)) + (90.79 *Crescimento!#REF!) - (3.13 * Crescimento!#REF!*Crescimento!#REF!)</f>
        <v>#REF!</v>
      </c>
      <c r="K31" s="6" t="e">
        <f>(L30+(Crescimento!#REF!-(L30*0.64))/0.8)/1000</f>
        <v>#REF!</v>
      </c>
      <c r="L31" s="7" t="e">
        <f>-53.07 + (304.89 * (K31)) + (90.79 *Crescimento!#REF!) - (3.13 * Crescimento!#REF!*Crescimento!#REF!)</f>
        <v>#REF!</v>
      </c>
      <c r="N31" s="6" t="e">
        <f>(O30+(Crescimento!#REF!-(O30*0.64))/0.8)/1000</f>
        <v>#REF!</v>
      </c>
      <c r="O31" s="7" t="e">
        <f>-53.07 + (304.89 * (N31)) + (90.79 *Crescimento!#REF!) - (3.13 * Crescimento!#REF!*Crescimento!#REF!)</f>
        <v>#REF!</v>
      </c>
      <c r="P31" s="1"/>
      <c r="Q31" s="6" t="e">
        <f>(R30+(Crescimento!#REF!-(R30*0.64))/0.8)/1000</f>
        <v>#REF!</v>
      </c>
      <c r="R31" s="7" t="e">
        <f>-53.07 + (304.89 * (Q31)) + (90.79 *Crescimento!#REF!) - (3.13 * Crescimento!#REF!*Crescimento!#REF!)</f>
        <v>#REF!</v>
      </c>
      <c r="T31" s="6" t="e">
        <f>(U30+(Crescimento!#REF!-(U30*0.64))/0.8)/1000</f>
        <v>#REF!</v>
      </c>
      <c r="U31" s="7" t="e">
        <f>-53.07 + (304.89 * (T31)) + (90.79 *Crescimento!#REF!) - (3.13 * Crescimento!#REF!*Crescimento!#REF!)</f>
        <v>#REF!</v>
      </c>
      <c r="W31" s="6" t="e">
        <f>(X30+(Crescimento!#REF!-(X30*0.64))/0.8)/1000</f>
        <v>#REF!</v>
      </c>
      <c r="X31" s="7" t="e">
        <f>-53.07 + (304.89 * (W31)) + (90.79 *Crescimento!#REF!) - (3.13 * Crescimento!#REF!*Crescimento!#REF!)</f>
        <v>#REF!</v>
      </c>
      <c r="Z31" s="6" t="e">
        <f>(AA30+(Crescimento!#REF!-(AA30*0.64))/0.8)/1000</f>
        <v>#REF!</v>
      </c>
      <c r="AA31" s="7" t="e">
        <f>-53.07 + (304.89 * (Z31)) + (90.79 *Crescimento!#REF!) - (3.13 * Crescimento!#REF!*Crescimento!#REF!)</f>
        <v>#REF!</v>
      </c>
      <c r="AB31" s="1"/>
      <c r="AC31" s="6" t="e">
        <f>(AD30+(Crescimento!#REF!-(AD30*0.64))/0.8)/1000</f>
        <v>#REF!</v>
      </c>
      <c r="AD31" s="7" t="e">
        <f>-53.07 + (304.89 * (AC31)) + (90.79 *Crescimento!#REF!) - (3.13 * Crescimento!#REF!*Crescimento!#REF!)</f>
        <v>#REF!</v>
      </c>
      <c r="AF31" s="6" t="e">
        <f>(AG30+(Crescimento!#REF!-(AG30*0.64))/0.8)/1000</f>
        <v>#REF!</v>
      </c>
      <c r="AG31" s="7" t="e">
        <f>-53.07 + (304.89 * (AF31)) + (90.79 *Crescimento!#REF!) - (3.13 * Crescimento!#REF!*Crescimento!#REF!)</f>
        <v>#REF!</v>
      </c>
      <c r="AI31" s="6" t="e">
        <f>(AJ30+(Crescimento!#REF!-(AJ30*0.64))/0.8)/1000</f>
        <v>#REF!</v>
      </c>
      <c r="AJ31" s="7" t="e">
        <f>-53.07 + (304.89 * (AI31)) + (90.79 *Crescimento!#REF!) - (3.13 * Crescimento!#REF!*Crescimento!#REF!)</f>
        <v>#REF!</v>
      </c>
      <c r="AL31" s="6" t="e">
        <f>(AM30+(Crescimento!#REF!-(AM30*0.64))/0.8)/1000</f>
        <v>#REF!</v>
      </c>
      <c r="AM31" s="7" t="e">
        <f>-53.07 + (304.89 * (AL31)) + (90.79 *Crescimento!#REF!) - (3.13 * Crescimento!#REF!*Crescimento!#REF!)</f>
        <v>#REF!</v>
      </c>
      <c r="AN31" s="1"/>
      <c r="AO31" s="6" t="e">
        <f>(AP30+(Crescimento!#REF!-(AP30*0.64))/0.8)/1000</f>
        <v>#REF!</v>
      </c>
      <c r="AP31" s="7" t="e">
        <f>-53.07 + (304.89 * (AO31)) + (90.79 *Crescimento!#REF!) - (3.13 * Crescimento!#REF!*Crescimento!#REF!)</f>
        <v>#REF!</v>
      </c>
      <c r="AR31" s="6" t="e">
        <f>(AS30+(Crescimento!#REF!-(AS30*0.64))/0.8)/1000</f>
        <v>#REF!</v>
      </c>
      <c r="AS31" s="7" t="e">
        <f>-53.07 + (304.89 * (AR31)) + (90.79 *Crescimento!#REF!) - (3.13 * Crescimento!#REF!*Crescimento!#REF!)</f>
        <v>#REF!</v>
      </c>
      <c r="AU31" s="6" t="e">
        <f>(AV30+(Crescimento!#REF!-(AV30*0.64))/0.8)/1000</f>
        <v>#REF!</v>
      </c>
      <c r="AV31" s="7" t="e">
        <f>-53.07 + (304.89 * (AU31)) + (90.79 *Crescimento!#REF!) - (3.13 * Crescimento!#REF!*Crescimento!#REF!)</f>
        <v>#REF!</v>
      </c>
      <c r="AX31" s="6" t="e">
        <f>(AY30+(Crescimento!#REF!-(AY30*0.64))/0.8)/1000</f>
        <v>#REF!</v>
      </c>
      <c r="AY31" s="7" t="e">
        <f>-53.07 + (304.89 * (AX31)) + (90.79 *Crescimento!#REF!) - (3.13 * Crescimento!#REF!*Crescimento!#REF!)</f>
        <v>#REF!</v>
      </c>
      <c r="AZ31" s="1"/>
      <c r="BA31" s="6" t="e">
        <f>(BB30+(Crescimento!#REF!-(BB30*0.64))/0.8)/1000</f>
        <v>#REF!</v>
      </c>
      <c r="BB31" s="7" t="e">
        <f>-53.07 + (304.89 * (BA31)) + (90.79 *Crescimento!#REF!) - (3.13 * Crescimento!#REF!*Crescimento!#REF!)</f>
        <v>#REF!</v>
      </c>
      <c r="BD31" s="6" t="e">
        <f>(BE30+(Crescimento!#REF!-(BE30*0.64))/0.8)/1000</f>
        <v>#REF!</v>
      </c>
      <c r="BE31" s="7" t="e">
        <f>-53.07 + (304.89 * (BD31)) + (90.79 *Crescimento!#REF!) - (3.13 * Crescimento!#REF!*Crescimento!#REF!)</f>
        <v>#REF!</v>
      </c>
      <c r="BG31" s="6" t="e">
        <f>(BH30+(Crescimento!#REF!-(BH30*0.64))/0.8)/1000</f>
        <v>#REF!</v>
      </c>
      <c r="BH31" s="7" t="e">
        <f>-53.07 + (304.89 * (BG31)) + (90.79 *Crescimento!#REF!) - (3.13 * Crescimento!#REF!*Crescimento!#REF!)</f>
        <v>#REF!</v>
      </c>
      <c r="BJ31" s="6" t="e">
        <f>(BK30+(Crescimento!#REF!-(BK30*0.64))/0.8)/1000</f>
        <v>#REF!</v>
      </c>
      <c r="BK31" s="7" t="e">
        <f>-53.07 + (304.89 * (BJ31)) + (90.79 *Crescimento!#REF!) - (3.13 * Crescimento!#REF!*Crescimento!#REF!)</f>
        <v>#REF!</v>
      </c>
      <c r="BL31" s="1"/>
      <c r="BM31" s="6" t="e">
        <f>(BN30+(Crescimento!#REF!-(BN30*0.64))/0.8)/1000</f>
        <v>#REF!</v>
      </c>
      <c r="BN31" s="7" t="e">
        <f>-53.07 + (304.89 * (BM31)) + (90.79 *Crescimento!#REF!) - (3.13 * Crescimento!#REF!*Crescimento!#REF!)</f>
        <v>#REF!</v>
      </c>
      <c r="BP31" s="6" t="e">
        <f>(BQ30+(Crescimento!#REF!-(BQ30*0.64))/0.8)/1000</f>
        <v>#REF!</v>
      </c>
      <c r="BQ31" s="7" t="e">
        <f>-53.07 + (304.89 * (BP31)) + (90.79 *Crescimento!#REF!) - (3.13 * Crescimento!#REF!*Crescimento!#REF!)</f>
        <v>#REF!</v>
      </c>
      <c r="BS31" s="6" t="e">
        <f>(BT30+(Crescimento!#REF!-(BT30*0.64))/0.8)/1000</f>
        <v>#REF!</v>
      </c>
      <c r="BT31" s="7" t="e">
        <f>-53.07 + (304.89 * (BS31)) + (90.79 *Crescimento!#REF!) - (3.13 * Crescimento!#REF!*Crescimento!#REF!)</f>
        <v>#REF!</v>
      </c>
      <c r="BV31" s="6" t="e">
        <f>(BW30+(Crescimento!#REF!-(BW30*0.64))/0.8)/1000</f>
        <v>#REF!</v>
      </c>
      <c r="BW31" s="7" t="e">
        <f>-53.07 + (304.89 * (BV31)) + (90.79 *Crescimento!#REF!) - (3.13 * Crescimento!#REF!*Crescimento!#REF!)</f>
        <v>#REF!</v>
      </c>
      <c r="BX31" s="1"/>
      <c r="BY31" s="6" t="e">
        <f>(BZ30+(Crescimento!#REF!-(BZ30*0.64))/0.8)/1000</f>
        <v>#REF!</v>
      </c>
      <c r="BZ31" s="7" t="e">
        <f>-53.07 + (304.89 * (BY31)) + (90.79 *Crescimento!#REF!) - (3.13 * Crescimento!#REF!*Crescimento!#REF!)</f>
        <v>#REF!</v>
      </c>
      <c r="CB31" s="6" t="e">
        <f>(CC30+(Crescimento!#REF!-(CC30*0.64))/0.8)/1000</f>
        <v>#REF!</v>
      </c>
      <c r="CC31" s="7" t="e">
        <f>-53.07 + (304.89 * (CB31)) + (90.79 *Crescimento!#REF!) - (3.13 * Crescimento!#REF!*Crescimento!#REF!)</f>
        <v>#REF!</v>
      </c>
      <c r="CE31" s="6" t="e">
        <f>(CF30+(Crescimento!#REF!-(CF30*0.64))/0.8)/1000</f>
        <v>#REF!</v>
      </c>
      <c r="CF31" s="7" t="e">
        <f>-53.07 + (304.89 * (CE31)) + (90.79 *Crescimento!#REF!) - (3.13 * Crescimento!#REF!*Crescimento!#REF!)</f>
        <v>#REF!</v>
      </c>
      <c r="CH31" s="6" t="e">
        <f>(CI30+(Crescimento!#REF!-(CI30*0.64))/0.8)/1000</f>
        <v>#REF!</v>
      </c>
      <c r="CI31" s="7" t="e">
        <f>-53.07 + (304.89 * (CH31)) + (90.79 *Crescimento!#REF!) - (3.13 * Crescimento!#REF!*Crescimento!#REF!)</f>
        <v>#REF!</v>
      </c>
      <c r="CJ31" s="1"/>
      <c r="CK31" s="6" t="e">
        <f>(CL30+(Crescimento!#REF!-(CL30*0.64))/0.8)/1000</f>
        <v>#REF!</v>
      </c>
      <c r="CL31" s="7" t="e">
        <f>-53.07 + (304.89 * (CK31)) + (90.79 *Crescimento!#REF!) - (3.13 * Crescimento!#REF!*Crescimento!#REF!)</f>
        <v>#REF!</v>
      </c>
      <c r="CN31" s="6" t="e">
        <f>(CO30+(Crescimento!#REF!-(CO30*0.64))/0.8)/1000</f>
        <v>#REF!</v>
      </c>
      <c r="CO31" s="7" t="e">
        <f>-53.07 + (304.89 * (CN31)) + (90.79 *Crescimento!#REF!) - (3.13 * Crescimento!#REF!*Crescimento!#REF!)</f>
        <v>#REF!</v>
      </c>
      <c r="CQ31" s="6" t="e">
        <f>(CR30+(Crescimento!#REF!-(CR30*0.64))/0.8)/1000</f>
        <v>#REF!</v>
      </c>
      <c r="CR31" s="7" t="e">
        <f>-53.07 + (304.89 * (CQ31)) + (90.79 *Crescimento!#REF!) - (3.13 * Crescimento!#REF!*Crescimento!#REF!)</f>
        <v>#REF!</v>
      </c>
    </row>
    <row r="32" spans="2:96" ht="15" customHeight="1" x14ac:dyDescent="0.25">
      <c r="B32" s="6">
        <f>(C31+(Crescimento!$Q$27-(C31*0.64))/0.8)/1000</f>
        <v>1.1187993738011861</v>
      </c>
      <c r="C32" s="8">
        <f>-53.07 + (304.89 * (B32)) + (90.79 *Crescimento!$Q$20) - (3.13 * Crescimento!$Q$20*Crescimento!$Q$20)</f>
        <v>757.4287040082213</v>
      </c>
      <c r="D32" s="1"/>
      <c r="E32" s="6" t="e">
        <f>(F31+(Crescimento!#REF!-(F31*0.64))/0.8)/1000</f>
        <v>#REF!</v>
      </c>
      <c r="F32" s="7" t="e">
        <f>-53.07 + (304.89 * (E32)) + (90.79 *Crescimento!#REF!) - (3.13 * Crescimento!#REF!*Crescimento!#REF!)</f>
        <v>#REF!</v>
      </c>
      <c r="H32" s="6" t="e">
        <f>(I31+(Crescimento!#REF!-(I31*0.64))/0.8)/1000</f>
        <v>#REF!</v>
      </c>
      <c r="I32" s="7" t="e">
        <f>-53.07 + (304.89 * (H32)) + (90.79 *Crescimento!#REF!) - (3.13 * Crescimento!#REF!*Crescimento!#REF!)</f>
        <v>#REF!</v>
      </c>
      <c r="K32" s="6" t="e">
        <f>(L31+(Crescimento!#REF!-(L31*0.64))/0.8)/1000</f>
        <v>#REF!</v>
      </c>
      <c r="L32" s="7" t="e">
        <f>-53.07 + (304.89 * (K32)) + (90.79 *Crescimento!#REF!) - (3.13 * Crescimento!#REF!*Crescimento!#REF!)</f>
        <v>#REF!</v>
      </c>
      <c r="N32" s="6" t="e">
        <f>(O31+(Crescimento!#REF!-(O31*0.64))/0.8)/1000</f>
        <v>#REF!</v>
      </c>
      <c r="O32" s="7" t="e">
        <f>-53.07 + (304.89 * (N32)) + (90.79 *Crescimento!#REF!) - (3.13 * Crescimento!#REF!*Crescimento!#REF!)</f>
        <v>#REF!</v>
      </c>
      <c r="P32" s="1"/>
      <c r="Q32" s="6" t="e">
        <f>(R31+(Crescimento!#REF!-(R31*0.64))/0.8)/1000</f>
        <v>#REF!</v>
      </c>
      <c r="R32" s="7" t="e">
        <f>-53.07 + (304.89 * (Q32)) + (90.79 *Crescimento!#REF!) - (3.13 * Crescimento!#REF!*Crescimento!#REF!)</f>
        <v>#REF!</v>
      </c>
      <c r="T32" s="6" t="e">
        <f>(U31+(Crescimento!#REF!-(U31*0.64))/0.8)/1000</f>
        <v>#REF!</v>
      </c>
      <c r="U32" s="7" t="e">
        <f>-53.07 + (304.89 * (T32)) + (90.79 *Crescimento!#REF!) - (3.13 * Crescimento!#REF!*Crescimento!#REF!)</f>
        <v>#REF!</v>
      </c>
      <c r="W32" s="6" t="e">
        <f>(X31+(Crescimento!#REF!-(X31*0.64))/0.8)/1000</f>
        <v>#REF!</v>
      </c>
      <c r="X32" s="7" t="e">
        <f>-53.07 + (304.89 * (W32)) + (90.79 *Crescimento!#REF!) - (3.13 * Crescimento!#REF!*Crescimento!#REF!)</f>
        <v>#REF!</v>
      </c>
      <c r="Z32" s="6" t="e">
        <f>(AA31+(Crescimento!#REF!-(AA31*0.64))/0.8)/1000</f>
        <v>#REF!</v>
      </c>
      <c r="AA32" s="7" t="e">
        <f>-53.07 + (304.89 * (Z32)) + (90.79 *Crescimento!#REF!) - (3.13 * Crescimento!#REF!*Crescimento!#REF!)</f>
        <v>#REF!</v>
      </c>
      <c r="AB32" s="1"/>
      <c r="AC32" s="6" t="e">
        <f>(AD31+(Crescimento!#REF!-(AD31*0.64))/0.8)/1000</f>
        <v>#REF!</v>
      </c>
      <c r="AD32" s="7" t="e">
        <f>-53.07 + (304.89 * (AC32)) + (90.79 *Crescimento!#REF!) - (3.13 * Crescimento!#REF!*Crescimento!#REF!)</f>
        <v>#REF!</v>
      </c>
      <c r="AF32" s="6" t="e">
        <f>(AG31+(Crescimento!#REF!-(AG31*0.64))/0.8)/1000</f>
        <v>#REF!</v>
      </c>
      <c r="AG32" s="7" t="e">
        <f>-53.07 + (304.89 * (AF32)) + (90.79 *Crescimento!#REF!) - (3.13 * Crescimento!#REF!*Crescimento!#REF!)</f>
        <v>#REF!</v>
      </c>
      <c r="AI32" s="6" t="e">
        <f>(AJ31+(Crescimento!#REF!-(AJ31*0.64))/0.8)/1000</f>
        <v>#REF!</v>
      </c>
      <c r="AJ32" s="7" t="e">
        <f>-53.07 + (304.89 * (AI32)) + (90.79 *Crescimento!#REF!) - (3.13 * Crescimento!#REF!*Crescimento!#REF!)</f>
        <v>#REF!</v>
      </c>
      <c r="AL32" s="6" t="e">
        <f>(AM31+(Crescimento!#REF!-(AM31*0.64))/0.8)/1000</f>
        <v>#REF!</v>
      </c>
      <c r="AM32" s="7" t="e">
        <f>-53.07 + (304.89 * (AL32)) + (90.79 *Crescimento!#REF!) - (3.13 * Crescimento!#REF!*Crescimento!#REF!)</f>
        <v>#REF!</v>
      </c>
      <c r="AN32" s="1"/>
      <c r="AO32" s="6" t="e">
        <f>(AP31+(Crescimento!#REF!-(AP31*0.64))/0.8)/1000</f>
        <v>#REF!</v>
      </c>
      <c r="AP32" s="7" t="e">
        <f>-53.07 + (304.89 * (AO32)) + (90.79 *Crescimento!#REF!) - (3.13 * Crescimento!#REF!*Crescimento!#REF!)</f>
        <v>#REF!</v>
      </c>
      <c r="AR32" s="6" t="e">
        <f>(AS31+(Crescimento!#REF!-(AS31*0.64))/0.8)/1000</f>
        <v>#REF!</v>
      </c>
      <c r="AS32" s="7" t="e">
        <f>-53.07 + (304.89 * (AR32)) + (90.79 *Crescimento!#REF!) - (3.13 * Crescimento!#REF!*Crescimento!#REF!)</f>
        <v>#REF!</v>
      </c>
      <c r="AU32" s="6" t="e">
        <f>(AV31+(Crescimento!#REF!-(AV31*0.64))/0.8)/1000</f>
        <v>#REF!</v>
      </c>
      <c r="AV32" s="7" t="e">
        <f>-53.07 + (304.89 * (AU32)) + (90.79 *Crescimento!#REF!) - (3.13 * Crescimento!#REF!*Crescimento!#REF!)</f>
        <v>#REF!</v>
      </c>
      <c r="AX32" s="6" t="e">
        <f>(AY31+(Crescimento!#REF!-(AY31*0.64))/0.8)/1000</f>
        <v>#REF!</v>
      </c>
      <c r="AY32" s="7" t="e">
        <f>-53.07 + (304.89 * (AX32)) + (90.79 *Crescimento!#REF!) - (3.13 * Crescimento!#REF!*Crescimento!#REF!)</f>
        <v>#REF!</v>
      </c>
      <c r="AZ32" s="1"/>
      <c r="BA32" s="6" t="e">
        <f>(BB31+(Crescimento!#REF!-(BB31*0.64))/0.8)/1000</f>
        <v>#REF!</v>
      </c>
      <c r="BB32" s="7" t="e">
        <f>-53.07 + (304.89 * (BA32)) + (90.79 *Crescimento!#REF!) - (3.13 * Crescimento!#REF!*Crescimento!#REF!)</f>
        <v>#REF!</v>
      </c>
      <c r="BD32" s="6" t="e">
        <f>(BE31+(Crescimento!#REF!-(BE31*0.64))/0.8)/1000</f>
        <v>#REF!</v>
      </c>
      <c r="BE32" s="7" t="e">
        <f>-53.07 + (304.89 * (BD32)) + (90.79 *Crescimento!#REF!) - (3.13 * Crescimento!#REF!*Crescimento!#REF!)</f>
        <v>#REF!</v>
      </c>
      <c r="BG32" s="6" t="e">
        <f>(BH31+(Crescimento!#REF!-(BH31*0.64))/0.8)/1000</f>
        <v>#REF!</v>
      </c>
      <c r="BH32" s="7" t="e">
        <f>-53.07 + (304.89 * (BG32)) + (90.79 *Crescimento!#REF!) - (3.13 * Crescimento!#REF!*Crescimento!#REF!)</f>
        <v>#REF!</v>
      </c>
      <c r="BJ32" s="6" t="e">
        <f>(BK31+(Crescimento!#REF!-(BK31*0.64))/0.8)/1000</f>
        <v>#REF!</v>
      </c>
      <c r="BK32" s="7" t="e">
        <f>-53.07 + (304.89 * (BJ32)) + (90.79 *Crescimento!#REF!) - (3.13 * Crescimento!#REF!*Crescimento!#REF!)</f>
        <v>#REF!</v>
      </c>
      <c r="BL32" s="1"/>
      <c r="BM32" s="6" t="e">
        <f>(BN31+(Crescimento!#REF!-(BN31*0.64))/0.8)/1000</f>
        <v>#REF!</v>
      </c>
      <c r="BN32" s="7" t="e">
        <f>-53.07 + (304.89 * (BM32)) + (90.79 *Crescimento!#REF!) - (3.13 * Crescimento!#REF!*Crescimento!#REF!)</f>
        <v>#REF!</v>
      </c>
      <c r="BP32" s="6" t="e">
        <f>(BQ31+(Crescimento!#REF!-(BQ31*0.64))/0.8)/1000</f>
        <v>#REF!</v>
      </c>
      <c r="BQ32" s="7" t="e">
        <f>-53.07 + (304.89 * (BP32)) + (90.79 *Crescimento!#REF!) - (3.13 * Crescimento!#REF!*Crescimento!#REF!)</f>
        <v>#REF!</v>
      </c>
      <c r="BS32" s="6" t="e">
        <f>(BT31+(Crescimento!#REF!-(BT31*0.64))/0.8)/1000</f>
        <v>#REF!</v>
      </c>
      <c r="BT32" s="7" t="e">
        <f>-53.07 + (304.89 * (BS32)) + (90.79 *Crescimento!#REF!) - (3.13 * Crescimento!#REF!*Crescimento!#REF!)</f>
        <v>#REF!</v>
      </c>
      <c r="BV32" s="6" t="e">
        <f>(BW31+(Crescimento!#REF!-(BW31*0.64))/0.8)/1000</f>
        <v>#REF!</v>
      </c>
      <c r="BW32" s="7" t="e">
        <f>-53.07 + (304.89 * (BV32)) + (90.79 *Crescimento!#REF!) - (3.13 * Crescimento!#REF!*Crescimento!#REF!)</f>
        <v>#REF!</v>
      </c>
      <c r="BX32" s="1"/>
      <c r="BY32" s="6" t="e">
        <f>(BZ31+(Crescimento!#REF!-(BZ31*0.64))/0.8)/1000</f>
        <v>#REF!</v>
      </c>
      <c r="BZ32" s="7" t="e">
        <f>-53.07 + (304.89 * (BY32)) + (90.79 *Crescimento!#REF!) - (3.13 * Crescimento!#REF!*Crescimento!#REF!)</f>
        <v>#REF!</v>
      </c>
      <c r="CB32" s="6" t="e">
        <f>(CC31+(Crescimento!#REF!-(CC31*0.64))/0.8)/1000</f>
        <v>#REF!</v>
      </c>
      <c r="CC32" s="7" t="e">
        <f>-53.07 + (304.89 * (CB32)) + (90.79 *Crescimento!#REF!) - (3.13 * Crescimento!#REF!*Crescimento!#REF!)</f>
        <v>#REF!</v>
      </c>
      <c r="CE32" s="6" t="e">
        <f>(CF31+(Crescimento!#REF!-(CF31*0.64))/0.8)/1000</f>
        <v>#REF!</v>
      </c>
      <c r="CF32" s="7" t="e">
        <f>-53.07 + (304.89 * (CE32)) + (90.79 *Crescimento!#REF!) - (3.13 * Crescimento!#REF!*Crescimento!#REF!)</f>
        <v>#REF!</v>
      </c>
      <c r="CH32" s="6" t="e">
        <f>(CI31+(Crescimento!#REF!-(CI31*0.64))/0.8)/1000</f>
        <v>#REF!</v>
      </c>
      <c r="CI32" s="7" t="e">
        <f>-53.07 + (304.89 * (CH32)) + (90.79 *Crescimento!#REF!) - (3.13 * Crescimento!#REF!*Crescimento!#REF!)</f>
        <v>#REF!</v>
      </c>
      <c r="CJ32" s="1"/>
      <c r="CK32" s="6" t="e">
        <f>(CL31+(Crescimento!#REF!-(CL31*0.64))/0.8)/1000</f>
        <v>#REF!</v>
      </c>
      <c r="CL32" s="7" t="e">
        <f>-53.07 + (304.89 * (CK32)) + (90.79 *Crescimento!#REF!) - (3.13 * Crescimento!#REF!*Crescimento!#REF!)</f>
        <v>#REF!</v>
      </c>
      <c r="CN32" s="6" t="e">
        <f>(CO31+(Crescimento!#REF!-(CO31*0.64))/0.8)/1000</f>
        <v>#REF!</v>
      </c>
      <c r="CO32" s="7" t="e">
        <f>-53.07 + (304.89 * (CN32)) + (90.79 *Crescimento!#REF!) - (3.13 * Crescimento!#REF!*Crescimento!#REF!)</f>
        <v>#REF!</v>
      </c>
      <c r="CQ32" s="6" t="e">
        <f>(CR31+(Crescimento!#REF!-(CR31*0.64))/0.8)/1000</f>
        <v>#REF!</v>
      </c>
      <c r="CR32" s="7" t="e">
        <f>-53.07 + (304.89 * (CQ32)) + (90.79 *Crescimento!#REF!) - (3.13 * Crescimento!#REF!*Crescimento!#REF!)</f>
        <v>#REF!</v>
      </c>
    </row>
    <row r="33" spans="2:96" ht="15" customHeight="1" x14ac:dyDescent="0.25">
      <c r="B33" s="6">
        <f>(C32+(Crescimento!$Q$27-(C32*0.64))/0.8)/1000</f>
        <v>1.1187993738011861</v>
      </c>
      <c r="C33" s="8">
        <f>-53.07 + (304.89 * (B33)) + (90.79 *Crescimento!$Q$20) - (3.13 * Crescimento!$Q$20*Crescimento!$Q$20)</f>
        <v>757.4287040082213</v>
      </c>
      <c r="D33" s="1"/>
      <c r="E33" s="6" t="e">
        <f>(F32+(Crescimento!#REF!-(F32*0.64))/0.8)/1000</f>
        <v>#REF!</v>
      </c>
      <c r="F33" s="7" t="e">
        <f>-53.07 + (304.89 * (E33)) + (90.79 *Crescimento!#REF!) - (3.13 * Crescimento!#REF!*Crescimento!#REF!)</f>
        <v>#REF!</v>
      </c>
      <c r="H33" s="6" t="e">
        <f>(I32+(Crescimento!#REF!-(I32*0.64))/0.8)/1000</f>
        <v>#REF!</v>
      </c>
      <c r="I33" s="7" t="e">
        <f>-53.07 + (304.89 * (H33)) + (90.79 *Crescimento!#REF!) - (3.13 * Crescimento!#REF!*Crescimento!#REF!)</f>
        <v>#REF!</v>
      </c>
      <c r="K33" s="6" t="e">
        <f>(L32+(Crescimento!#REF!-(L32*0.64))/0.8)/1000</f>
        <v>#REF!</v>
      </c>
      <c r="L33" s="7" t="e">
        <f>-53.07 + (304.89 * (K33)) + (90.79 *Crescimento!#REF!) - (3.13 * Crescimento!#REF!*Crescimento!#REF!)</f>
        <v>#REF!</v>
      </c>
      <c r="N33" s="6" t="e">
        <f>(O32+(Crescimento!#REF!-(O32*0.64))/0.8)/1000</f>
        <v>#REF!</v>
      </c>
      <c r="O33" s="7" t="e">
        <f>-53.07 + (304.89 * (N33)) + (90.79 *Crescimento!#REF!) - (3.13 * Crescimento!#REF!*Crescimento!#REF!)</f>
        <v>#REF!</v>
      </c>
      <c r="P33" s="1"/>
      <c r="Q33" s="6" t="e">
        <f>(R32+(Crescimento!#REF!-(R32*0.64))/0.8)/1000</f>
        <v>#REF!</v>
      </c>
      <c r="R33" s="7" t="e">
        <f>-53.07 + (304.89 * (Q33)) + (90.79 *Crescimento!#REF!) - (3.13 * Crescimento!#REF!*Crescimento!#REF!)</f>
        <v>#REF!</v>
      </c>
      <c r="T33" s="6" t="e">
        <f>(U32+(Crescimento!#REF!-(U32*0.64))/0.8)/1000</f>
        <v>#REF!</v>
      </c>
      <c r="U33" s="7" t="e">
        <f>-53.07 + (304.89 * (T33)) + (90.79 *Crescimento!#REF!) - (3.13 * Crescimento!#REF!*Crescimento!#REF!)</f>
        <v>#REF!</v>
      </c>
      <c r="W33" s="6" t="e">
        <f>(X32+(Crescimento!#REF!-(X32*0.64))/0.8)/1000</f>
        <v>#REF!</v>
      </c>
      <c r="X33" s="7" t="e">
        <f>-53.07 + (304.89 * (W33)) + (90.79 *Crescimento!#REF!) - (3.13 * Crescimento!#REF!*Crescimento!#REF!)</f>
        <v>#REF!</v>
      </c>
      <c r="Z33" s="6" t="e">
        <f>(AA32+(Crescimento!#REF!-(AA32*0.64))/0.8)/1000</f>
        <v>#REF!</v>
      </c>
      <c r="AA33" s="7" t="e">
        <f>-53.07 + (304.89 * (Z33)) + (90.79 *Crescimento!#REF!) - (3.13 * Crescimento!#REF!*Crescimento!#REF!)</f>
        <v>#REF!</v>
      </c>
      <c r="AB33" s="1"/>
      <c r="AC33" s="6" t="e">
        <f>(AD32+(Crescimento!#REF!-(AD32*0.64))/0.8)/1000</f>
        <v>#REF!</v>
      </c>
      <c r="AD33" s="7" t="e">
        <f>-53.07 + (304.89 * (AC33)) + (90.79 *Crescimento!#REF!) - (3.13 * Crescimento!#REF!*Crescimento!#REF!)</f>
        <v>#REF!</v>
      </c>
      <c r="AF33" s="6" t="e">
        <f>(AG32+(Crescimento!#REF!-(AG32*0.64))/0.8)/1000</f>
        <v>#REF!</v>
      </c>
      <c r="AG33" s="7" t="e">
        <f>-53.07 + (304.89 * (AF33)) + (90.79 *Crescimento!#REF!) - (3.13 * Crescimento!#REF!*Crescimento!#REF!)</f>
        <v>#REF!</v>
      </c>
      <c r="AI33" s="6" t="e">
        <f>(AJ32+(Crescimento!#REF!-(AJ32*0.64))/0.8)/1000</f>
        <v>#REF!</v>
      </c>
      <c r="AJ33" s="7" t="e">
        <f>-53.07 + (304.89 * (AI33)) + (90.79 *Crescimento!#REF!) - (3.13 * Crescimento!#REF!*Crescimento!#REF!)</f>
        <v>#REF!</v>
      </c>
      <c r="AL33" s="6" t="e">
        <f>(AM32+(Crescimento!#REF!-(AM32*0.64))/0.8)/1000</f>
        <v>#REF!</v>
      </c>
      <c r="AM33" s="7" t="e">
        <f>-53.07 + (304.89 * (AL33)) + (90.79 *Crescimento!#REF!) - (3.13 * Crescimento!#REF!*Crescimento!#REF!)</f>
        <v>#REF!</v>
      </c>
      <c r="AN33" s="1"/>
      <c r="AO33" s="6" t="e">
        <f>(AP32+(Crescimento!#REF!-(AP32*0.64))/0.8)/1000</f>
        <v>#REF!</v>
      </c>
      <c r="AP33" s="7" t="e">
        <f>-53.07 + (304.89 * (AO33)) + (90.79 *Crescimento!#REF!) - (3.13 * Crescimento!#REF!*Crescimento!#REF!)</f>
        <v>#REF!</v>
      </c>
      <c r="AR33" s="6" t="e">
        <f>(AS32+(Crescimento!#REF!-(AS32*0.64))/0.8)/1000</f>
        <v>#REF!</v>
      </c>
      <c r="AS33" s="7" t="e">
        <f>-53.07 + (304.89 * (AR33)) + (90.79 *Crescimento!#REF!) - (3.13 * Crescimento!#REF!*Crescimento!#REF!)</f>
        <v>#REF!</v>
      </c>
      <c r="AU33" s="6" t="e">
        <f>(AV32+(Crescimento!#REF!-(AV32*0.64))/0.8)/1000</f>
        <v>#REF!</v>
      </c>
      <c r="AV33" s="7" t="e">
        <f>-53.07 + (304.89 * (AU33)) + (90.79 *Crescimento!#REF!) - (3.13 * Crescimento!#REF!*Crescimento!#REF!)</f>
        <v>#REF!</v>
      </c>
      <c r="AX33" s="6" t="e">
        <f>(AY32+(Crescimento!#REF!-(AY32*0.64))/0.8)/1000</f>
        <v>#REF!</v>
      </c>
      <c r="AY33" s="7" t="e">
        <f>-53.07 + (304.89 * (AX33)) + (90.79 *Crescimento!#REF!) - (3.13 * Crescimento!#REF!*Crescimento!#REF!)</f>
        <v>#REF!</v>
      </c>
      <c r="AZ33" s="1"/>
      <c r="BA33" s="6" t="e">
        <f>(BB32+(Crescimento!#REF!-(BB32*0.64))/0.8)/1000</f>
        <v>#REF!</v>
      </c>
      <c r="BB33" s="7" t="e">
        <f>-53.07 + (304.89 * (BA33)) + (90.79 *Crescimento!#REF!) - (3.13 * Crescimento!#REF!*Crescimento!#REF!)</f>
        <v>#REF!</v>
      </c>
      <c r="BD33" s="6" t="e">
        <f>(BE32+(Crescimento!#REF!-(BE32*0.64))/0.8)/1000</f>
        <v>#REF!</v>
      </c>
      <c r="BE33" s="7" t="e">
        <f>-53.07 + (304.89 * (BD33)) + (90.79 *Crescimento!#REF!) - (3.13 * Crescimento!#REF!*Crescimento!#REF!)</f>
        <v>#REF!</v>
      </c>
      <c r="BG33" s="6" t="e">
        <f>(BH32+(Crescimento!#REF!-(BH32*0.64))/0.8)/1000</f>
        <v>#REF!</v>
      </c>
      <c r="BH33" s="7" t="e">
        <f>-53.07 + (304.89 * (BG33)) + (90.79 *Crescimento!#REF!) - (3.13 * Crescimento!#REF!*Crescimento!#REF!)</f>
        <v>#REF!</v>
      </c>
      <c r="BJ33" s="6" t="e">
        <f>(BK32+(Crescimento!#REF!-(BK32*0.64))/0.8)/1000</f>
        <v>#REF!</v>
      </c>
      <c r="BK33" s="7" t="e">
        <f>-53.07 + (304.89 * (BJ33)) + (90.79 *Crescimento!#REF!) - (3.13 * Crescimento!#REF!*Crescimento!#REF!)</f>
        <v>#REF!</v>
      </c>
      <c r="BL33" s="1"/>
      <c r="BM33" s="6" t="e">
        <f>(BN32+(Crescimento!#REF!-(BN32*0.64))/0.8)/1000</f>
        <v>#REF!</v>
      </c>
      <c r="BN33" s="7" t="e">
        <f>-53.07 + (304.89 * (BM33)) + (90.79 *Crescimento!#REF!) - (3.13 * Crescimento!#REF!*Crescimento!#REF!)</f>
        <v>#REF!</v>
      </c>
      <c r="BP33" s="6" t="e">
        <f>(BQ32+(Crescimento!#REF!-(BQ32*0.64))/0.8)/1000</f>
        <v>#REF!</v>
      </c>
      <c r="BQ33" s="7" t="e">
        <f>-53.07 + (304.89 * (BP33)) + (90.79 *Crescimento!#REF!) - (3.13 * Crescimento!#REF!*Crescimento!#REF!)</f>
        <v>#REF!</v>
      </c>
      <c r="BS33" s="6" t="e">
        <f>(BT32+(Crescimento!#REF!-(BT32*0.64))/0.8)/1000</f>
        <v>#REF!</v>
      </c>
      <c r="BT33" s="7" t="e">
        <f>-53.07 + (304.89 * (BS33)) + (90.79 *Crescimento!#REF!) - (3.13 * Crescimento!#REF!*Crescimento!#REF!)</f>
        <v>#REF!</v>
      </c>
      <c r="BV33" s="6" t="e">
        <f>(BW32+(Crescimento!#REF!-(BW32*0.64))/0.8)/1000</f>
        <v>#REF!</v>
      </c>
      <c r="BW33" s="7" t="e">
        <f>-53.07 + (304.89 * (BV33)) + (90.79 *Crescimento!#REF!) - (3.13 * Crescimento!#REF!*Crescimento!#REF!)</f>
        <v>#REF!</v>
      </c>
      <c r="BX33" s="1"/>
      <c r="BY33" s="6" t="e">
        <f>(BZ32+(Crescimento!#REF!-(BZ32*0.64))/0.8)/1000</f>
        <v>#REF!</v>
      </c>
      <c r="BZ33" s="7" t="e">
        <f>-53.07 + (304.89 * (BY33)) + (90.79 *Crescimento!#REF!) - (3.13 * Crescimento!#REF!*Crescimento!#REF!)</f>
        <v>#REF!</v>
      </c>
      <c r="CB33" s="6" t="e">
        <f>(CC32+(Crescimento!#REF!-(CC32*0.64))/0.8)/1000</f>
        <v>#REF!</v>
      </c>
      <c r="CC33" s="7" t="e">
        <f>-53.07 + (304.89 * (CB33)) + (90.79 *Crescimento!#REF!) - (3.13 * Crescimento!#REF!*Crescimento!#REF!)</f>
        <v>#REF!</v>
      </c>
      <c r="CE33" s="6" t="e">
        <f>(CF32+(Crescimento!#REF!-(CF32*0.64))/0.8)/1000</f>
        <v>#REF!</v>
      </c>
      <c r="CF33" s="7" t="e">
        <f>-53.07 + (304.89 * (CE33)) + (90.79 *Crescimento!#REF!) - (3.13 * Crescimento!#REF!*Crescimento!#REF!)</f>
        <v>#REF!</v>
      </c>
      <c r="CH33" s="6" t="e">
        <f>(CI32+(Crescimento!#REF!-(CI32*0.64))/0.8)/1000</f>
        <v>#REF!</v>
      </c>
      <c r="CI33" s="7" t="e">
        <f>-53.07 + (304.89 * (CH33)) + (90.79 *Crescimento!#REF!) - (3.13 * Crescimento!#REF!*Crescimento!#REF!)</f>
        <v>#REF!</v>
      </c>
      <c r="CJ33" s="1"/>
      <c r="CK33" s="6" t="e">
        <f>(CL32+(Crescimento!#REF!-(CL32*0.64))/0.8)/1000</f>
        <v>#REF!</v>
      </c>
      <c r="CL33" s="7" t="e">
        <f>-53.07 + (304.89 * (CK33)) + (90.79 *Crescimento!#REF!) - (3.13 * Crescimento!#REF!*Crescimento!#REF!)</f>
        <v>#REF!</v>
      </c>
      <c r="CN33" s="6" t="e">
        <f>(CO32+(Crescimento!#REF!-(CO32*0.64))/0.8)/1000</f>
        <v>#REF!</v>
      </c>
      <c r="CO33" s="7" t="e">
        <f>-53.07 + (304.89 * (CN33)) + (90.79 *Crescimento!#REF!) - (3.13 * Crescimento!#REF!*Crescimento!#REF!)</f>
        <v>#REF!</v>
      </c>
      <c r="CQ33" s="6" t="e">
        <f>(CR32+(Crescimento!#REF!-(CR32*0.64))/0.8)/1000</f>
        <v>#REF!</v>
      </c>
      <c r="CR33" s="7" t="e">
        <f>-53.07 + (304.89 * (CQ33)) + (90.79 *Crescimento!#REF!) - (3.13 * Crescimento!#REF!*Crescimento!#REF!)</f>
        <v>#REF!</v>
      </c>
    </row>
    <row r="34" spans="2:96" ht="15" customHeight="1" x14ac:dyDescent="0.25">
      <c r="B34" s="6">
        <f>(C33+(Crescimento!$Q$27-(C33*0.64))/0.8)/1000</f>
        <v>1.1187993738011861</v>
      </c>
      <c r="C34" s="8">
        <f>-53.07 + (304.89 * (B34)) + (90.79 *Crescimento!$Q$20) - (3.13 * Crescimento!$Q$20*Crescimento!$Q$20)</f>
        <v>757.4287040082213</v>
      </c>
      <c r="D34" s="1"/>
      <c r="E34" s="6" t="e">
        <f>(F33+(Crescimento!#REF!-(F33*0.64))/0.8)/1000</f>
        <v>#REF!</v>
      </c>
      <c r="F34" s="7" t="e">
        <f>-53.07 + (304.89 * (E34)) + (90.79 *Crescimento!#REF!) - (3.13 * Crescimento!#REF!*Crescimento!#REF!)</f>
        <v>#REF!</v>
      </c>
      <c r="H34" s="6" t="e">
        <f>(I33+(Crescimento!#REF!-(I33*0.64))/0.8)/1000</f>
        <v>#REF!</v>
      </c>
      <c r="I34" s="7" t="e">
        <f>-53.07 + (304.89 * (H34)) + (90.79 *Crescimento!#REF!) - (3.13 * Crescimento!#REF!*Crescimento!#REF!)</f>
        <v>#REF!</v>
      </c>
      <c r="K34" s="6" t="e">
        <f>(L33+(Crescimento!#REF!-(L33*0.64))/0.8)/1000</f>
        <v>#REF!</v>
      </c>
      <c r="L34" s="7" t="e">
        <f>-53.07 + (304.89 * (K34)) + (90.79 *Crescimento!#REF!) - (3.13 * Crescimento!#REF!*Crescimento!#REF!)</f>
        <v>#REF!</v>
      </c>
      <c r="N34" s="6" t="e">
        <f>(O33+(Crescimento!#REF!-(O33*0.64))/0.8)/1000</f>
        <v>#REF!</v>
      </c>
      <c r="O34" s="7" t="e">
        <f>-53.07 + (304.89 * (N34)) + (90.79 *Crescimento!#REF!) - (3.13 * Crescimento!#REF!*Crescimento!#REF!)</f>
        <v>#REF!</v>
      </c>
      <c r="P34" s="1"/>
      <c r="Q34" s="6" t="e">
        <f>(R33+(Crescimento!#REF!-(R33*0.64))/0.8)/1000</f>
        <v>#REF!</v>
      </c>
      <c r="R34" s="7" t="e">
        <f>-53.07 + (304.89 * (Q34)) + (90.79 *Crescimento!#REF!) - (3.13 * Crescimento!#REF!*Crescimento!#REF!)</f>
        <v>#REF!</v>
      </c>
      <c r="T34" s="6" t="e">
        <f>(U33+(Crescimento!#REF!-(U33*0.64))/0.8)/1000</f>
        <v>#REF!</v>
      </c>
      <c r="U34" s="7" t="e">
        <f>-53.07 + (304.89 * (T34)) + (90.79 *Crescimento!#REF!) - (3.13 * Crescimento!#REF!*Crescimento!#REF!)</f>
        <v>#REF!</v>
      </c>
      <c r="W34" s="6" t="e">
        <f>(X33+(Crescimento!#REF!-(X33*0.64))/0.8)/1000</f>
        <v>#REF!</v>
      </c>
      <c r="X34" s="7" t="e">
        <f>-53.07 + (304.89 * (W34)) + (90.79 *Crescimento!#REF!) - (3.13 * Crescimento!#REF!*Crescimento!#REF!)</f>
        <v>#REF!</v>
      </c>
      <c r="Z34" s="6" t="e">
        <f>(AA33+(Crescimento!#REF!-(AA33*0.64))/0.8)/1000</f>
        <v>#REF!</v>
      </c>
      <c r="AA34" s="7" t="e">
        <f>-53.07 + (304.89 * (Z34)) + (90.79 *Crescimento!#REF!) - (3.13 * Crescimento!#REF!*Crescimento!#REF!)</f>
        <v>#REF!</v>
      </c>
      <c r="AB34" s="1"/>
      <c r="AC34" s="6" t="e">
        <f>(AD33+(Crescimento!#REF!-(AD33*0.64))/0.8)/1000</f>
        <v>#REF!</v>
      </c>
      <c r="AD34" s="7" t="e">
        <f>-53.07 + (304.89 * (AC34)) + (90.79 *Crescimento!#REF!) - (3.13 * Crescimento!#REF!*Crescimento!#REF!)</f>
        <v>#REF!</v>
      </c>
      <c r="AF34" s="6" t="e">
        <f>(AG33+(Crescimento!#REF!-(AG33*0.64))/0.8)/1000</f>
        <v>#REF!</v>
      </c>
      <c r="AG34" s="7" t="e">
        <f>-53.07 + (304.89 * (AF34)) + (90.79 *Crescimento!#REF!) - (3.13 * Crescimento!#REF!*Crescimento!#REF!)</f>
        <v>#REF!</v>
      </c>
      <c r="AI34" s="6" t="e">
        <f>(AJ33+(Crescimento!#REF!-(AJ33*0.64))/0.8)/1000</f>
        <v>#REF!</v>
      </c>
      <c r="AJ34" s="7" t="e">
        <f>-53.07 + (304.89 * (AI34)) + (90.79 *Crescimento!#REF!) - (3.13 * Crescimento!#REF!*Crescimento!#REF!)</f>
        <v>#REF!</v>
      </c>
      <c r="AL34" s="6" t="e">
        <f>(AM33+(Crescimento!#REF!-(AM33*0.64))/0.8)/1000</f>
        <v>#REF!</v>
      </c>
      <c r="AM34" s="7" t="e">
        <f>-53.07 + (304.89 * (AL34)) + (90.79 *Crescimento!#REF!) - (3.13 * Crescimento!#REF!*Crescimento!#REF!)</f>
        <v>#REF!</v>
      </c>
      <c r="AN34" s="1"/>
      <c r="AO34" s="6" t="e">
        <f>(AP33+(Crescimento!#REF!-(AP33*0.64))/0.8)/1000</f>
        <v>#REF!</v>
      </c>
      <c r="AP34" s="7" t="e">
        <f>-53.07 + (304.89 * (AO34)) + (90.79 *Crescimento!#REF!) - (3.13 * Crescimento!#REF!*Crescimento!#REF!)</f>
        <v>#REF!</v>
      </c>
      <c r="AR34" s="6" t="e">
        <f>(AS33+(Crescimento!#REF!-(AS33*0.64))/0.8)/1000</f>
        <v>#REF!</v>
      </c>
      <c r="AS34" s="7" t="e">
        <f>-53.07 + (304.89 * (AR34)) + (90.79 *Crescimento!#REF!) - (3.13 * Crescimento!#REF!*Crescimento!#REF!)</f>
        <v>#REF!</v>
      </c>
      <c r="AU34" s="6" t="e">
        <f>(AV33+(Crescimento!#REF!-(AV33*0.64))/0.8)/1000</f>
        <v>#REF!</v>
      </c>
      <c r="AV34" s="7" t="e">
        <f>-53.07 + (304.89 * (AU34)) + (90.79 *Crescimento!#REF!) - (3.13 * Crescimento!#REF!*Crescimento!#REF!)</f>
        <v>#REF!</v>
      </c>
      <c r="AX34" s="6" t="e">
        <f>(AY33+(Crescimento!#REF!-(AY33*0.64))/0.8)/1000</f>
        <v>#REF!</v>
      </c>
      <c r="AY34" s="7" t="e">
        <f>-53.07 + (304.89 * (AX34)) + (90.79 *Crescimento!#REF!) - (3.13 * Crescimento!#REF!*Crescimento!#REF!)</f>
        <v>#REF!</v>
      </c>
      <c r="AZ34" s="1"/>
      <c r="BA34" s="6" t="e">
        <f>(BB33+(Crescimento!#REF!-(BB33*0.64))/0.8)/1000</f>
        <v>#REF!</v>
      </c>
      <c r="BB34" s="7" t="e">
        <f>-53.07 + (304.89 * (BA34)) + (90.79 *Crescimento!#REF!) - (3.13 * Crescimento!#REF!*Crescimento!#REF!)</f>
        <v>#REF!</v>
      </c>
      <c r="BD34" s="6" t="e">
        <f>(BE33+(Crescimento!#REF!-(BE33*0.64))/0.8)/1000</f>
        <v>#REF!</v>
      </c>
      <c r="BE34" s="7" t="e">
        <f>-53.07 + (304.89 * (BD34)) + (90.79 *Crescimento!#REF!) - (3.13 * Crescimento!#REF!*Crescimento!#REF!)</f>
        <v>#REF!</v>
      </c>
      <c r="BG34" s="6" t="e">
        <f>(BH33+(Crescimento!#REF!-(BH33*0.64))/0.8)/1000</f>
        <v>#REF!</v>
      </c>
      <c r="BH34" s="7" t="e">
        <f>-53.07 + (304.89 * (BG34)) + (90.79 *Crescimento!#REF!) - (3.13 * Crescimento!#REF!*Crescimento!#REF!)</f>
        <v>#REF!</v>
      </c>
      <c r="BJ34" s="6" t="e">
        <f>(BK33+(Crescimento!#REF!-(BK33*0.64))/0.8)/1000</f>
        <v>#REF!</v>
      </c>
      <c r="BK34" s="7" t="e">
        <f>-53.07 + (304.89 * (BJ34)) + (90.79 *Crescimento!#REF!) - (3.13 * Crescimento!#REF!*Crescimento!#REF!)</f>
        <v>#REF!</v>
      </c>
      <c r="BL34" s="1"/>
      <c r="BM34" s="6" t="e">
        <f>(BN33+(Crescimento!#REF!-(BN33*0.64))/0.8)/1000</f>
        <v>#REF!</v>
      </c>
      <c r="BN34" s="7" t="e">
        <f>-53.07 + (304.89 * (BM34)) + (90.79 *Crescimento!#REF!) - (3.13 * Crescimento!#REF!*Crescimento!#REF!)</f>
        <v>#REF!</v>
      </c>
      <c r="BP34" s="6" t="e">
        <f>(BQ33+(Crescimento!#REF!-(BQ33*0.64))/0.8)/1000</f>
        <v>#REF!</v>
      </c>
      <c r="BQ34" s="7" t="e">
        <f>-53.07 + (304.89 * (BP34)) + (90.79 *Crescimento!#REF!) - (3.13 * Crescimento!#REF!*Crescimento!#REF!)</f>
        <v>#REF!</v>
      </c>
      <c r="BS34" s="6" t="e">
        <f>(BT33+(Crescimento!#REF!-(BT33*0.64))/0.8)/1000</f>
        <v>#REF!</v>
      </c>
      <c r="BT34" s="7" t="e">
        <f>-53.07 + (304.89 * (BS34)) + (90.79 *Crescimento!#REF!) - (3.13 * Crescimento!#REF!*Crescimento!#REF!)</f>
        <v>#REF!</v>
      </c>
      <c r="BV34" s="6" t="e">
        <f>(BW33+(Crescimento!#REF!-(BW33*0.64))/0.8)/1000</f>
        <v>#REF!</v>
      </c>
      <c r="BW34" s="7" t="e">
        <f>-53.07 + (304.89 * (BV34)) + (90.79 *Crescimento!#REF!) - (3.13 * Crescimento!#REF!*Crescimento!#REF!)</f>
        <v>#REF!</v>
      </c>
      <c r="BX34" s="1"/>
      <c r="BY34" s="6" t="e">
        <f>(BZ33+(Crescimento!#REF!-(BZ33*0.64))/0.8)/1000</f>
        <v>#REF!</v>
      </c>
      <c r="BZ34" s="7" t="e">
        <f>-53.07 + (304.89 * (BY34)) + (90.79 *Crescimento!#REF!) - (3.13 * Crescimento!#REF!*Crescimento!#REF!)</f>
        <v>#REF!</v>
      </c>
      <c r="CB34" s="6" t="e">
        <f>(CC33+(Crescimento!#REF!-(CC33*0.64))/0.8)/1000</f>
        <v>#REF!</v>
      </c>
      <c r="CC34" s="7" t="e">
        <f>-53.07 + (304.89 * (CB34)) + (90.79 *Crescimento!#REF!) - (3.13 * Crescimento!#REF!*Crescimento!#REF!)</f>
        <v>#REF!</v>
      </c>
      <c r="CE34" s="6" t="e">
        <f>(CF33+(Crescimento!#REF!-(CF33*0.64))/0.8)/1000</f>
        <v>#REF!</v>
      </c>
      <c r="CF34" s="7" t="e">
        <f>-53.07 + (304.89 * (CE34)) + (90.79 *Crescimento!#REF!) - (3.13 * Crescimento!#REF!*Crescimento!#REF!)</f>
        <v>#REF!</v>
      </c>
      <c r="CH34" s="6" t="e">
        <f>(CI33+(Crescimento!#REF!-(CI33*0.64))/0.8)/1000</f>
        <v>#REF!</v>
      </c>
      <c r="CI34" s="7" t="e">
        <f>-53.07 + (304.89 * (CH34)) + (90.79 *Crescimento!#REF!) - (3.13 * Crescimento!#REF!*Crescimento!#REF!)</f>
        <v>#REF!</v>
      </c>
      <c r="CJ34" s="1"/>
      <c r="CK34" s="6" t="e">
        <f>(CL33+(Crescimento!#REF!-(CL33*0.64))/0.8)/1000</f>
        <v>#REF!</v>
      </c>
      <c r="CL34" s="7" t="e">
        <f>-53.07 + (304.89 * (CK34)) + (90.79 *Crescimento!#REF!) - (3.13 * Crescimento!#REF!*Crescimento!#REF!)</f>
        <v>#REF!</v>
      </c>
      <c r="CN34" s="6" t="e">
        <f>(CO33+(Crescimento!#REF!-(CO33*0.64))/0.8)/1000</f>
        <v>#REF!</v>
      </c>
      <c r="CO34" s="7" t="e">
        <f>-53.07 + (304.89 * (CN34)) + (90.79 *Crescimento!#REF!) - (3.13 * Crescimento!#REF!*Crescimento!#REF!)</f>
        <v>#REF!</v>
      </c>
      <c r="CQ34" s="6" t="e">
        <f>(CR33+(Crescimento!#REF!-(CR33*0.64))/0.8)/1000</f>
        <v>#REF!</v>
      </c>
      <c r="CR34" s="7" t="e">
        <f>-53.07 + (304.89 * (CQ34)) + (90.79 *Crescimento!#REF!) - (3.13 * Crescimento!#REF!*Crescimento!#REF!)</f>
        <v>#REF!</v>
      </c>
    </row>
    <row r="35" spans="2:96" ht="15" customHeight="1" x14ac:dyDescent="0.25">
      <c r="B35" s="6">
        <f>(C34+(Crescimento!$Q$27-(C34*0.64))/0.8)/1000</f>
        <v>1.1187993738011861</v>
      </c>
      <c r="C35" s="8">
        <f>-53.07 + (304.89 * (B35)) + (90.79 *Crescimento!$Q$20) - (3.13 * Crescimento!$Q$20*Crescimento!$Q$20)</f>
        <v>757.4287040082213</v>
      </c>
      <c r="D35" s="1"/>
      <c r="E35" s="6" t="e">
        <f>(F34+(Crescimento!#REF!-(F34*0.64))/0.8)/1000</f>
        <v>#REF!</v>
      </c>
      <c r="F35" s="7" t="e">
        <f>-53.07 + (304.89 * (E35)) + (90.79 *Crescimento!#REF!) - (3.13 * Crescimento!#REF!*Crescimento!#REF!)</f>
        <v>#REF!</v>
      </c>
      <c r="H35" s="6" t="e">
        <f>(I34+(Crescimento!#REF!-(I34*0.64))/0.8)/1000</f>
        <v>#REF!</v>
      </c>
      <c r="I35" s="7" t="e">
        <f>-53.07 + (304.89 * (H35)) + (90.79 *Crescimento!#REF!) - (3.13 * Crescimento!#REF!*Crescimento!#REF!)</f>
        <v>#REF!</v>
      </c>
      <c r="K35" s="6" t="e">
        <f>(L34+(Crescimento!#REF!-(L34*0.64))/0.8)/1000</f>
        <v>#REF!</v>
      </c>
      <c r="L35" s="7" t="e">
        <f>-53.07 + (304.89 * (K35)) + (90.79 *Crescimento!#REF!) - (3.13 * Crescimento!#REF!*Crescimento!#REF!)</f>
        <v>#REF!</v>
      </c>
      <c r="N35" s="6" t="e">
        <f>(O34+(Crescimento!#REF!-(O34*0.64))/0.8)/1000</f>
        <v>#REF!</v>
      </c>
      <c r="O35" s="7" t="e">
        <f>-53.07 + (304.89 * (N35)) + (90.79 *Crescimento!#REF!) - (3.13 * Crescimento!#REF!*Crescimento!#REF!)</f>
        <v>#REF!</v>
      </c>
      <c r="P35" s="1"/>
      <c r="Q35" s="6" t="e">
        <f>(R34+(Crescimento!#REF!-(R34*0.64))/0.8)/1000</f>
        <v>#REF!</v>
      </c>
      <c r="R35" s="7" t="e">
        <f>-53.07 + (304.89 * (Q35)) + (90.79 *Crescimento!#REF!) - (3.13 * Crescimento!#REF!*Crescimento!#REF!)</f>
        <v>#REF!</v>
      </c>
      <c r="T35" s="6" t="e">
        <f>(U34+(Crescimento!#REF!-(U34*0.64))/0.8)/1000</f>
        <v>#REF!</v>
      </c>
      <c r="U35" s="7" t="e">
        <f>-53.07 + (304.89 * (T35)) + (90.79 *Crescimento!#REF!) - (3.13 * Crescimento!#REF!*Crescimento!#REF!)</f>
        <v>#REF!</v>
      </c>
      <c r="W35" s="6" t="e">
        <f>(X34+(Crescimento!#REF!-(X34*0.64))/0.8)/1000</f>
        <v>#REF!</v>
      </c>
      <c r="X35" s="7" t="e">
        <f>-53.07 + (304.89 * (W35)) + (90.79 *Crescimento!#REF!) - (3.13 * Crescimento!#REF!*Crescimento!#REF!)</f>
        <v>#REF!</v>
      </c>
      <c r="Z35" s="6" t="e">
        <f>(AA34+(Crescimento!#REF!-(AA34*0.64))/0.8)/1000</f>
        <v>#REF!</v>
      </c>
      <c r="AA35" s="7" t="e">
        <f>-53.07 + (304.89 * (Z35)) + (90.79 *Crescimento!#REF!) - (3.13 * Crescimento!#REF!*Crescimento!#REF!)</f>
        <v>#REF!</v>
      </c>
      <c r="AB35" s="1"/>
      <c r="AC35" s="6" t="e">
        <f>(AD34+(Crescimento!#REF!-(AD34*0.64))/0.8)/1000</f>
        <v>#REF!</v>
      </c>
      <c r="AD35" s="7" t="e">
        <f>-53.07 + (304.89 * (AC35)) + (90.79 *Crescimento!#REF!) - (3.13 * Crescimento!#REF!*Crescimento!#REF!)</f>
        <v>#REF!</v>
      </c>
      <c r="AF35" s="6" t="e">
        <f>(AG34+(Crescimento!#REF!-(AG34*0.64))/0.8)/1000</f>
        <v>#REF!</v>
      </c>
      <c r="AG35" s="7" t="e">
        <f>-53.07 + (304.89 * (AF35)) + (90.79 *Crescimento!#REF!) - (3.13 * Crescimento!#REF!*Crescimento!#REF!)</f>
        <v>#REF!</v>
      </c>
      <c r="AI35" s="6" t="e">
        <f>(AJ34+(Crescimento!#REF!-(AJ34*0.64))/0.8)/1000</f>
        <v>#REF!</v>
      </c>
      <c r="AJ35" s="7" t="e">
        <f>-53.07 + (304.89 * (AI35)) + (90.79 *Crescimento!#REF!) - (3.13 * Crescimento!#REF!*Crescimento!#REF!)</f>
        <v>#REF!</v>
      </c>
      <c r="AL35" s="6" t="e">
        <f>(AM34+(Crescimento!#REF!-(AM34*0.64))/0.8)/1000</f>
        <v>#REF!</v>
      </c>
      <c r="AM35" s="7" t="e">
        <f>-53.07 + (304.89 * (AL35)) + (90.79 *Crescimento!#REF!) - (3.13 * Crescimento!#REF!*Crescimento!#REF!)</f>
        <v>#REF!</v>
      </c>
      <c r="AN35" s="1"/>
      <c r="AO35" s="6" t="e">
        <f>(AP34+(Crescimento!#REF!-(AP34*0.64))/0.8)/1000</f>
        <v>#REF!</v>
      </c>
      <c r="AP35" s="7" t="e">
        <f>-53.07 + (304.89 * (AO35)) + (90.79 *Crescimento!#REF!) - (3.13 * Crescimento!#REF!*Crescimento!#REF!)</f>
        <v>#REF!</v>
      </c>
      <c r="AR35" s="6" t="e">
        <f>(AS34+(Crescimento!#REF!-(AS34*0.64))/0.8)/1000</f>
        <v>#REF!</v>
      </c>
      <c r="AS35" s="7" t="e">
        <f>-53.07 + (304.89 * (AR35)) + (90.79 *Crescimento!#REF!) - (3.13 * Crescimento!#REF!*Crescimento!#REF!)</f>
        <v>#REF!</v>
      </c>
      <c r="AU35" s="6" t="e">
        <f>(AV34+(Crescimento!#REF!-(AV34*0.64))/0.8)/1000</f>
        <v>#REF!</v>
      </c>
      <c r="AV35" s="7" t="e">
        <f>-53.07 + (304.89 * (AU35)) + (90.79 *Crescimento!#REF!) - (3.13 * Crescimento!#REF!*Crescimento!#REF!)</f>
        <v>#REF!</v>
      </c>
      <c r="AX35" s="6" t="e">
        <f>(AY34+(Crescimento!#REF!-(AY34*0.64))/0.8)/1000</f>
        <v>#REF!</v>
      </c>
      <c r="AY35" s="7" t="e">
        <f>-53.07 + (304.89 * (AX35)) + (90.79 *Crescimento!#REF!) - (3.13 * Crescimento!#REF!*Crescimento!#REF!)</f>
        <v>#REF!</v>
      </c>
      <c r="AZ35" s="1"/>
      <c r="BA35" s="6" t="e">
        <f>(BB34+(Crescimento!#REF!-(BB34*0.64))/0.8)/1000</f>
        <v>#REF!</v>
      </c>
      <c r="BB35" s="7" t="e">
        <f>-53.07 + (304.89 * (BA35)) + (90.79 *Crescimento!#REF!) - (3.13 * Crescimento!#REF!*Crescimento!#REF!)</f>
        <v>#REF!</v>
      </c>
      <c r="BD35" s="6" t="e">
        <f>(BE34+(Crescimento!#REF!-(BE34*0.64))/0.8)/1000</f>
        <v>#REF!</v>
      </c>
      <c r="BE35" s="7" t="e">
        <f>-53.07 + (304.89 * (BD35)) + (90.79 *Crescimento!#REF!) - (3.13 * Crescimento!#REF!*Crescimento!#REF!)</f>
        <v>#REF!</v>
      </c>
      <c r="BG35" s="6" t="e">
        <f>(BH34+(Crescimento!#REF!-(BH34*0.64))/0.8)/1000</f>
        <v>#REF!</v>
      </c>
      <c r="BH35" s="7" t="e">
        <f>-53.07 + (304.89 * (BG35)) + (90.79 *Crescimento!#REF!) - (3.13 * Crescimento!#REF!*Crescimento!#REF!)</f>
        <v>#REF!</v>
      </c>
      <c r="BJ35" s="6" t="e">
        <f>(BK34+(Crescimento!#REF!-(BK34*0.64))/0.8)/1000</f>
        <v>#REF!</v>
      </c>
      <c r="BK35" s="7" t="e">
        <f>-53.07 + (304.89 * (BJ35)) + (90.79 *Crescimento!#REF!) - (3.13 * Crescimento!#REF!*Crescimento!#REF!)</f>
        <v>#REF!</v>
      </c>
      <c r="BL35" s="1"/>
      <c r="BM35" s="6" t="e">
        <f>(BN34+(Crescimento!#REF!-(BN34*0.64))/0.8)/1000</f>
        <v>#REF!</v>
      </c>
      <c r="BN35" s="7" t="e">
        <f>-53.07 + (304.89 * (BM35)) + (90.79 *Crescimento!#REF!) - (3.13 * Crescimento!#REF!*Crescimento!#REF!)</f>
        <v>#REF!</v>
      </c>
      <c r="BP35" s="6" t="e">
        <f>(BQ34+(Crescimento!#REF!-(BQ34*0.64))/0.8)/1000</f>
        <v>#REF!</v>
      </c>
      <c r="BQ35" s="7" t="e">
        <f>-53.07 + (304.89 * (BP35)) + (90.79 *Crescimento!#REF!) - (3.13 * Crescimento!#REF!*Crescimento!#REF!)</f>
        <v>#REF!</v>
      </c>
      <c r="BS35" s="6" t="e">
        <f>(BT34+(Crescimento!#REF!-(BT34*0.64))/0.8)/1000</f>
        <v>#REF!</v>
      </c>
      <c r="BT35" s="7" t="e">
        <f>-53.07 + (304.89 * (BS35)) + (90.79 *Crescimento!#REF!) - (3.13 * Crescimento!#REF!*Crescimento!#REF!)</f>
        <v>#REF!</v>
      </c>
      <c r="BV35" s="6" t="e">
        <f>(BW34+(Crescimento!#REF!-(BW34*0.64))/0.8)/1000</f>
        <v>#REF!</v>
      </c>
      <c r="BW35" s="7" t="e">
        <f>-53.07 + (304.89 * (BV35)) + (90.79 *Crescimento!#REF!) - (3.13 * Crescimento!#REF!*Crescimento!#REF!)</f>
        <v>#REF!</v>
      </c>
      <c r="BX35" s="1"/>
      <c r="BY35" s="6" t="e">
        <f>(BZ34+(Crescimento!#REF!-(BZ34*0.64))/0.8)/1000</f>
        <v>#REF!</v>
      </c>
      <c r="BZ35" s="7" t="e">
        <f>-53.07 + (304.89 * (BY35)) + (90.79 *Crescimento!#REF!) - (3.13 * Crescimento!#REF!*Crescimento!#REF!)</f>
        <v>#REF!</v>
      </c>
      <c r="CB35" s="6" t="e">
        <f>(CC34+(Crescimento!#REF!-(CC34*0.64))/0.8)/1000</f>
        <v>#REF!</v>
      </c>
      <c r="CC35" s="7" t="e">
        <f>-53.07 + (304.89 * (CB35)) + (90.79 *Crescimento!#REF!) - (3.13 * Crescimento!#REF!*Crescimento!#REF!)</f>
        <v>#REF!</v>
      </c>
      <c r="CE35" s="6" t="e">
        <f>(CF34+(Crescimento!#REF!-(CF34*0.64))/0.8)/1000</f>
        <v>#REF!</v>
      </c>
      <c r="CF35" s="7" t="e">
        <f>-53.07 + (304.89 * (CE35)) + (90.79 *Crescimento!#REF!) - (3.13 * Crescimento!#REF!*Crescimento!#REF!)</f>
        <v>#REF!</v>
      </c>
      <c r="CH35" s="6" t="e">
        <f>(CI34+(Crescimento!#REF!-(CI34*0.64))/0.8)/1000</f>
        <v>#REF!</v>
      </c>
      <c r="CI35" s="7" t="e">
        <f>-53.07 + (304.89 * (CH35)) + (90.79 *Crescimento!#REF!) - (3.13 * Crescimento!#REF!*Crescimento!#REF!)</f>
        <v>#REF!</v>
      </c>
      <c r="CJ35" s="1"/>
      <c r="CK35" s="6" t="e">
        <f>(CL34+(Crescimento!#REF!-(CL34*0.64))/0.8)/1000</f>
        <v>#REF!</v>
      </c>
      <c r="CL35" s="7" t="e">
        <f>-53.07 + (304.89 * (CK35)) + (90.79 *Crescimento!#REF!) - (3.13 * Crescimento!#REF!*Crescimento!#REF!)</f>
        <v>#REF!</v>
      </c>
      <c r="CN35" s="6" t="e">
        <f>(CO34+(Crescimento!#REF!-(CO34*0.64))/0.8)/1000</f>
        <v>#REF!</v>
      </c>
      <c r="CO35" s="7" t="e">
        <f>-53.07 + (304.89 * (CN35)) + (90.79 *Crescimento!#REF!) - (3.13 * Crescimento!#REF!*Crescimento!#REF!)</f>
        <v>#REF!</v>
      </c>
      <c r="CQ35" s="6" t="e">
        <f>(CR34+(Crescimento!#REF!-(CR34*0.64))/0.8)/1000</f>
        <v>#REF!</v>
      </c>
      <c r="CR35" s="7" t="e">
        <f>-53.07 + (304.89 * (CQ35)) + (90.79 *Crescimento!#REF!) - (3.13 * Crescimento!#REF!*Crescimento!#REF!)</f>
        <v>#REF!</v>
      </c>
    </row>
    <row r="36" spans="2:96" ht="15" customHeight="1" x14ac:dyDescent="0.25">
      <c r="B36" s="6">
        <f>(C35+(Crescimento!$Q$27-(C35*0.64))/0.8)/1000</f>
        <v>1.1187993738011861</v>
      </c>
      <c r="C36" s="8">
        <f>-53.07 + (304.89 * (B36)) + (90.79 *Crescimento!$Q$20) - (3.13 * Crescimento!$Q$20*Crescimento!$Q$20)</f>
        <v>757.4287040082213</v>
      </c>
      <c r="D36" s="1"/>
      <c r="E36" s="6" t="e">
        <f>(F35+(Crescimento!#REF!-(F35*0.64))/0.8)/1000</f>
        <v>#REF!</v>
      </c>
      <c r="F36" s="7" t="e">
        <f>-53.07 + (304.89 * (E36)) + (90.79 *Crescimento!#REF!) - (3.13 * Crescimento!#REF!*Crescimento!#REF!)</f>
        <v>#REF!</v>
      </c>
      <c r="H36" s="6" t="e">
        <f>(I35+(Crescimento!#REF!-(I35*0.64))/0.8)/1000</f>
        <v>#REF!</v>
      </c>
      <c r="I36" s="7" t="e">
        <f>-53.07 + (304.89 * (H36)) + (90.79 *Crescimento!#REF!) - (3.13 * Crescimento!#REF!*Crescimento!#REF!)</f>
        <v>#REF!</v>
      </c>
      <c r="K36" s="6" t="e">
        <f>(L35+(Crescimento!#REF!-(L35*0.64))/0.8)/1000</f>
        <v>#REF!</v>
      </c>
      <c r="L36" s="7" t="e">
        <f>-53.07 + (304.89 * (K36)) + (90.79 *Crescimento!#REF!) - (3.13 * Crescimento!#REF!*Crescimento!#REF!)</f>
        <v>#REF!</v>
      </c>
      <c r="N36" s="6" t="e">
        <f>(O35+(Crescimento!#REF!-(O35*0.64))/0.8)/1000</f>
        <v>#REF!</v>
      </c>
      <c r="O36" s="7" t="e">
        <f>-53.07 + (304.89 * (N36)) + (90.79 *Crescimento!#REF!) - (3.13 * Crescimento!#REF!*Crescimento!#REF!)</f>
        <v>#REF!</v>
      </c>
      <c r="P36" s="1"/>
      <c r="Q36" s="6" t="e">
        <f>(R35+(Crescimento!#REF!-(R35*0.64))/0.8)/1000</f>
        <v>#REF!</v>
      </c>
      <c r="R36" s="7" t="e">
        <f>-53.07 + (304.89 * (Q36)) + (90.79 *Crescimento!#REF!) - (3.13 * Crescimento!#REF!*Crescimento!#REF!)</f>
        <v>#REF!</v>
      </c>
      <c r="T36" s="6" t="e">
        <f>(U35+(Crescimento!#REF!-(U35*0.64))/0.8)/1000</f>
        <v>#REF!</v>
      </c>
      <c r="U36" s="7" t="e">
        <f>-53.07 + (304.89 * (T36)) + (90.79 *Crescimento!#REF!) - (3.13 * Crescimento!#REF!*Crescimento!#REF!)</f>
        <v>#REF!</v>
      </c>
      <c r="W36" s="6" t="e">
        <f>(X35+(Crescimento!#REF!-(X35*0.64))/0.8)/1000</f>
        <v>#REF!</v>
      </c>
      <c r="X36" s="7" t="e">
        <f>-53.07 + (304.89 * (W36)) + (90.79 *Crescimento!#REF!) - (3.13 * Crescimento!#REF!*Crescimento!#REF!)</f>
        <v>#REF!</v>
      </c>
      <c r="Z36" s="6" t="e">
        <f>(AA35+(Crescimento!#REF!-(AA35*0.64))/0.8)/1000</f>
        <v>#REF!</v>
      </c>
      <c r="AA36" s="7" t="e">
        <f>-53.07 + (304.89 * (Z36)) + (90.79 *Crescimento!#REF!) - (3.13 * Crescimento!#REF!*Crescimento!#REF!)</f>
        <v>#REF!</v>
      </c>
      <c r="AB36" s="1"/>
      <c r="AC36" s="6" t="e">
        <f>(AD35+(Crescimento!#REF!-(AD35*0.64))/0.8)/1000</f>
        <v>#REF!</v>
      </c>
      <c r="AD36" s="7" t="e">
        <f>-53.07 + (304.89 * (AC36)) + (90.79 *Crescimento!#REF!) - (3.13 * Crescimento!#REF!*Crescimento!#REF!)</f>
        <v>#REF!</v>
      </c>
      <c r="AF36" s="6" t="e">
        <f>(AG35+(Crescimento!#REF!-(AG35*0.64))/0.8)/1000</f>
        <v>#REF!</v>
      </c>
      <c r="AG36" s="7" t="e">
        <f>-53.07 + (304.89 * (AF36)) + (90.79 *Crescimento!#REF!) - (3.13 * Crescimento!#REF!*Crescimento!#REF!)</f>
        <v>#REF!</v>
      </c>
      <c r="AI36" s="6" t="e">
        <f>(AJ35+(Crescimento!#REF!-(AJ35*0.64))/0.8)/1000</f>
        <v>#REF!</v>
      </c>
      <c r="AJ36" s="7" t="e">
        <f>-53.07 + (304.89 * (AI36)) + (90.79 *Crescimento!#REF!) - (3.13 * Crescimento!#REF!*Crescimento!#REF!)</f>
        <v>#REF!</v>
      </c>
      <c r="AL36" s="6" t="e">
        <f>(AM35+(Crescimento!#REF!-(AM35*0.64))/0.8)/1000</f>
        <v>#REF!</v>
      </c>
      <c r="AM36" s="7" t="e">
        <f>-53.07 + (304.89 * (AL36)) + (90.79 *Crescimento!#REF!) - (3.13 * Crescimento!#REF!*Crescimento!#REF!)</f>
        <v>#REF!</v>
      </c>
      <c r="AN36" s="1"/>
      <c r="AO36" s="6" t="e">
        <f>(AP35+(Crescimento!#REF!-(AP35*0.64))/0.8)/1000</f>
        <v>#REF!</v>
      </c>
      <c r="AP36" s="7" t="e">
        <f>-53.07 + (304.89 * (AO36)) + (90.79 *Crescimento!#REF!) - (3.13 * Crescimento!#REF!*Crescimento!#REF!)</f>
        <v>#REF!</v>
      </c>
      <c r="AR36" s="6" t="e">
        <f>(AS35+(Crescimento!#REF!-(AS35*0.64))/0.8)/1000</f>
        <v>#REF!</v>
      </c>
      <c r="AS36" s="7" t="e">
        <f>-53.07 + (304.89 * (AR36)) + (90.79 *Crescimento!#REF!) - (3.13 * Crescimento!#REF!*Crescimento!#REF!)</f>
        <v>#REF!</v>
      </c>
      <c r="AU36" s="6" t="e">
        <f>(AV35+(Crescimento!#REF!-(AV35*0.64))/0.8)/1000</f>
        <v>#REF!</v>
      </c>
      <c r="AV36" s="7" t="e">
        <f>-53.07 + (304.89 * (AU36)) + (90.79 *Crescimento!#REF!) - (3.13 * Crescimento!#REF!*Crescimento!#REF!)</f>
        <v>#REF!</v>
      </c>
      <c r="AX36" s="6" t="e">
        <f>(AY35+(Crescimento!#REF!-(AY35*0.64))/0.8)/1000</f>
        <v>#REF!</v>
      </c>
      <c r="AY36" s="7" t="e">
        <f>-53.07 + (304.89 * (AX36)) + (90.79 *Crescimento!#REF!) - (3.13 * Crescimento!#REF!*Crescimento!#REF!)</f>
        <v>#REF!</v>
      </c>
      <c r="AZ36" s="1"/>
      <c r="BA36" s="6" t="e">
        <f>(BB35+(Crescimento!#REF!-(BB35*0.64))/0.8)/1000</f>
        <v>#REF!</v>
      </c>
      <c r="BB36" s="7" t="e">
        <f>-53.07 + (304.89 * (BA36)) + (90.79 *Crescimento!#REF!) - (3.13 * Crescimento!#REF!*Crescimento!#REF!)</f>
        <v>#REF!</v>
      </c>
      <c r="BD36" s="6" t="e">
        <f>(BE35+(Crescimento!#REF!-(BE35*0.64))/0.8)/1000</f>
        <v>#REF!</v>
      </c>
      <c r="BE36" s="7" t="e">
        <f>-53.07 + (304.89 * (BD36)) + (90.79 *Crescimento!#REF!) - (3.13 * Crescimento!#REF!*Crescimento!#REF!)</f>
        <v>#REF!</v>
      </c>
      <c r="BG36" s="6" t="e">
        <f>(BH35+(Crescimento!#REF!-(BH35*0.64))/0.8)/1000</f>
        <v>#REF!</v>
      </c>
      <c r="BH36" s="7" t="e">
        <f>-53.07 + (304.89 * (BG36)) + (90.79 *Crescimento!#REF!) - (3.13 * Crescimento!#REF!*Crescimento!#REF!)</f>
        <v>#REF!</v>
      </c>
      <c r="BJ36" s="6" t="e">
        <f>(BK35+(Crescimento!#REF!-(BK35*0.64))/0.8)/1000</f>
        <v>#REF!</v>
      </c>
      <c r="BK36" s="7" t="e">
        <f>-53.07 + (304.89 * (BJ36)) + (90.79 *Crescimento!#REF!) - (3.13 * Crescimento!#REF!*Crescimento!#REF!)</f>
        <v>#REF!</v>
      </c>
      <c r="BL36" s="1"/>
      <c r="BM36" s="6" t="e">
        <f>(BN35+(Crescimento!#REF!-(BN35*0.64))/0.8)/1000</f>
        <v>#REF!</v>
      </c>
      <c r="BN36" s="7" t="e">
        <f>-53.07 + (304.89 * (BM36)) + (90.79 *Crescimento!#REF!) - (3.13 * Crescimento!#REF!*Crescimento!#REF!)</f>
        <v>#REF!</v>
      </c>
      <c r="BP36" s="6" t="e">
        <f>(BQ35+(Crescimento!#REF!-(BQ35*0.64))/0.8)/1000</f>
        <v>#REF!</v>
      </c>
      <c r="BQ36" s="7" t="e">
        <f>-53.07 + (304.89 * (BP36)) + (90.79 *Crescimento!#REF!) - (3.13 * Crescimento!#REF!*Crescimento!#REF!)</f>
        <v>#REF!</v>
      </c>
      <c r="BS36" s="6" t="e">
        <f>(BT35+(Crescimento!#REF!-(BT35*0.64))/0.8)/1000</f>
        <v>#REF!</v>
      </c>
      <c r="BT36" s="7" t="e">
        <f>-53.07 + (304.89 * (BS36)) + (90.79 *Crescimento!#REF!) - (3.13 * Crescimento!#REF!*Crescimento!#REF!)</f>
        <v>#REF!</v>
      </c>
      <c r="BV36" s="6" t="e">
        <f>(BW35+(Crescimento!#REF!-(BW35*0.64))/0.8)/1000</f>
        <v>#REF!</v>
      </c>
      <c r="BW36" s="7" t="e">
        <f>-53.07 + (304.89 * (BV36)) + (90.79 *Crescimento!#REF!) - (3.13 * Crescimento!#REF!*Crescimento!#REF!)</f>
        <v>#REF!</v>
      </c>
      <c r="BX36" s="1"/>
      <c r="BY36" s="6" t="e">
        <f>(BZ35+(Crescimento!#REF!-(BZ35*0.64))/0.8)/1000</f>
        <v>#REF!</v>
      </c>
      <c r="BZ36" s="7" t="e">
        <f>-53.07 + (304.89 * (BY36)) + (90.79 *Crescimento!#REF!) - (3.13 * Crescimento!#REF!*Crescimento!#REF!)</f>
        <v>#REF!</v>
      </c>
      <c r="CB36" s="6" t="e">
        <f>(CC35+(Crescimento!#REF!-(CC35*0.64))/0.8)/1000</f>
        <v>#REF!</v>
      </c>
      <c r="CC36" s="7" t="e">
        <f>-53.07 + (304.89 * (CB36)) + (90.79 *Crescimento!#REF!) - (3.13 * Crescimento!#REF!*Crescimento!#REF!)</f>
        <v>#REF!</v>
      </c>
      <c r="CE36" s="6" t="e">
        <f>(CF35+(Crescimento!#REF!-(CF35*0.64))/0.8)/1000</f>
        <v>#REF!</v>
      </c>
      <c r="CF36" s="7" t="e">
        <f>-53.07 + (304.89 * (CE36)) + (90.79 *Crescimento!#REF!) - (3.13 * Crescimento!#REF!*Crescimento!#REF!)</f>
        <v>#REF!</v>
      </c>
      <c r="CH36" s="6" t="e">
        <f>(CI35+(Crescimento!#REF!-(CI35*0.64))/0.8)/1000</f>
        <v>#REF!</v>
      </c>
      <c r="CI36" s="7" t="e">
        <f>-53.07 + (304.89 * (CH36)) + (90.79 *Crescimento!#REF!) - (3.13 * Crescimento!#REF!*Crescimento!#REF!)</f>
        <v>#REF!</v>
      </c>
      <c r="CJ36" s="1"/>
      <c r="CK36" s="6" t="e">
        <f>(CL35+(Crescimento!#REF!-(CL35*0.64))/0.8)/1000</f>
        <v>#REF!</v>
      </c>
      <c r="CL36" s="7" t="e">
        <f>-53.07 + (304.89 * (CK36)) + (90.79 *Crescimento!#REF!) - (3.13 * Crescimento!#REF!*Crescimento!#REF!)</f>
        <v>#REF!</v>
      </c>
      <c r="CN36" s="6" t="e">
        <f>(CO35+(Crescimento!#REF!-(CO35*0.64))/0.8)/1000</f>
        <v>#REF!</v>
      </c>
      <c r="CO36" s="7" t="e">
        <f>-53.07 + (304.89 * (CN36)) + (90.79 *Crescimento!#REF!) - (3.13 * Crescimento!#REF!*Crescimento!#REF!)</f>
        <v>#REF!</v>
      </c>
      <c r="CQ36" s="6" t="e">
        <f>(CR35+(Crescimento!#REF!-(CR35*0.64))/0.8)/1000</f>
        <v>#REF!</v>
      </c>
      <c r="CR36" s="7" t="e">
        <f>-53.07 + (304.89 * (CQ36)) + (90.79 *Crescimento!#REF!) - (3.13 * Crescimento!#REF!*Crescimento!#REF!)</f>
        <v>#REF!</v>
      </c>
    </row>
    <row r="37" spans="2:96" ht="15" customHeight="1" x14ac:dyDescent="0.25">
      <c r="B37" s="6">
        <f>(C36+(Crescimento!$Q$27-(C36*0.64))/0.8)/1000</f>
        <v>1.1187993738011861</v>
      </c>
      <c r="C37" s="8">
        <f>-53.07 + (304.89 * (B37)) + (90.79 *Crescimento!$Q$20) - (3.13 * Crescimento!$Q$20*Crescimento!$Q$20)</f>
        <v>757.4287040082213</v>
      </c>
      <c r="D37" s="1"/>
      <c r="E37" s="6" t="e">
        <f>(F36+(Crescimento!#REF!-(F36*0.64))/0.8)/1000</f>
        <v>#REF!</v>
      </c>
      <c r="F37" s="7" t="e">
        <f>-53.07 + (304.89 * (E37)) + (90.79 *Crescimento!#REF!) - (3.13 * Crescimento!#REF!*Crescimento!#REF!)</f>
        <v>#REF!</v>
      </c>
      <c r="H37" s="6" t="e">
        <f>(I36+(Crescimento!#REF!-(I36*0.64))/0.8)/1000</f>
        <v>#REF!</v>
      </c>
      <c r="I37" s="7" t="e">
        <f>-53.07 + (304.89 * (H37)) + (90.79 *Crescimento!#REF!) - (3.13 * Crescimento!#REF!*Crescimento!#REF!)</f>
        <v>#REF!</v>
      </c>
      <c r="K37" s="6" t="e">
        <f>(L36+(Crescimento!#REF!-(L36*0.64))/0.8)/1000</f>
        <v>#REF!</v>
      </c>
      <c r="L37" s="7" t="e">
        <f>-53.07 + (304.89 * (K37)) + (90.79 *Crescimento!#REF!) - (3.13 * Crescimento!#REF!*Crescimento!#REF!)</f>
        <v>#REF!</v>
      </c>
      <c r="N37" s="6" t="e">
        <f>(O36+(Crescimento!#REF!-(O36*0.64))/0.8)/1000</f>
        <v>#REF!</v>
      </c>
      <c r="O37" s="7" t="e">
        <f>-53.07 + (304.89 * (N37)) + (90.79 *Crescimento!#REF!) - (3.13 * Crescimento!#REF!*Crescimento!#REF!)</f>
        <v>#REF!</v>
      </c>
      <c r="P37" s="1"/>
      <c r="Q37" s="6" t="e">
        <f>(R36+(Crescimento!#REF!-(R36*0.64))/0.8)/1000</f>
        <v>#REF!</v>
      </c>
      <c r="R37" s="7" t="e">
        <f>-53.07 + (304.89 * (Q37)) + (90.79 *Crescimento!#REF!) - (3.13 * Crescimento!#REF!*Crescimento!#REF!)</f>
        <v>#REF!</v>
      </c>
      <c r="T37" s="6" t="e">
        <f>(U36+(Crescimento!#REF!-(U36*0.64))/0.8)/1000</f>
        <v>#REF!</v>
      </c>
      <c r="U37" s="7" t="e">
        <f>-53.07 + (304.89 * (T37)) + (90.79 *Crescimento!#REF!) - (3.13 * Crescimento!#REF!*Crescimento!#REF!)</f>
        <v>#REF!</v>
      </c>
      <c r="W37" s="6" t="e">
        <f>(X36+(Crescimento!#REF!-(X36*0.64))/0.8)/1000</f>
        <v>#REF!</v>
      </c>
      <c r="X37" s="7" t="e">
        <f>-53.07 + (304.89 * (W37)) + (90.79 *Crescimento!#REF!) - (3.13 * Crescimento!#REF!*Crescimento!#REF!)</f>
        <v>#REF!</v>
      </c>
      <c r="Z37" s="6" t="e">
        <f>(AA36+(Crescimento!#REF!-(AA36*0.64))/0.8)/1000</f>
        <v>#REF!</v>
      </c>
      <c r="AA37" s="7" t="e">
        <f>-53.07 + (304.89 * (Z37)) + (90.79 *Crescimento!#REF!) - (3.13 * Crescimento!#REF!*Crescimento!#REF!)</f>
        <v>#REF!</v>
      </c>
      <c r="AB37" s="1"/>
      <c r="AC37" s="6" t="e">
        <f>(AD36+(Crescimento!#REF!-(AD36*0.64))/0.8)/1000</f>
        <v>#REF!</v>
      </c>
      <c r="AD37" s="7" t="e">
        <f>-53.07 + (304.89 * (AC37)) + (90.79 *Crescimento!#REF!) - (3.13 * Crescimento!#REF!*Crescimento!#REF!)</f>
        <v>#REF!</v>
      </c>
      <c r="AF37" s="6" t="e">
        <f>(AG36+(Crescimento!#REF!-(AG36*0.64))/0.8)/1000</f>
        <v>#REF!</v>
      </c>
      <c r="AG37" s="7" t="e">
        <f>-53.07 + (304.89 * (AF37)) + (90.79 *Crescimento!#REF!) - (3.13 * Crescimento!#REF!*Crescimento!#REF!)</f>
        <v>#REF!</v>
      </c>
      <c r="AI37" s="6" t="e">
        <f>(AJ36+(Crescimento!#REF!-(AJ36*0.64))/0.8)/1000</f>
        <v>#REF!</v>
      </c>
      <c r="AJ37" s="7" t="e">
        <f>-53.07 + (304.89 * (AI37)) + (90.79 *Crescimento!#REF!) - (3.13 * Crescimento!#REF!*Crescimento!#REF!)</f>
        <v>#REF!</v>
      </c>
      <c r="AL37" s="6" t="e">
        <f>(AM36+(Crescimento!#REF!-(AM36*0.64))/0.8)/1000</f>
        <v>#REF!</v>
      </c>
      <c r="AM37" s="7" t="e">
        <f>-53.07 + (304.89 * (AL37)) + (90.79 *Crescimento!#REF!) - (3.13 * Crescimento!#REF!*Crescimento!#REF!)</f>
        <v>#REF!</v>
      </c>
      <c r="AN37" s="1"/>
      <c r="AO37" s="6" t="e">
        <f>(AP36+(Crescimento!#REF!-(AP36*0.64))/0.8)/1000</f>
        <v>#REF!</v>
      </c>
      <c r="AP37" s="7" t="e">
        <f>-53.07 + (304.89 * (AO37)) + (90.79 *Crescimento!#REF!) - (3.13 * Crescimento!#REF!*Crescimento!#REF!)</f>
        <v>#REF!</v>
      </c>
      <c r="AR37" s="6" t="e">
        <f>(AS36+(Crescimento!#REF!-(AS36*0.64))/0.8)/1000</f>
        <v>#REF!</v>
      </c>
      <c r="AS37" s="7" t="e">
        <f>-53.07 + (304.89 * (AR37)) + (90.79 *Crescimento!#REF!) - (3.13 * Crescimento!#REF!*Crescimento!#REF!)</f>
        <v>#REF!</v>
      </c>
      <c r="AU37" s="6" t="e">
        <f>(AV36+(Crescimento!#REF!-(AV36*0.64))/0.8)/1000</f>
        <v>#REF!</v>
      </c>
      <c r="AV37" s="7" t="e">
        <f>-53.07 + (304.89 * (AU37)) + (90.79 *Crescimento!#REF!) - (3.13 * Crescimento!#REF!*Crescimento!#REF!)</f>
        <v>#REF!</v>
      </c>
      <c r="AX37" s="6" t="e">
        <f>(AY36+(Crescimento!#REF!-(AY36*0.64))/0.8)/1000</f>
        <v>#REF!</v>
      </c>
      <c r="AY37" s="7" t="e">
        <f>-53.07 + (304.89 * (AX37)) + (90.79 *Crescimento!#REF!) - (3.13 * Crescimento!#REF!*Crescimento!#REF!)</f>
        <v>#REF!</v>
      </c>
      <c r="AZ37" s="1"/>
      <c r="BA37" s="6" t="e">
        <f>(BB36+(Crescimento!#REF!-(BB36*0.64))/0.8)/1000</f>
        <v>#REF!</v>
      </c>
      <c r="BB37" s="7" t="e">
        <f>-53.07 + (304.89 * (BA37)) + (90.79 *Crescimento!#REF!) - (3.13 * Crescimento!#REF!*Crescimento!#REF!)</f>
        <v>#REF!</v>
      </c>
      <c r="BD37" s="6" t="e">
        <f>(BE36+(Crescimento!#REF!-(BE36*0.64))/0.8)/1000</f>
        <v>#REF!</v>
      </c>
      <c r="BE37" s="7" t="e">
        <f>-53.07 + (304.89 * (BD37)) + (90.79 *Crescimento!#REF!) - (3.13 * Crescimento!#REF!*Crescimento!#REF!)</f>
        <v>#REF!</v>
      </c>
      <c r="BG37" s="6" t="e">
        <f>(BH36+(Crescimento!#REF!-(BH36*0.64))/0.8)/1000</f>
        <v>#REF!</v>
      </c>
      <c r="BH37" s="7" t="e">
        <f>-53.07 + (304.89 * (BG37)) + (90.79 *Crescimento!#REF!) - (3.13 * Crescimento!#REF!*Crescimento!#REF!)</f>
        <v>#REF!</v>
      </c>
      <c r="BJ37" s="6" t="e">
        <f>(BK36+(Crescimento!#REF!-(BK36*0.64))/0.8)/1000</f>
        <v>#REF!</v>
      </c>
      <c r="BK37" s="7" t="e">
        <f>-53.07 + (304.89 * (BJ37)) + (90.79 *Crescimento!#REF!) - (3.13 * Crescimento!#REF!*Crescimento!#REF!)</f>
        <v>#REF!</v>
      </c>
      <c r="BL37" s="1"/>
      <c r="BM37" s="6" t="e">
        <f>(BN36+(Crescimento!#REF!-(BN36*0.64))/0.8)/1000</f>
        <v>#REF!</v>
      </c>
      <c r="BN37" s="7" t="e">
        <f>-53.07 + (304.89 * (BM37)) + (90.79 *Crescimento!#REF!) - (3.13 * Crescimento!#REF!*Crescimento!#REF!)</f>
        <v>#REF!</v>
      </c>
      <c r="BP37" s="6" t="e">
        <f>(BQ36+(Crescimento!#REF!-(BQ36*0.64))/0.8)/1000</f>
        <v>#REF!</v>
      </c>
      <c r="BQ37" s="7" t="e">
        <f>-53.07 + (304.89 * (BP37)) + (90.79 *Crescimento!#REF!) - (3.13 * Crescimento!#REF!*Crescimento!#REF!)</f>
        <v>#REF!</v>
      </c>
      <c r="BS37" s="6" t="e">
        <f>(BT36+(Crescimento!#REF!-(BT36*0.64))/0.8)/1000</f>
        <v>#REF!</v>
      </c>
      <c r="BT37" s="7" t="e">
        <f>-53.07 + (304.89 * (BS37)) + (90.79 *Crescimento!#REF!) - (3.13 * Crescimento!#REF!*Crescimento!#REF!)</f>
        <v>#REF!</v>
      </c>
      <c r="BV37" s="6" t="e">
        <f>(BW36+(Crescimento!#REF!-(BW36*0.64))/0.8)/1000</f>
        <v>#REF!</v>
      </c>
      <c r="BW37" s="7" t="e">
        <f>-53.07 + (304.89 * (BV37)) + (90.79 *Crescimento!#REF!) - (3.13 * Crescimento!#REF!*Crescimento!#REF!)</f>
        <v>#REF!</v>
      </c>
      <c r="BX37" s="1"/>
      <c r="BY37" s="6" t="e">
        <f>(BZ36+(Crescimento!#REF!-(BZ36*0.64))/0.8)/1000</f>
        <v>#REF!</v>
      </c>
      <c r="BZ37" s="7" t="e">
        <f>-53.07 + (304.89 * (BY37)) + (90.79 *Crescimento!#REF!) - (3.13 * Crescimento!#REF!*Crescimento!#REF!)</f>
        <v>#REF!</v>
      </c>
      <c r="CB37" s="6" t="e">
        <f>(CC36+(Crescimento!#REF!-(CC36*0.64))/0.8)/1000</f>
        <v>#REF!</v>
      </c>
      <c r="CC37" s="7" t="e">
        <f>-53.07 + (304.89 * (CB37)) + (90.79 *Crescimento!#REF!) - (3.13 * Crescimento!#REF!*Crescimento!#REF!)</f>
        <v>#REF!</v>
      </c>
      <c r="CE37" s="6" t="e">
        <f>(CF36+(Crescimento!#REF!-(CF36*0.64))/0.8)/1000</f>
        <v>#REF!</v>
      </c>
      <c r="CF37" s="7" t="e">
        <f>-53.07 + (304.89 * (CE37)) + (90.79 *Crescimento!#REF!) - (3.13 * Crescimento!#REF!*Crescimento!#REF!)</f>
        <v>#REF!</v>
      </c>
      <c r="CH37" s="6" t="e">
        <f>(CI36+(Crescimento!#REF!-(CI36*0.64))/0.8)/1000</f>
        <v>#REF!</v>
      </c>
      <c r="CI37" s="7" t="e">
        <f>-53.07 + (304.89 * (CH37)) + (90.79 *Crescimento!#REF!) - (3.13 * Crescimento!#REF!*Crescimento!#REF!)</f>
        <v>#REF!</v>
      </c>
      <c r="CJ37" s="1"/>
      <c r="CK37" s="6" t="e">
        <f>(CL36+(Crescimento!#REF!-(CL36*0.64))/0.8)/1000</f>
        <v>#REF!</v>
      </c>
      <c r="CL37" s="7" t="e">
        <f>-53.07 + (304.89 * (CK37)) + (90.79 *Crescimento!#REF!) - (3.13 * Crescimento!#REF!*Crescimento!#REF!)</f>
        <v>#REF!</v>
      </c>
      <c r="CN37" s="6" t="e">
        <f>(CO36+(Crescimento!#REF!-(CO36*0.64))/0.8)/1000</f>
        <v>#REF!</v>
      </c>
      <c r="CO37" s="7" t="e">
        <f>-53.07 + (304.89 * (CN37)) + (90.79 *Crescimento!#REF!) - (3.13 * Crescimento!#REF!*Crescimento!#REF!)</f>
        <v>#REF!</v>
      </c>
      <c r="CQ37" s="6" t="e">
        <f>(CR36+(Crescimento!#REF!-(CR36*0.64))/0.8)/1000</f>
        <v>#REF!</v>
      </c>
      <c r="CR37" s="7" t="e">
        <f>-53.07 + (304.89 * (CQ37)) + (90.79 *Crescimento!#REF!) - (3.13 * Crescimento!#REF!*Crescimento!#REF!)</f>
        <v>#REF!</v>
      </c>
    </row>
    <row r="38" spans="2:96" ht="15" customHeight="1" x14ac:dyDescent="0.25">
      <c r="B38" s="6">
        <f>(C37+(Crescimento!$Q$27-(C37*0.64))/0.8)/1000</f>
        <v>1.1187993738011861</v>
      </c>
      <c r="C38" s="8">
        <f>-53.07 + (304.89 * (B38)) + (90.79 *Crescimento!$Q$20) - (3.13 * Crescimento!$Q$20*Crescimento!$Q$20)</f>
        <v>757.4287040082213</v>
      </c>
      <c r="D38" s="1"/>
      <c r="E38" s="6" t="e">
        <f>(F37+(Crescimento!#REF!-(F37*0.64))/0.8)/1000</f>
        <v>#REF!</v>
      </c>
      <c r="F38" s="7" t="e">
        <f>-53.07 + (304.89 * (E38)) + (90.79 *Crescimento!#REF!) - (3.13 * Crescimento!#REF!*Crescimento!#REF!)</f>
        <v>#REF!</v>
      </c>
      <c r="H38" s="6" t="e">
        <f>(I37+(Crescimento!#REF!-(I37*0.64))/0.8)/1000</f>
        <v>#REF!</v>
      </c>
      <c r="I38" s="7" t="e">
        <f>-53.07 + (304.89 * (H38)) + (90.79 *Crescimento!#REF!) - (3.13 * Crescimento!#REF!*Crescimento!#REF!)</f>
        <v>#REF!</v>
      </c>
      <c r="K38" s="6" t="e">
        <f>(L37+(Crescimento!#REF!-(L37*0.64))/0.8)/1000</f>
        <v>#REF!</v>
      </c>
      <c r="L38" s="7" t="e">
        <f>-53.07 + (304.89 * (K38)) + (90.79 *Crescimento!#REF!) - (3.13 * Crescimento!#REF!*Crescimento!#REF!)</f>
        <v>#REF!</v>
      </c>
      <c r="N38" s="6" t="e">
        <f>(O37+(Crescimento!#REF!-(O37*0.64))/0.8)/1000</f>
        <v>#REF!</v>
      </c>
      <c r="O38" s="7" t="e">
        <f>-53.07 + (304.89 * (N38)) + (90.79 *Crescimento!#REF!) - (3.13 * Crescimento!#REF!*Crescimento!#REF!)</f>
        <v>#REF!</v>
      </c>
      <c r="P38" s="1"/>
      <c r="Q38" s="6" t="e">
        <f>(R37+(Crescimento!#REF!-(R37*0.64))/0.8)/1000</f>
        <v>#REF!</v>
      </c>
      <c r="R38" s="7" t="e">
        <f>-53.07 + (304.89 * (Q38)) + (90.79 *Crescimento!#REF!) - (3.13 * Crescimento!#REF!*Crescimento!#REF!)</f>
        <v>#REF!</v>
      </c>
      <c r="T38" s="6" t="e">
        <f>(U37+(Crescimento!#REF!-(U37*0.64))/0.8)/1000</f>
        <v>#REF!</v>
      </c>
      <c r="U38" s="7" t="e">
        <f>-53.07 + (304.89 * (T38)) + (90.79 *Crescimento!#REF!) - (3.13 * Crescimento!#REF!*Crescimento!#REF!)</f>
        <v>#REF!</v>
      </c>
      <c r="W38" s="6" t="e">
        <f>(X37+(Crescimento!#REF!-(X37*0.64))/0.8)/1000</f>
        <v>#REF!</v>
      </c>
      <c r="X38" s="7" t="e">
        <f>-53.07 + (304.89 * (W38)) + (90.79 *Crescimento!#REF!) - (3.13 * Crescimento!#REF!*Crescimento!#REF!)</f>
        <v>#REF!</v>
      </c>
      <c r="Z38" s="6" t="e">
        <f>(AA37+(Crescimento!#REF!-(AA37*0.64))/0.8)/1000</f>
        <v>#REF!</v>
      </c>
      <c r="AA38" s="7" t="e">
        <f>-53.07 + (304.89 * (Z38)) + (90.79 *Crescimento!#REF!) - (3.13 * Crescimento!#REF!*Crescimento!#REF!)</f>
        <v>#REF!</v>
      </c>
      <c r="AB38" s="1"/>
      <c r="AC38" s="6" t="e">
        <f>(AD37+(Crescimento!#REF!-(AD37*0.64))/0.8)/1000</f>
        <v>#REF!</v>
      </c>
      <c r="AD38" s="7" t="e">
        <f>-53.07 + (304.89 * (AC38)) + (90.79 *Crescimento!#REF!) - (3.13 * Crescimento!#REF!*Crescimento!#REF!)</f>
        <v>#REF!</v>
      </c>
      <c r="AF38" s="6" t="e">
        <f>(AG37+(Crescimento!#REF!-(AG37*0.64))/0.8)/1000</f>
        <v>#REF!</v>
      </c>
      <c r="AG38" s="7" t="e">
        <f>-53.07 + (304.89 * (AF38)) + (90.79 *Crescimento!#REF!) - (3.13 * Crescimento!#REF!*Crescimento!#REF!)</f>
        <v>#REF!</v>
      </c>
      <c r="AI38" s="6" t="e">
        <f>(AJ37+(Crescimento!#REF!-(AJ37*0.64))/0.8)/1000</f>
        <v>#REF!</v>
      </c>
      <c r="AJ38" s="7" t="e">
        <f>-53.07 + (304.89 * (AI38)) + (90.79 *Crescimento!#REF!) - (3.13 * Crescimento!#REF!*Crescimento!#REF!)</f>
        <v>#REF!</v>
      </c>
      <c r="AL38" s="6" t="e">
        <f>(AM37+(Crescimento!#REF!-(AM37*0.64))/0.8)/1000</f>
        <v>#REF!</v>
      </c>
      <c r="AM38" s="7" t="e">
        <f>-53.07 + (304.89 * (AL38)) + (90.79 *Crescimento!#REF!) - (3.13 * Crescimento!#REF!*Crescimento!#REF!)</f>
        <v>#REF!</v>
      </c>
      <c r="AN38" s="1"/>
      <c r="AO38" s="6" t="e">
        <f>(AP37+(Crescimento!#REF!-(AP37*0.64))/0.8)/1000</f>
        <v>#REF!</v>
      </c>
      <c r="AP38" s="7" t="e">
        <f>-53.07 + (304.89 * (AO38)) + (90.79 *Crescimento!#REF!) - (3.13 * Crescimento!#REF!*Crescimento!#REF!)</f>
        <v>#REF!</v>
      </c>
      <c r="AR38" s="6" t="e">
        <f>(AS37+(Crescimento!#REF!-(AS37*0.64))/0.8)/1000</f>
        <v>#REF!</v>
      </c>
      <c r="AS38" s="7" t="e">
        <f>-53.07 + (304.89 * (AR38)) + (90.79 *Crescimento!#REF!) - (3.13 * Crescimento!#REF!*Crescimento!#REF!)</f>
        <v>#REF!</v>
      </c>
      <c r="AU38" s="6" t="e">
        <f>(AV37+(Crescimento!#REF!-(AV37*0.64))/0.8)/1000</f>
        <v>#REF!</v>
      </c>
      <c r="AV38" s="7" t="e">
        <f>-53.07 + (304.89 * (AU38)) + (90.79 *Crescimento!#REF!) - (3.13 * Crescimento!#REF!*Crescimento!#REF!)</f>
        <v>#REF!</v>
      </c>
      <c r="AX38" s="6" t="e">
        <f>(AY37+(Crescimento!#REF!-(AY37*0.64))/0.8)/1000</f>
        <v>#REF!</v>
      </c>
      <c r="AY38" s="7" t="e">
        <f>-53.07 + (304.89 * (AX38)) + (90.79 *Crescimento!#REF!) - (3.13 * Crescimento!#REF!*Crescimento!#REF!)</f>
        <v>#REF!</v>
      </c>
      <c r="AZ38" s="1"/>
      <c r="BA38" s="6" t="e">
        <f>(BB37+(Crescimento!#REF!-(BB37*0.64))/0.8)/1000</f>
        <v>#REF!</v>
      </c>
      <c r="BB38" s="7" t="e">
        <f>-53.07 + (304.89 * (BA38)) + (90.79 *Crescimento!#REF!) - (3.13 * Crescimento!#REF!*Crescimento!#REF!)</f>
        <v>#REF!</v>
      </c>
      <c r="BD38" s="6" t="e">
        <f>(BE37+(Crescimento!#REF!-(BE37*0.64))/0.8)/1000</f>
        <v>#REF!</v>
      </c>
      <c r="BE38" s="7" t="e">
        <f>-53.07 + (304.89 * (BD38)) + (90.79 *Crescimento!#REF!) - (3.13 * Crescimento!#REF!*Crescimento!#REF!)</f>
        <v>#REF!</v>
      </c>
      <c r="BG38" s="6" t="e">
        <f>(BH37+(Crescimento!#REF!-(BH37*0.64))/0.8)/1000</f>
        <v>#REF!</v>
      </c>
      <c r="BH38" s="7" t="e">
        <f>-53.07 + (304.89 * (BG38)) + (90.79 *Crescimento!#REF!) - (3.13 * Crescimento!#REF!*Crescimento!#REF!)</f>
        <v>#REF!</v>
      </c>
      <c r="BJ38" s="6" t="e">
        <f>(BK37+(Crescimento!#REF!-(BK37*0.64))/0.8)/1000</f>
        <v>#REF!</v>
      </c>
      <c r="BK38" s="7" t="e">
        <f>-53.07 + (304.89 * (BJ38)) + (90.79 *Crescimento!#REF!) - (3.13 * Crescimento!#REF!*Crescimento!#REF!)</f>
        <v>#REF!</v>
      </c>
      <c r="BL38" s="1"/>
      <c r="BM38" s="6" t="e">
        <f>(BN37+(Crescimento!#REF!-(BN37*0.64))/0.8)/1000</f>
        <v>#REF!</v>
      </c>
      <c r="BN38" s="7" t="e">
        <f>-53.07 + (304.89 * (BM38)) + (90.79 *Crescimento!#REF!) - (3.13 * Crescimento!#REF!*Crescimento!#REF!)</f>
        <v>#REF!</v>
      </c>
      <c r="BP38" s="6" t="e">
        <f>(BQ37+(Crescimento!#REF!-(BQ37*0.64))/0.8)/1000</f>
        <v>#REF!</v>
      </c>
      <c r="BQ38" s="7" t="e">
        <f>-53.07 + (304.89 * (BP38)) + (90.79 *Crescimento!#REF!) - (3.13 * Crescimento!#REF!*Crescimento!#REF!)</f>
        <v>#REF!</v>
      </c>
      <c r="BS38" s="6" t="e">
        <f>(BT37+(Crescimento!#REF!-(BT37*0.64))/0.8)/1000</f>
        <v>#REF!</v>
      </c>
      <c r="BT38" s="7" t="e">
        <f>-53.07 + (304.89 * (BS38)) + (90.79 *Crescimento!#REF!) - (3.13 * Crescimento!#REF!*Crescimento!#REF!)</f>
        <v>#REF!</v>
      </c>
      <c r="BV38" s="6" t="e">
        <f>(BW37+(Crescimento!#REF!-(BW37*0.64))/0.8)/1000</f>
        <v>#REF!</v>
      </c>
      <c r="BW38" s="7" t="e">
        <f>-53.07 + (304.89 * (BV38)) + (90.79 *Crescimento!#REF!) - (3.13 * Crescimento!#REF!*Crescimento!#REF!)</f>
        <v>#REF!</v>
      </c>
      <c r="BX38" s="1"/>
      <c r="BY38" s="6" t="e">
        <f>(BZ37+(Crescimento!#REF!-(BZ37*0.64))/0.8)/1000</f>
        <v>#REF!</v>
      </c>
      <c r="BZ38" s="7" t="e">
        <f>-53.07 + (304.89 * (BY38)) + (90.79 *Crescimento!#REF!) - (3.13 * Crescimento!#REF!*Crescimento!#REF!)</f>
        <v>#REF!</v>
      </c>
      <c r="CB38" s="6" t="e">
        <f>(CC37+(Crescimento!#REF!-(CC37*0.64))/0.8)/1000</f>
        <v>#REF!</v>
      </c>
      <c r="CC38" s="7" t="e">
        <f>-53.07 + (304.89 * (CB38)) + (90.79 *Crescimento!#REF!) - (3.13 * Crescimento!#REF!*Crescimento!#REF!)</f>
        <v>#REF!</v>
      </c>
      <c r="CE38" s="6" t="e">
        <f>(CF37+(Crescimento!#REF!-(CF37*0.64))/0.8)/1000</f>
        <v>#REF!</v>
      </c>
      <c r="CF38" s="7" t="e">
        <f>-53.07 + (304.89 * (CE38)) + (90.79 *Crescimento!#REF!) - (3.13 * Crescimento!#REF!*Crescimento!#REF!)</f>
        <v>#REF!</v>
      </c>
      <c r="CH38" s="6" t="e">
        <f>(CI37+(Crescimento!#REF!-(CI37*0.64))/0.8)/1000</f>
        <v>#REF!</v>
      </c>
      <c r="CI38" s="7" t="e">
        <f>-53.07 + (304.89 * (CH38)) + (90.79 *Crescimento!#REF!) - (3.13 * Crescimento!#REF!*Crescimento!#REF!)</f>
        <v>#REF!</v>
      </c>
      <c r="CJ38" s="1"/>
      <c r="CK38" s="6" t="e">
        <f>(CL37+(Crescimento!#REF!-(CL37*0.64))/0.8)/1000</f>
        <v>#REF!</v>
      </c>
      <c r="CL38" s="7" t="e">
        <f>-53.07 + (304.89 * (CK38)) + (90.79 *Crescimento!#REF!) - (3.13 * Crescimento!#REF!*Crescimento!#REF!)</f>
        <v>#REF!</v>
      </c>
      <c r="CN38" s="6" t="e">
        <f>(CO37+(Crescimento!#REF!-(CO37*0.64))/0.8)/1000</f>
        <v>#REF!</v>
      </c>
      <c r="CO38" s="7" t="e">
        <f>-53.07 + (304.89 * (CN38)) + (90.79 *Crescimento!#REF!) - (3.13 * Crescimento!#REF!*Crescimento!#REF!)</f>
        <v>#REF!</v>
      </c>
      <c r="CQ38" s="6" t="e">
        <f>(CR37+(Crescimento!#REF!-(CR37*0.64))/0.8)/1000</f>
        <v>#REF!</v>
      </c>
      <c r="CR38" s="7" t="e">
        <f>-53.07 + (304.89 * (CQ38)) + (90.79 *Crescimento!#REF!) - (3.13 * Crescimento!#REF!*Crescimento!#REF!)</f>
        <v>#REF!</v>
      </c>
    </row>
    <row r="39" spans="2:96" ht="15" customHeight="1" x14ac:dyDescent="0.25">
      <c r="B39" s="6">
        <f>(C38+(Crescimento!$Q$27-(C38*0.64))/0.8)/1000</f>
        <v>1.1187993738011861</v>
      </c>
      <c r="C39" s="8">
        <f>-53.07 + (304.89 * (B39)) + (90.79 *Crescimento!$Q$20) - (3.13 * Crescimento!$Q$20*Crescimento!$Q$20)</f>
        <v>757.4287040082213</v>
      </c>
      <c r="D39" s="1"/>
      <c r="E39" s="6" t="e">
        <f>(F38+(Crescimento!#REF!-(F38*0.64))/0.8)/1000</f>
        <v>#REF!</v>
      </c>
      <c r="F39" s="7" t="e">
        <f>-53.07 + (304.89 * (E39)) + (90.79 *Crescimento!#REF!) - (3.13 * Crescimento!#REF!*Crescimento!#REF!)</f>
        <v>#REF!</v>
      </c>
      <c r="H39" s="6" t="e">
        <f>(I38+(Crescimento!#REF!-(I38*0.64))/0.8)/1000</f>
        <v>#REF!</v>
      </c>
      <c r="I39" s="7" t="e">
        <f>-53.07 + (304.89 * (H39)) + (90.79 *Crescimento!#REF!) - (3.13 * Crescimento!#REF!*Crescimento!#REF!)</f>
        <v>#REF!</v>
      </c>
      <c r="K39" s="6" t="e">
        <f>(L38+(Crescimento!#REF!-(L38*0.64))/0.8)/1000</f>
        <v>#REF!</v>
      </c>
      <c r="L39" s="7" t="e">
        <f>-53.07 + (304.89 * (K39)) + (90.79 *Crescimento!#REF!) - (3.13 * Crescimento!#REF!*Crescimento!#REF!)</f>
        <v>#REF!</v>
      </c>
      <c r="N39" s="6" t="e">
        <f>(O38+(Crescimento!#REF!-(O38*0.64))/0.8)/1000</f>
        <v>#REF!</v>
      </c>
      <c r="O39" s="7" t="e">
        <f>-53.07 + (304.89 * (N39)) + (90.79 *Crescimento!#REF!) - (3.13 * Crescimento!#REF!*Crescimento!#REF!)</f>
        <v>#REF!</v>
      </c>
      <c r="P39" s="1"/>
      <c r="Q39" s="6" t="e">
        <f>(R38+(Crescimento!#REF!-(R38*0.64))/0.8)/1000</f>
        <v>#REF!</v>
      </c>
      <c r="R39" s="7" t="e">
        <f>-53.07 + (304.89 * (Q39)) + (90.79 *Crescimento!#REF!) - (3.13 * Crescimento!#REF!*Crescimento!#REF!)</f>
        <v>#REF!</v>
      </c>
      <c r="T39" s="6" t="e">
        <f>(U38+(Crescimento!#REF!-(U38*0.64))/0.8)/1000</f>
        <v>#REF!</v>
      </c>
      <c r="U39" s="7" t="e">
        <f>-53.07 + (304.89 * (T39)) + (90.79 *Crescimento!#REF!) - (3.13 * Crescimento!#REF!*Crescimento!#REF!)</f>
        <v>#REF!</v>
      </c>
      <c r="W39" s="6" t="e">
        <f>(X38+(Crescimento!#REF!-(X38*0.64))/0.8)/1000</f>
        <v>#REF!</v>
      </c>
      <c r="X39" s="7" t="e">
        <f>-53.07 + (304.89 * (W39)) + (90.79 *Crescimento!#REF!) - (3.13 * Crescimento!#REF!*Crescimento!#REF!)</f>
        <v>#REF!</v>
      </c>
      <c r="Z39" s="6" t="e">
        <f>(AA38+(Crescimento!#REF!-(AA38*0.64))/0.8)/1000</f>
        <v>#REF!</v>
      </c>
      <c r="AA39" s="7" t="e">
        <f>-53.07 + (304.89 * (Z39)) + (90.79 *Crescimento!#REF!) - (3.13 * Crescimento!#REF!*Crescimento!#REF!)</f>
        <v>#REF!</v>
      </c>
      <c r="AB39" s="1"/>
      <c r="AC39" s="6" t="e">
        <f>(AD38+(Crescimento!#REF!-(AD38*0.64))/0.8)/1000</f>
        <v>#REF!</v>
      </c>
      <c r="AD39" s="7" t="e">
        <f>-53.07 + (304.89 * (AC39)) + (90.79 *Crescimento!#REF!) - (3.13 * Crescimento!#REF!*Crescimento!#REF!)</f>
        <v>#REF!</v>
      </c>
      <c r="AF39" s="6" t="e">
        <f>(AG38+(Crescimento!#REF!-(AG38*0.64))/0.8)/1000</f>
        <v>#REF!</v>
      </c>
      <c r="AG39" s="7" t="e">
        <f>-53.07 + (304.89 * (AF39)) + (90.79 *Crescimento!#REF!) - (3.13 * Crescimento!#REF!*Crescimento!#REF!)</f>
        <v>#REF!</v>
      </c>
      <c r="AI39" s="6" t="e">
        <f>(AJ38+(Crescimento!#REF!-(AJ38*0.64))/0.8)/1000</f>
        <v>#REF!</v>
      </c>
      <c r="AJ39" s="7" t="e">
        <f>-53.07 + (304.89 * (AI39)) + (90.79 *Crescimento!#REF!) - (3.13 * Crescimento!#REF!*Crescimento!#REF!)</f>
        <v>#REF!</v>
      </c>
      <c r="AL39" s="6" t="e">
        <f>(AM38+(Crescimento!#REF!-(AM38*0.64))/0.8)/1000</f>
        <v>#REF!</v>
      </c>
      <c r="AM39" s="7" t="e">
        <f>-53.07 + (304.89 * (AL39)) + (90.79 *Crescimento!#REF!) - (3.13 * Crescimento!#REF!*Crescimento!#REF!)</f>
        <v>#REF!</v>
      </c>
      <c r="AN39" s="1"/>
      <c r="AO39" s="6" t="e">
        <f>(AP38+(Crescimento!#REF!-(AP38*0.64))/0.8)/1000</f>
        <v>#REF!</v>
      </c>
      <c r="AP39" s="7" t="e">
        <f>-53.07 + (304.89 * (AO39)) + (90.79 *Crescimento!#REF!) - (3.13 * Crescimento!#REF!*Crescimento!#REF!)</f>
        <v>#REF!</v>
      </c>
      <c r="AR39" s="6" t="e">
        <f>(AS38+(Crescimento!#REF!-(AS38*0.64))/0.8)/1000</f>
        <v>#REF!</v>
      </c>
      <c r="AS39" s="7" t="e">
        <f>-53.07 + (304.89 * (AR39)) + (90.79 *Crescimento!#REF!) - (3.13 * Crescimento!#REF!*Crescimento!#REF!)</f>
        <v>#REF!</v>
      </c>
      <c r="AU39" s="6" t="e">
        <f>(AV38+(Crescimento!#REF!-(AV38*0.64))/0.8)/1000</f>
        <v>#REF!</v>
      </c>
      <c r="AV39" s="7" t="e">
        <f>-53.07 + (304.89 * (AU39)) + (90.79 *Crescimento!#REF!) - (3.13 * Crescimento!#REF!*Crescimento!#REF!)</f>
        <v>#REF!</v>
      </c>
      <c r="AX39" s="6" t="e">
        <f>(AY38+(Crescimento!#REF!-(AY38*0.64))/0.8)/1000</f>
        <v>#REF!</v>
      </c>
      <c r="AY39" s="7" t="e">
        <f>-53.07 + (304.89 * (AX39)) + (90.79 *Crescimento!#REF!) - (3.13 * Crescimento!#REF!*Crescimento!#REF!)</f>
        <v>#REF!</v>
      </c>
      <c r="AZ39" s="1"/>
      <c r="BA39" s="6" t="e">
        <f>(BB38+(Crescimento!#REF!-(BB38*0.64))/0.8)/1000</f>
        <v>#REF!</v>
      </c>
      <c r="BB39" s="7" t="e">
        <f>-53.07 + (304.89 * (BA39)) + (90.79 *Crescimento!#REF!) - (3.13 * Crescimento!#REF!*Crescimento!#REF!)</f>
        <v>#REF!</v>
      </c>
      <c r="BD39" s="6" t="e">
        <f>(BE38+(Crescimento!#REF!-(BE38*0.64))/0.8)/1000</f>
        <v>#REF!</v>
      </c>
      <c r="BE39" s="7" t="e">
        <f>-53.07 + (304.89 * (BD39)) + (90.79 *Crescimento!#REF!) - (3.13 * Crescimento!#REF!*Crescimento!#REF!)</f>
        <v>#REF!</v>
      </c>
      <c r="BG39" s="6" t="e">
        <f>(BH38+(Crescimento!#REF!-(BH38*0.64))/0.8)/1000</f>
        <v>#REF!</v>
      </c>
      <c r="BH39" s="7" t="e">
        <f>-53.07 + (304.89 * (BG39)) + (90.79 *Crescimento!#REF!) - (3.13 * Crescimento!#REF!*Crescimento!#REF!)</f>
        <v>#REF!</v>
      </c>
      <c r="BJ39" s="6" t="e">
        <f>(BK38+(Crescimento!#REF!-(BK38*0.64))/0.8)/1000</f>
        <v>#REF!</v>
      </c>
      <c r="BK39" s="7" t="e">
        <f>-53.07 + (304.89 * (BJ39)) + (90.79 *Crescimento!#REF!) - (3.13 * Crescimento!#REF!*Crescimento!#REF!)</f>
        <v>#REF!</v>
      </c>
      <c r="BL39" s="1"/>
      <c r="BM39" s="6" t="e">
        <f>(BN38+(Crescimento!#REF!-(BN38*0.64))/0.8)/1000</f>
        <v>#REF!</v>
      </c>
      <c r="BN39" s="7" t="e">
        <f>-53.07 + (304.89 * (BM39)) + (90.79 *Crescimento!#REF!) - (3.13 * Crescimento!#REF!*Crescimento!#REF!)</f>
        <v>#REF!</v>
      </c>
      <c r="BP39" s="6" t="e">
        <f>(BQ38+(Crescimento!#REF!-(BQ38*0.64))/0.8)/1000</f>
        <v>#REF!</v>
      </c>
      <c r="BQ39" s="7" t="e">
        <f>-53.07 + (304.89 * (BP39)) + (90.79 *Crescimento!#REF!) - (3.13 * Crescimento!#REF!*Crescimento!#REF!)</f>
        <v>#REF!</v>
      </c>
      <c r="BS39" s="6" t="e">
        <f>(BT38+(Crescimento!#REF!-(BT38*0.64))/0.8)/1000</f>
        <v>#REF!</v>
      </c>
      <c r="BT39" s="7" t="e">
        <f>-53.07 + (304.89 * (BS39)) + (90.79 *Crescimento!#REF!) - (3.13 * Crescimento!#REF!*Crescimento!#REF!)</f>
        <v>#REF!</v>
      </c>
      <c r="BV39" s="6" t="e">
        <f>(BW38+(Crescimento!#REF!-(BW38*0.64))/0.8)/1000</f>
        <v>#REF!</v>
      </c>
      <c r="BW39" s="7" t="e">
        <f>-53.07 + (304.89 * (BV39)) + (90.79 *Crescimento!#REF!) - (3.13 * Crescimento!#REF!*Crescimento!#REF!)</f>
        <v>#REF!</v>
      </c>
      <c r="BX39" s="1"/>
      <c r="BY39" s="6" t="e">
        <f>(BZ38+(Crescimento!#REF!-(BZ38*0.64))/0.8)/1000</f>
        <v>#REF!</v>
      </c>
      <c r="BZ39" s="7" t="e">
        <f>-53.07 + (304.89 * (BY39)) + (90.79 *Crescimento!#REF!) - (3.13 * Crescimento!#REF!*Crescimento!#REF!)</f>
        <v>#REF!</v>
      </c>
      <c r="CB39" s="6" t="e">
        <f>(CC38+(Crescimento!#REF!-(CC38*0.64))/0.8)/1000</f>
        <v>#REF!</v>
      </c>
      <c r="CC39" s="7" t="e">
        <f>-53.07 + (304.89 * (CB39)) + (90.79 *Crescimento!#REF!) - (3.13 * Crescimento!#REF!*Crescimento!#REF!)</f>
        <v>#REF!</v>
      </c>
      <c r="CE39" s="6" t="e">
        <f>(CF38+(Crescimento!#REF!-(CF38*0.64))/0.8)/1000</f>
        <v>#REF!</v>
      </c>
      <c r="CF39" s="7" t="e">
        <f>-53.07 + (304.89 * (CE39)) + (90.79 *Crescimento!#REF!) - (3.13 * Crescimento!#REF!*Crescimento!#REF!)</f>
        <v>#REF!</v>
      </c>
      <c r="CH39" s="6" t="e">
        <f>(CI38+(Crescimento!#REF!-(CI38*0.64))/0.8)/1000</f>
        <v>#REF!</v>
      </c>
      <c r="CI39" s="7" t="e">
        <f>-53.07 + (304.89 * (CH39)) + (90.79 *Crescimento!#REF!) - (3.13 * Crescimento!#REF!*Crescimento!#REF!)</f>
        <v>#REF!</v>
      </c>
      <c r="CJ39" s="1"/>
      <c r="CK39" s="6" t="e">
        <f>(CL38+(Crescimento!#REF!-(CL38*0.64))/0.8)/1000</f>
        <v>#REF!</v>
      </c>
      <c r="CL39" s="7" t="e">
        <f>-53.07 + (304.89 * (CK39)) + (90.79 *Crescimento!#REF!) - (3.13 * Crescimento!#REF!*Crescimento!#REF!)</f>
        <v>#REF!</v>
      </c>
      <c r="CN39" s="6" t="e">
        <f>(CO38+(Crescimento!#REF!-(CO38*0.64))/0.8)/1000</f>
        <v>#REF!</v>
      </c>
      <c r="CO39" s="7" t="e">
        <f>-53.07 + (304.89 * (CN39)) + (90.79 *Crescimento!#REF!) - (3.13 * Crescimento!#REF!*Crescimento!#REF!)</f>
        <v>#REF!</v>
      </c>
      <c r="CQ39" s="6" t="e">
        <f>(CR38+(Crescimento!#REF!-(CR38*0.64))/0.8)/1000</f>
        <v>#REF!</v>
      </c>
      <c r="CR39" s="7" t="e">
        <f>-53.07 + (304.89 * (CQ39)) + (90.79 *Crescimento!#REF!) - (3.13 * Crescimento!#REF!*Crescimento!#REF!)</f>
        <v>#REF!</v>
      </c>
    </row>
    <row r="40" spans="2:96" ht="15" customHeight="1" x14ac:dyDescent="0.25">
      <c r="B40" s="6">
        <f>(C39+(Crescimento!$Q$27-(C39*0.64))/0.8)/1000</f>
        <v>1.1187993738011861</v>
      </c>
      <c r="C40" s="8">
        <f>-53.07 + (304.89 * (B40)) + (90.79 *Crescimento!$Q$20) - (3.13 * Crescimento!$Q$20*Crescimento!$Q$20)</f>
        <v>757.4287040082213</v>
      </c>
      <c r="D40" s="1"/>
      <c r="E40" s="6" t="e">
        <f>(F39+(Crescimento!#REF!-(F39*0.64))/0.8)/1000</f>
        <v>#REF!</v>
      </c>
      <c r="F40" s="7" t="e">
        <f>-53.07 + (304.89 * (E40)) + (90.79 *Crescimento!#REF!) - (3.13 * Crescimento!#REF!*Crescimento!#REF!)</f>
        <v>#REF!</v>
      </c>
      <c r="H40" s="6" t="e">
        <f>(I39+(Crescimento!#REF!-(I39*0.64))/0.8)/1000</f>
        <v>#REF!</v>
      </c>
      <c r="I40" s="7" t="e">
        <f>-53.07 + (304.89 * (H40)) + (90.79 *Crescimento!#REF!) - (3.13 * Crescimento!#REF!*Crescimento!#REF!)</f>
        <v>#REF!</v>
      </c>
      <c r="K40" s="6" t="e">
        <f>(L39+(Crescimento!#REF!-(L39*0.64))/0.8)/1000</f>
        <v>#REF!</v>
      </c>
      <c r="L40" s="7" t="e">
        <f>-53.07 + (304.89 * (K40)) + (90.79 *Crescimento!#REF!) - (3.13 * Crescimento!#REF!*Crescimento!#REF!)</f>
        <v>#REF!</v>
      </c>
      <c r="N40" s="6" t="e">
        <f>(O39+(Crescimento!#REF!-(O39*0.64))/0.8)/1000</f>
        <v>#REF!</v>
      </c>
      <c r="O40" s="7" t="e">
        <f>-53.07 + (304.89 * (N40)) + (90.79 *Crescimento!#REF!) - (3.13 * Crescimento!#REF!*Crescimento!#REF!)</f>
        <v>#REF!</v>
      </c>
      <c r="P40" s="1"/>
      <c r="Q40" s="6" t="e">
        <f>(R39+(Crescimento!#REF!-(R39*0.64))/0.8)/1000</f>
        <v>#REF!</v>
      </c>
      <c r="R40" s="7" t="e">
        <f>-53.07 + (304.89 * (Q40)) + (90.79 *Crescimento!#REF!) - (3.13 * Crescimento!#REF!*Crescimento!#REF!)</f>
        <v>#REF!</v>
      </c>
      <c r="T40" s="6" t="e">
        <f>(U39+(Crescimento!#REF!-(U39*0.64))/0.8)/1000</f>
        <v>#REF!</v>
      </c>
      <c r="U40" s="7" t="e">
        <f>-53.07 + (304.89 * (T40)) + (90.79 *Crescimento!#REF!) - (3.13 * Crescimento!#REF!*Crescimento!#REF!)</f>
        <v>#REF!</v>
      </c>
      <c r="W40" s="6" t="e">
        <f>(X39+(Crescimento!#REF!-(X39*0.64))/0.8)/1000</f>
        <v>#REF!</v>
      </c>
      <c r="X40" s="7" t="e">
        <f>-53.07 + (304.89 * (W40)) + (90.79 *Crescimento!#REF!) - (3.13 * Crescimento!#REF!*Crescimento!#REF!)</f>
        <v>#REF!</v>
      </c>
      <c r="Z40" s="6" t="e">
        <f>(AA39+(Crescimento!#REF!-(AA39*0.64))/0.8)/1000</f>
        <v>#REF!</v>
      </c>
      <c r="AA40" s="7" t="e">
        <f>-53.07 + (304.89 * (Z40)) + (90.79 *Crescimento!#REF!) - (3.13 * Crescimento!#REF!*Crescimento!#REF!)</f>
        <v>#REF!</v>
      </c>
      <c r="AB40" s="1"/>
      <c r="AC40" s="6" t="e">
        <f>(AD39+(Crescimento!#REF!-(AD39*0.64))/0.8)/1000</f>
        <v>#REF!</v>
      </c>
      <c r="AD40" s="7" t="e">
        <f>-53.07 + (304.89 * (AC40)) + (90.79 *Crescimento!#REF!) - (3.13 * Crescimento!#REF!*Crescimento!#REF!)</f>
        <v>#REF!</v>
      </c>
      <c r="AF40" s="6" t="e">
        <f>(AG39+(Crescimento!#REF!-(AG39*0.64))/0.8)/1000</f>
        <v>#REF!</v>
      </c>
      <c r="AG40" s="7" t="e">
        <f>-53.07 + (304.89 * (AF40)) + (90.79 *Crescimento!#REF!) - (3.13 * Crescimento!#REF!*Crescimento!#REF!)</f>
        <v>#REF!</v>
      </c>
      <c r="AI40" s="6" t="e">
        <f>(AJ39+(Crescimento!#REF!-(AJ39*0.64))/0.8)/1000</f>
        <v>#REF!</v>
      </c>
      <c r="AJ40" s="7" t="e">
        <f>-53.07 + (304.89 * (AI40)) + (90.79 *Crescimento!#REF!) - (3.13 * Crescimento!#REF!*Crescimento!#REF!)</f>
        <v>#REF!</v>
      </c>
      <c r="AL40" s="6" t="e">
        <f>(AM39+(Crescimento!#REF!-(AM39*0.64))/0.8)/1000</f>
        <v>#REF!</v>
      </c>
      <c r="AM40" s="7" t="e">
        <f>-53.07 + (304.89 * (AL40)) + (90.79 *Crescimento!#REF!) - (3.13 * Crescimento!#REF!*Crescimento!#REF!)</f>
        <v>#REF!</v>
      </c>
      <c r="AN40" s="1"/>
      <c r="AO40" s="6" t="e">
        <f>(AP39+(Crescimento!#REF!-(AP39*0.64))/0.8)/1000</f>
        <v>#REF!</v>
      </c>
      <c r="AP40" s="7" t="e">
        <f>-53.07 + (304.89 * (AO40)) + (90.79 *Crescimento!#REF!) - (3.13 * Crescimento!#REF!*Crescimento!#REF!)</f>
        <v>#REF!</v>
      </c>
      <c r="AR40" s="6" t="e">
        <f>(AS39+(Crescimento!#REF!-(AS39*0.64))/0.8)/1000</f>
        <v>#REF!</v>
      </c>
      <c r="AS40" s="7" t="e">
        <f>-53.07 + (304.89 * (AR40)) + (90.79 *Crescimento!#REF!) - (3.13 * Crescimento!#REF!*Crescimento!#REF!)</f>
        <v>#REF!</v>
      </c>
      <c r="AU40" s="6" t="e">
        <f>(AV39+(Crescimento!#REF!-(AV39*0.64))/0.8)/1000</f>
        <v>#REF!</v>
      </c>
      <c r="AV40" s="7" t="e">
        <f>-53.07 + (304.89 * (AU40)) + (90.79 *Crescimento!#REF!) - (3.13 * Crescimento!#REF!*Crescimento!#REF!)</f>
        <v>#REF!</v>
      </c>
      <c r="AX40" s="6" t="e">
        <f>(AY39+(Crescimento!#REF!-(AY39*0.64))/0.8)/1000</f>
        <v>#REF!</v>
      </c>
      <c r="AY40" s="7" t="e">
        <f>-53.07 + (304.89 * (AX40)) + (90.79 *Crescimento!#REF!) - (3.13 * Crescimento!#REF!*Crescimento!#REF!)</f>
        <v>#REF!</v>
      </c>
      <c r="AZ40" s="1"/>
      <c r="BA40" s="6" t="e">
        <f>(BB39+(Crescimento!#REF!-(BB39*0.64))/0.8)/1000</f>
        <v>#REF!</v>
      </c>
      <c r="BB40" s="7" t="e">
        <f>-53.07 + (304.89 * (BA40)) + (90.79 *Crescimento!#REF!) - (3.13 * Crescimento!#REF!*Crescimento!#REF!)</f>
        <v>#REF!</v>
      </c>
      <c r="BD40" s="6" t="e">
        <f>(BE39+(Crescimento!#REF!-(BE39*0.64))/0.8)/1000</f>
        <v>#REF!</v>
      </c>
      <c r="BE40" s="7" t="e">
        <f>-53.07 + (304.89 * (BD40)) + (90.79 *Crescimento!#REF!) - (3.13 * Crescimento!#REF!*Crescimento!#REF!)</f>
        <v>#REF!</v>
      </c>
      <c r="BG40" s="6" t="e">
        <f>(BH39+(Crescimento!#REF!-(BH39*0.64))/0.8)/1000</f>
        <v>#REF!</v>
      </c>
      <c r="BH40" s="7" t="e">
        <f>-53.07 + (304.89 * (BG40)) + (90.79 *Crescimento!#REF!) - (3.13 * Crescimento!#REF!*Crescimento!#REF!)</f>
        <v>#REF!</v>
      </c>
      <c r="BJ40" s="6" t="e">
        <f>(BK39+(Crescimento!#REF!-(BK39*0.64))/0.8)/1000</f>
        <v>#REF!</v>
      </c>
      <c r="BK40" s="7" t="e">
        <f>-53.07 + (304.89 * (BJ40)) + (90.79 *Crescimento!#REF!) - (3.13 * Crescimento!#REF!*Crescimento!#REF!)</f>
        <v>#REF!</v>
      </c>
      <c r="BL40" s="1"/>
      <c r="BM40" s="6" t="e">
        <f>(BN39+(Crescimento!#REF!-(BN39*0.64))/0.8)/1000</f>
        <v>#REF!</v>
      </c>
      <c r="BN40" s="7" t="e">
        <f>-53.07 + (304.89 * (BM40)) + (90.79 *Crescimento!#REF!) - (3.13 * Crescimento!#REF!*Crescimento!#REF!)</f>
        <v>#REF!</v>
      </c>
      <c r="BP40" s="6" t="e">
        <f>(BQ39+(Crescimento!#REF!-(BQ39*0.64))/0.8)/1000</f>
        <v>#REF!</v>
      </c>
      <c r="BQ40" s="7" t="e">
        <f>-53.07 + (304.89 * (BP40)) + (90.79 *Crescimento!#REF!) - (3.13 * Crescimento!#REF!*Crescimento!#REF!)</f>
        <v>#REF!</v>
      </c>
      <c r="BS40" s="6" t="e">
        <f>(BT39+(Crescimento!#REF!-(BT39*0.64))/0.8)/1000</f>
        <v>#REF!</v>
      </c>
      <c r="BT40" s="7" t="e">
        <f>-53.07 + (304.89 * (BS40)) + (90.79 *Crescimento!#REF!) - (3.13 * Crescimento!#REF!*Crescimento!#REF!)</f>
        <v>#REF!</v>
      </c>
      <c r="BV40" s="6" t="e">
        <f>(BW39+(Crescimento!#REF!-(BW39*0.64))/0.8)/1000</f>
        <v>#REF!</v>
      </c>
      <c r="BW40" s="7" t="e">
        <f>-53.07 + (304.89 * (BV40)) + (90.79 *Crescimento!#REF!) - (3.13 * Crescimento!#REF!*Crescimento!#REF!)</f>
        <v>#REF!</v>
      </c>
      <c r="BX40" s="1"/>
      <c r="BY40" s="6" t="e">
        <f>(BZ39+(Crescimento!#REF!-(BZ39*0.64))/0.8)/1000</f>
        <v>#REF!</v>
      </c>
      <c r="BZ40" s="7" t="e">
        <f>-53.07 + (304.89 * (BY40)) + (90.79 *Crescimento!#REF!) - (3.13 * Crescimento!#REF!*Crescimento!#REF!)</f>
        <v>#REF!</v>
      </c>
      <c r="CB40" s="6" t="e">
        <f>(CC39+(Crescimento!#REF!-(CC39*0.64))/0.8)/1000</f>
        <v>#REF!</v>
      </c>
      <c r="CC40" s="7" t="e">
        <f>-53.07 + (304.89 * (CB40)) + (90.79 *Crescimento!#REF!) - (3.13 * Crescimento!#REF!*Crescimento!#REF!)</f>
        <v>#REF!</v>
      </c>
      <c r="CE40" s="6" t="e">
        <f>(CF39+(Crescimento!#REF!-(CF39*0.64))/0.8)/1000</f>
        <v>#REF!</v>
      </c>
      <c r="CF40" s="7" t="e">
        <f>-53.07 + (304.89 * (CE40)) + (90.79 *Crescimento!#REF!) - (3.13 * Crescimento!#REF!*Crescimento!#REF!)</f>
        <v>#REF!</v>
      </c>
      <c r="CH40" s="6" t="e">
        <f>(CI39+(Crescimento!#REF!-(CI39*0.64))/0.8)/1000</f>
        <v>#REF!</v>
      </c>
      <c r="CI40" s="7" t="e">
        <f>-53.07 + (304.89 * (CH40)) + (90.79 *Crescimento!#REF!) - (3.13 * Crescimento!#REF!*Crescimento!#REF!)</f>
        <v>#REF!</v>
      </c>
      <c r="CJ40" s="1"/>
      <c r="CK40" s="6" t="e">
        <f>(CL39+(Crescimento!#REF!-(CL39*0.64))/0.8)/1000</f>
        <v>#REF!</v>
      </c>
      <c r="CL40" s="7" t="e">
        <f>-53.07 + (304.89 * (CK40)) + (90.79 *Crescimento!#REF!) - (3.13 * Crescimento!#REF!*Crescimento!#REF!)</f>
        <v>#REF!</v>
      </c>
      <c r="CN40" s="6" t="e">
        <f>(CO39+(Crescimento!#REF!-(CO39*0.64))/0.8)/1000</f>
        <v>#REF!</v>
      </c>
      <c r="CO40" s="7" t="e">
        <f>-53.07 + (304.89 * (CN40)) + (90.79 *Crescimento!#REF!) - (3.13 * Crescimento!#REF!*Crescimento!#REF!)</f>
        <v>#REF!</v>
      </c>
      <c r="CQ40" s="6" t="e">
        <f>(CR39+(Crescimento!#REF!-(CR39*0.64))/0.8)/1000</f>
        <v>#REF!</v>
      </c>
      <c r="CR40" s="7" t="e">
        <f>-53.07 + (304.89 * (CQ40)) + (90.79 *Crescimento!#REF!) - (3.13 * Crescimento!#REF!*Crescimento!#REF!)</f>
        <v>#REF!</v>
      </c>
    </row>
    <row r="41" spans="2:96" ht="15" customHeight="1" x14ac:dyDescent="0.25">
      <c r="B41" s="6">
        <f>(C40+(Crescimento!$Q$27-(C40*0.64))/0.8)/1000</f>
        <v>1.1187993738011861</v>
      </c>
      <c r="C41" s="8">
        <f>-53.07 + (304.89 * (B41)) + (90.79 *Crescimento!$Q$20) - (3.13 * Crescimento!$Q$20*Crescimento!$Q$20)</f>
        <v>757.4287040082213</v>
      </c>
      <c r="D41" s="1"/>
      <c r="E41" s="6" t="e">
        <f>(F40+(Crescimento!#REF!-(F40*0.64))/0.8)/1000</f>
        <v>#REF!</v>
      </c>
      <c r="F41" s="7" t="e">
        <f>-53.07 + (304.89 * (E41)) + (90.79 *Crescimento!#REF!) - (3.13 * Crescimento!#REF!*Crescimento!#REF!)</f>
        <v>#REF!</v>
      </c>
      <c r="H41" s="6" t="e">
        <f>(I40+(Crescimento!#REF!-(I40*0.64))/0.8)/1000</f>
        <v>#REF!</v>
      </c>
      <c r="I41" s="7" t="e">
        <f>-53.07 + (304.89 * (H41)) + (90.79 *Crescimento!#REF!) - (3.13 * Crescimento!#REF!*Crescimento!#REF!)</f>
        <v>#REF!</v>
      </c>
      <c r="K41" s="6" t="e">
        <f>(L40+(Crescimento!#REF!-(L40*0.64))/0.8)/1000</f>
        <v>#REF!</v>
      </c>
      <c r="L41" s="7" t="e">
        <f>-53.07 + (304.89 * (K41)) + (90.79 *Crescimento!#REF!) - (3.13 * Crescimento!#REF!*Crescimento!#REF!)</f>
        <v>#REF!</v>
      </c>
      <c r="N41" s="6" t="e">
        <f>(O40+(Crescimento!#REF!-(O40*0.64))/0.8)/1000</f>
        <v>#REF!</v>
      </c>
      <c r="O41" s="7" t="e">
        <f>-53.07 + (304.89 * (N41)) + (90.79 *Crescimento!#REF!) - (3.13 * Crescimento!#REF!*Crescimento!#REF!)</f>
        <v>#REF!</v>
      </c>
      <c r="P41" s="1"/>
      <c r="Q41" s="6" t="e">
        <f>(R40+(Crescimento!#REF!-(R40*0.64))/0.8)/1000</f>
        <v>#REF!</v>
      </c>
      <c r="R41" s="7" t="e">
        <f>-53.07 + (304.89 * (Q41)) + (90.79 *Crescimento!#REF!) - (3.13 * Crescimento!#REF!*Crescimento!#REF!)</f>
        <v>#REF!</v>
      </c>
      <c r="T41" s="6" t="e">
        <f>(U40+(Crescimento!#REF!-(U40*0.64))/0.8)/1000</f>
        <v>#REF!</v>
      </c>
      <c r="U41" s="7" t="e">
        <f>-53.07 + (304.89 * (T41)) + (90.79 *Crescimento!#REF!) - (3.13 * Crescimento!#REF!*Crescimento!#REF!)</f>
        <v>#REF!</v>
      </c>
      <c r="W41" s="6" t="e">
        <f>(X40+(Crescimento!#REF!-(X40*0.64))/0.8)/1000</f>
        <v>#REF!</v>
      </c>
      <c r="X41" s="7" t="e">
        <f>-53.07 + (304.89 * (W41)) + (90.79 *Crescimento!#REF!) - (3.13 * Crescimento!#REF!*Crescimento!#REF!)</f>
        <v>#REF!</v>
      </c>
      <c r="Z41" s="6" t="e">
        <f>(AA40+(Crescimento!#REF!-(AA40*0.64))/0.8)/1000</f>
        <v>#REF!</v>
      </c>
      <c r="AA41" s="7" t="e">
        <f>-53.07 + (304.89 * (Z41)) + (90.79 *Crescimento!#REF!) - (3.13 * Crescimento!#REF!*Crescimento!#REF!)</f>
        <v>#REF!</v>
      </c>
      <c r="AB41" s="1"/>
      <c r="AC41" s="6" t="e">
        <f>(AD40+(Crescimento!#REF!-(AD40*0.64))/0.8)/1000</f>
        <v>#REF!</v>
      </c>
      <c r="AD41" s="7" t="e">
        <f>-53.07 + (304.89 * (AC41)) + (90.79 *Crescimento!#REF!) - (3.13 * Crescimento!#REF!*Crescimento!#REF!)</f>
        <v>#REF!</v>
      </c>
      <c r="AF41" s="6" t="e">
        <f>(AG40+(Crescimento!#REF!-(AG40*0.64))/0.8)/1000</f>
        <v>#REF!</v>
      </c>
      <c r="AG41" s="7" t="e">
        <f>-53.07 + (304.89 * (AF41)) + (90.79 *Crescimento!#REF!) - (3.13 * Crescimento!#REF!*Crescimento!#REF!)</f>
        <v>#REF!</v>
      </c>
      <c r="AI41" s="6" t="e">
        <f>(AJ40+(Crescimento!#REF!-(AJ40*0.64))/0.8)/1000</f>
        <v>#REF!</v>
      </c>
      <c r="AJ41" s="7" t="e">
        <f>-53.07 + (304.89 * (AI41)) + (90.79 *Crescimento!#REF!) - (3.13 * Crescimento!#REF!*Crescimento!#REF!)</f>
        <v>#REF!</v>
      </c>
      <c r="AL41" s="6" t="e">
        <f>(AM40+(Crescimento!#REF!-(AM40*0.64))/0.8)/1000</f>
        <v>#REF!</v>
      </c>
      <c r="AM41" s="7" t="e">
        <f>-53.07 + (304.89 * (AL41)) + (90.79 *Crescimento!#REF!) - (3.13 * Crescimento!#REF!*Crescimento!#REF!)</f>
        <v>#REF!</v>
      </c>
      <c r="AN41" s="1"/>
      <c r="AO41" s="6" t="e">
        <f>(AP40+(Crescimento!#REF!-(AP40*0.64))/0.8)/1000</f>
        <v>#REF!</v>
      </c>
      <c r="AP41" s="7" t="e">
        <f>-53.07 + (304.89 * (AO41)) + (90.79 *Crescimento!#REF!) - (3.13 * Crescimento!#REF!*Crescimento!#REF!)</f>
        <v>#REF!</v>
      </c>
      <c r="AR41" s="6" t="e">
        <f>(AS40+(Crescimento!#REF!-(AS40*0.64))/0.8)/1000</f>
        <v>#REF!</v>
      </c>
      <c r="AS41" s="7" t="e">
        <f>-53.07 + (304.89 * (AR41)) + (90.79 *Crescimento!#REF!) - (3.13 * Crescimento!#REF!*Crescimento!#REF!)</f>
        <v>#REF!</v>
      </c>
      <c r="AU41" s="6" t="e">
        <f>(AV40+(Crescimento!#REF!-(AV40*0.64))/0.8)/1000</f>
        <v>#REF!</v>
      </c>
      <c r="AV41" s="7" t="e">
        <f>-53.07 + (304.89 * (AU41)) + (90.79 *Crescimento!#REF!) - (3.13 * Crescimento!#REF!*Crescimento!#REF!)</f>
        <v>#REF!</v>
      </c>
      <c r="AX41" s="6" t="e">
        <f>(AY40+(Crescimento!#REF!-(AY40*0.64))/0.8)/1000</f>
        <v>#REF!</v>
      </c>
      <c r="AY41" s="7" t="e">
        <f>-53.07 + (304.89 * (AX41)) + (90.79 *Crescimento!#REF!) - (3.13 * Crescimento!#REF!*Crescimento!#REF!)</f>
        <v>#REF!</v>
      </c>
      <c r="AZ41" s="1"/>
      <c r="BA41" s="6" t="e">
        <f>(BB40+(Crescimento!#REF!-(BB40*0.64))/0.8)/1000</f>
        <v>#REF!</v>
      </c>
      <c r="BB41" s="7" t="e">
        <f>-53.07 + (304.89 * (BA41)) + (90.79 *Crescimento!#REF!) - (3.13 * Crescimento!#REF!*Crescimento!#REF!)</f>
        <v>#REF!</v>
      </c>
      <c r="BD41" s="6" t="e">
        <f>(BE40+(Crescimento!#REF!-(BE40*0.64))/0.8)/1000</f>
        <v>#REF!</v>
      </c>
      <c r="BE41" s="7" t="e">
        <f>-53.07 + (304.89 * (BD41)) + (90.79 *Crescimento!#REF!) - (3.13 * Crescimento!#REF!*Crescimento!#REF!)</f>
        <v>#REF!</v>
      </c>
      <c r="BG41" s="6" t="e">
        <f>(BH40+(Crescimento!#REF!-(BH40*0.64))/0.8)/1000</f>
        <v>#REF!</v>
      </c>
      <c r="BH41" s="7" t="e">
        <f>-53.07 + (304.89 * (BG41)) + (90.79 *Crescimento!#REF!) - (3.13 * Crescimento!#REF!*Crescimento!#REF!)</f>
        <v>#REF!</v>
      </c>
      <c r="BJ41" s="6" t="e">
        <f>(BK40+(Crescimento!#REF!-(BK40*0.64))/0.8)/1000</f>
        <v>#REF!</v>
      </c>
      <c r="BK41" s="7" t="e">
        <f>-53.07 + (304.89 * (BJ41)) + (90.79 *Crescimento!#REF!) - (3.13 * Crescimento!#REF!*Crescimento!#REF!)</f>
        <v>#REF!</v>
      </c>
      <c r="BL41" s="1"/>
      <c r="BM41" s="6" t="e">
        <f>(BN40+(Crescimento!#REF!-(BN40*0.64))/0.8)/1000</f>
        <v>#REF!</v>
      </c>
      <c r="BN41" s="7" t="e">
        <f>-53.07 + (304.89 * (BM41)) + (90.79 *Crescimento!#REF!) - (3.13 * Crescimento!#REF!*Crescimento!#REF!)</f>
        <v>#REF!</v>
      </c>
      <c r="BP41" s="6" t="e">
        <f>(BQ40+(Crescimento!#REF!-(BQ40*0.64))/0.8)/1000</f>
        <v>#REF!</v>
      </c>
      <c r="BQ41" s="7" t="e">
        <f>-53.07 + (304.89 * (BP41)) + (90.79 *Crescimento!#REF!) - (3.13 * Crescimento!#REF!*Crescimento!#REF!)</f>
        <v>#REF!</v>
      </c>
      <c r="BS41" s="6" t="e">
        <f>(BT40+(Crescimento!#REF!-(BT40*0.64))/0.8)/1000</f>
        <v>#REF!</v>
      </c>
      <c r="BT41" s="7" t="e">
        <f>-53.07 + (304.89 * (BS41)) + (90.79 *Crescimento!#REF!) - (3.13 * Crescimento!#REF!*Crescimento!#REF!)</f>
        <v>#REF!</v>
      </c>
      <c r="BV41" s="6" t="e">
        <f>(BW40+(Crescimento!#REF!-(BW40*0.64))/0.8)/1000</f>
        <v>#REF!</v>
      </c>
      <c r="BW41" s="7" t="e">
        <f>-53.07 + (304.89 * (BV41)) + (90.79 *Crescimento!#REF!) - (3.13 * Crescimento!#REF!*Crescimento!#REF!)</f>
        <v>#REF!</v>
      </c>
      <c r="BX41" s="1"/>
      <c r="BY41" s="6" t="e">
        <f>(BZ40+(Crescimento!#REF!-(BZ40*0.64))/0.8)/1000</f>
        <v>#REF!</v>
      </c>
      <c r="BZ41" s="7" t="e">
        <f>-53.07 + (304.89 * (BY41)) + (90.79 *Crescimento!#REF!) - (3.13 * Crescimento!#REF!*Crescimento!#REF!)</f>
        <v>#REF!</v>
      </c>
      <c r="CB41" s="6" t="e">
        <f>(CC40+(Crescimento!#REF!-(CC40*0.64))/0.8)/1000</f>
        <v>#REF!</v>
      </c>
      <c r="CC41" s="7" t="e">
        <f>-53.07 + (304.89 * (CB41)) + (90.79 *Crescimento!#REF!) - (3.13 * Crescimento!#REF!*Crescimento!#REF!)</f>
        <v>#REF!</v>
      </c>
      <c r="CE41" s="6" t="e">
        <f>(CF40+(Crescimento!#REF!-(CF40*0.64))/0.8)/1000</f>
        <v>#REF!</v>
      </c>
      <c r="CF41" s="7" t="e">
        <f>-53.07 + (304.89 * (CE41)) + (90.79 *Crescimento!#REF!) - (3.13 * Crescimento!#REF!*Crescimento!#REF!)</f>
        <v>#REF!</v>
      </c>
      <c r="CH41" s="6" t="e">
        <f>(CI40+(Crescimento!#REF!-(CI40*0.64))/0.8)/1000</f>
        <v>#REF!</v>
      </c>
      <c r="CI41" s="7" t="e">
        <f>-53.07 + (304.89 * (CH41)) + (90.79 *Crescimento!#REF!) - (3.13 * Crescimento!#REF!*Crescimento!#REF!)</f>
        <v>#REF!</v>
      </c>
      <c r="CJ41" s="1"/>
      <c r="CK41" s="6" t="e">
        <f>(CL40+(Crescimento!#REF!-(CL40*0.64))/0.8)/1000</f>
        <v>#REF!</v>
      </c>
      <c r="CL41" s="7" t="e">
        <f>-53.07 + (304.89 * (CK41)) + (90.79 *Crescimento!#REF!) - (3.13 * Crescimento!#REF!*Crescimento!#REF!)</f>
        <v>#REF!</v>
      </c>
      <c r="CN41" s="6" t="e">
        <f>(CO40+(Crescimento!#REF!-(CO40*0.64))/0.8)/1000</f>
        <v>#REF!</v>
      </c>
      <c r="CO41" s="7" t="e">
        <f>-53.07 + (304.89 * (CN41)) + (90.79 *Crescimento!#REF!) - (3.13 * Crescimento!#REF!*Crescimento!#REF!)</f>
        <v>#REF!</v>
      </c>
      <c r="CQ41" s="6" t="e">
        <f>(CR40+(Crescimento!#REF!-(CR40*0.64))/0.8)/1000</f>
        <v>#REF!</v>
      </c>
      <c r="CR41" s="7" t="e">
        <f>-53.07 + (304.89 * (CQ41)) + (90.79 *Crescimento!#REF!) - (3.13 * Crescimento!#REF!*Crescimento!#REF!)</f>
        <v>#REF!</v>
      </c>
    </row>
    <row r="42" spans="2:96" x14ac:dyDescent="0.25">
      <c r="B42" s="6">
        <f>(C41+(Crescimento!$Q$27-(C41*0.64))/0.8)/1000</f>
        <v>1.1187993738011861</v>
      </c>
      <c r="C42" s="8">
        <f>-53.07 + (304.89 * (B42)) + (90.79 *Crescimento!$Q$20) - (3.13 * Crescimento!$Q$20*Crescimento!$Q$20)</f>
        <v>757.4287040082213</v>
      </c>
      <c r="D42" s="1"/>
      <c r="E42" s="6" t="e">
        <f>(F41+(Crescimento!#REF!-(F41*0.64))/0.8)/1000</f>
        <v>#REF!</v>
      </c>
      <c r="F42" s="7" t="e">
        <f>-53.07 + (304.89 * (E42)) + (90.79 *Crescimento!#REF!) - (3.13 * Crescimento!#REF!*Crescimento!#REF!)</f>
        <v>#REF!</v>
      </c>
      <c r="H42" s="6" t="e">
        <f>(I41+(Crescimento!#REF!-(I41*0.64))/0.8)/1000</f>
        <v>#REF!</v>
      </c>
      <c r="I42" s="7" t="e">
        <f>-53.07 + (304.89 * (H42)) + (90.79 *Crescimento!#REF!) - (3.13 * Crescimento!#REF!*Crescimento!#REF!)</f>
        <v>#REF!</v>
      </c>
      <c r="K42" s="6" t="e">
        <f>(L41+(Crescimento!#REF!-(L41*0.64))/0.8)/1000</f>
        <v>#REF!</v>
      </c>
      <c r="L42" s="7" t="e">
        <f>-53.07 + (304.89 * (K42)) + (90.79 *Crescimento!#REF!) - (3.13 * Crescimento!#REF!*Crescimento!#REF!)</f>
        <v>#REF!</v>
      </c>
      <c r="N42" s="6" t="e">
        <f>(O41+(Crescimento!#REF!-(O41*0.64))/0.8)/1000</f>
        <v>#REF!</v>
      </c>
      <c r="O42" s="7" t="e">
        <f>-53.07 + (304.89 * (N42)) + (90.79 *Crescimento!#REF!) - (3.13 * Crescimento!#REF!*Crescimento!#REF!)</f>
        <v>#REF!</v>
      </c>
      <c r="P42" s="1"/>
      <c r="Q42" s="6" t="e">
        <f>(R41+(Crescimento!#REF!-(R41*0.64))/0.8)/1000</f>
        <v>#REF!</v>
      </c>
      <c r="R42" s="7" t="e">
        <f>-53.07 + (304.89 * (Q42)) + (90.79 *Crescimento!#REF!) - (3.13 * Crescimento!#REF!*Crescimento!#REF!)</f>
        <v>#REF!</v>
      </c>
      <c r="T42" s="6" t="e">
        <f>(U41+(Crescimento!#REF!-(U41*0.64))/0.8)/1000</f>
        <v>#REF!</v>
      </c>
      <c r="U42" s="7" t="e">
        <f>-53.07 + (304.89 * (T42)) + (90.79 *Crescimento!#REF!) - (3.13 * Crescimento!#REF!*Crescimento!#REF!)</f>
        <v>#REF!</v>
      </c>
      <c r="W42" s="6" t="e">
        <f>(X41+(Crescimento!#REF!-(X41*0.64))/0.8)/1000</f>
        <v>#REF!</v>
      </c>
      <c r="X42" s="7" t="e">
        <f>-53.07 + (304.89 * (W42)) + (90.79 *Crescimento!#REF!) - (3.13 * Crescimento!#REF!*Crescimento!#REF!)</f>
        <v>#REF!</v>
      </c>
      <c r="Z42" s="6" t="e">
        <f>(AA41+(Crescimento!#REF!-(AA41*0.64))/0.8)/1000</f>
        <v>#REF!</v>
      </c>
      <c r="AA42" s="7" t="e">
        <f>-53.07 + (304.89 * (Z42)) + (90.79 *Crescimento!#REF!) - (3.13 * Crescimento!#REF!*Crescimento!#REF!)</f>
        <v>#REF!</v>
      </c>
      <c r="AB42" s="1"/>
      <c r="AC42" s="6" t="e">
        <f>(AD41+(Crescimento!#REF!-(AD41*0.64))/0.8)/1000</f>
        <v>#REF!</v>
      </c>
      <c r="AD42" s="7" t="e">
        <f>-53.07 + (304.89 * (AC42)) + (90.79 *Crescimento!#REF!) - (3.13 * Crescimento!#REF!*Crescimento!#REF!)</f>
        <v>#REF!</v>
      </c>
      <c r="AF42" s="6" t="e">
        <f>(AG41+(Crescimento!#REF!-(AG41*0.64))/0.8)/1000</f>
        <v>#REF!</v>
      </c>
      <c r="AG42" s="7" t="e">
        <f>-53.07 + (304.89 * (AF42)) + (90.79 *Crescimento!#REF!) - (3.13 * Crescimento!#REF!*Crescimento!#REF!)</f>
        <v>#REF!</v>
      </c>
      <c r="AI42" s="6" t="e">
        <f>(AJ41+(Crescimento!#REF!-(AJ41*0.64))/0.8)/1000</f>
        <v>#REF!</v>
      </c>
      <c r="AJ42" s="7" t="e">
        <f>-53.07 + (304.89 * (AI42)) + (90.79 *Crescimento!#REF!) - (3.13 * Crescimento!#REF!*Crescimento!#REF!)</f>
        <v>#REF!</v>
      </c>
      <c r="AL42" s="6" t="e">
        <f>(AM41+(Crescimento!#REF!-(AM41*0.64))/0.8)/1000</f>
        <v>#REF!</v>
      </c>
      <c r="AM42" s="7" t="e">
        <f>-53.07 + (304.89 * (AL42)) + (90.79 *Crescimento!#REF!) - (3.13 * Crescimento!#REF!*Crescimento!#REF!)</f>
        <v>#REF!</v>
      </c>
      <c r="AN42" s="1"/>
      <c r="AO42" s="6" t="e">
        <f>(AP41+(Crescimento!#REF!-(AP41*0.64))/0.8)/1000</f>
        <v>#REF!</v>
      </c>
      <c r="AP42" s="7" t="e">
        <f>-53.07 + (304.89 * (AO42)) + (90.79 *Crescimento!#REF!) - (3.13 * Crescimento!#REF!*Crescimento!#REF!)</f>
        <v>#REF!</v>
      </c>
      <c r="AR42" s="6" t="e">
        <f>(AS41+(Crescimento!#REF!-(AS41*0.64))/0.8)/1000</f>
        <v>#REF!</v>
      </c>
      <c r="AS42" s="7" t="e">
        <f>-53.07 + (304.89 * (AR42)) + (90.79 *Crescimento!#REF!) - (3.13 * Crescimento!#REF!*Crescimento!#REF!)</f>
        <v>#REF!</v>
      </c>
      <c r="AU42" s="6" t="e">
        <f>(AV41+(Crescimento!#REF!-(AV41*0.64))/0.8)/1000</f>
        <v>#REF!</v>
      </c>
      <c r="AV42" s="7" t="e">
        <f>-53.07 + (304.89 * (AU42)) + (90.79 *Crescimento!#REF!) - (3.13 * Crescimento!#REF!*Crescimento!#REF!)</f>
        <v>#REF!</v>
      </c>
      <c r="AX42" s="6" t="e">
        <f>(AY41+(Crescimento!#REF!-(AY41*0.64))/0.8)/1000</f>
        <v>#REF!</v>
      </c>
      <c r="AY42" s="7" t="e">
        <f>-53.07 + (304.89 * (AX42)) + (90.79 *Crescimento!#REF!) - (3.13 * Crescimento!#REF!*Crescimento!#REF!)</f>
        <v>#REF!</v>
      </c>
      <c r="AZ42" s="1"/>
      <c r="BA42" s="6" t="e">
        <f>(BB41+(Crescimento!#REF!-(BB41*0.64))/0.8)/1000</f>
        <v>#REF!</v>
      </c>
      <c r="BB42" s="7" t="e">
        <f>-53.07 + (304.89 * (BA42)) + (90.79 *Crescimento!#REF!) - (3.13 * Crescimento!#REF!*Crescimento!#REF!)</f>
        <v>#REF!</v>
      </c>
      <c r="BD42" s="6" t="e">
        <f>(BE41+(Crescimento!#REF!-(BE41*0.64))/0.8)/1000</f>
        <v>#REF!</v>
      </c>
      <c r="BE42" s="7" t="e">
        <f>-53.07 + (304.89 * (BD42)) + (90.79 *Crescimento!#REF!) - (3.13 * Crescimento!#REF!*Crescimento!#REF!)</f>
        <v>#REF!</v>
      </c>
      <c r="BG42" s="6" t="e">
        <f>(BH41+(Crescimento!#REF!-(BH41*0.64))/0.8)/1000</f>
        <v>#REF!</v>
      </c>
      <c r="BH42" s="7" t="e">
        <f>-53.07 + (304.89 * (BG42)) + (90.79 *Crescimento!#REF!) - (3.13 * Crescimento!#REF!*Crescimento!#REF!)</f>
        <v>#REF!</v>
      </c>
      <c r="BJ42" s="6" t="e">
        <f>(BK41+(Crescimento!#REF!-(BK41*0.64))/0.8)/1000</f>
        <v>#REF!</v>
      </c>
      <c r="BK42" s="7" t="e">
        <f>-53.07 + (304.89 * (BJ42)) + (90.79 *Crescimento!#REF!) - (3.13 * Crescimento!#REF!*Crescimento!#REF!)</f>
        <v>#REF!</v>
      </c>
      <c r="BL42" s="1"/>
      <c r="BM42" s="6" t="e">
        <f>(BN41+(Crescimento!#REF!-(BN41*0.64))/0.8)/1000</f>
        <v>#REF!</v>
      </c>
      <c r="BN42" s="7" t="e">
        <f>-53.07 + (304.89 * (BM42)) + (90.79 *Crescimento!#REF!) - (3.13 * Crescimento!#REF!*Crescimento!#REF!)</f>
        <v>#REF!</v>
      </c>
      <c r="BP42" s="6" t="e">
        <f>(BQ41+(Crescimento!#REF!-(BQ41*0.64))/0.8)/1000</f>
        <v>#REF!</v>
      </c>
      <c r="BQ42" s="7" t="e">
        <f>-53.07 + (304.89 * (BP42)) + (90.79 *Crescimento!#REF!) - (3.13 * Crescimento!#REF!*Crescimento!#REF!)</f>
        <v>#REF!</v>
      </c>
      <c r="BS42" s="6" t="e">
        <f>(BT41+(Crescimento!#REF!-(BT41*0.64))/0.8)/1000</f>
        <v>#REF!</v>
      </c>
      <c r="BT42" s="7" t="e">
        <f>-53.07 + (304.89 * (BS42)) + (90.79 *Crescimento!#REF!) - (3.13 * Crescimento!#REF!*Crescimento!#REF!)</f>
        <v>#REF!</v>
      </c>
      <c r="BV42" s="6" t="e">
        <f>(BW41+(Crescimento!#REF!-(BW41*0.64))/0.8)/1000</f>
        <v>#REF!</v>
      </c>
      <c r="BW42" s="7" t="e">
        <f>-53.07 + (304.89 * (BV42)) + (90.79 *Crescimento!#REF!) - (3.13 * Crescimento!#REF!*Crescimento!#REF!)</f>
        <v>#REF!</v>
      </c>
      <c r="BX42" s="1"/>
      <c r="BY42" s="6" t="e">
        <f>(BZ41+(Crescimento!#REF!-(BZ41*0.64))/0.8)/1000</f>
        <v>#REF!</v>
      </c>
      <c r="BZ42" s="7" t="e">
        <f>-53.07 + (304.89 * (BY42)) + (90.79 *Crescimento!#REF!) - (3.13 * Crescimento!#REF!*Crescimento!#REF!)</f>
        <v>#REF!</v>
      </c>
      <c r="CB42" s="6" t="e">
        <f>(CC41+(Crescimento!#REF!-(CC41*0.64))/0.8)/1000</f>
        <v>#REF!</v>
      </c>
      <c r="CC42" s="7" t="e">
        <f>-53.07 + (304.89 * (CB42)) + (90.79 *Crescimento!#REF!) - (3.13 * Crescimento!#REF!*Crescimento!#REF!)</f>
        <v>#REF!</v>
      </c>
      <c r="CE42" s="6" t="e">
        <f>(CF41+(Crescimento!#REF!-(CF41*0.64))/0.8)/1000</f>
        <v>#REF!</v>
      </c>
      <c r="CF42" s="7" t="e">
        <f>-53.07 + (304.89 * (CE42)) + (90.79 *Crescimento!#REF!) - (3.13 * Crescimento!#REF!*Crescimento!#REF!)</f>
        <v>#REF!</v>
      </c>
      <c r="CH42" s="6" t="e">
        <f>(CI41+(Crescimento!#REF!-(CI41*0.64))/0.8)/1000</f>
        <v>#REF!</v>
      </c>
      <c r="CI42" s="7" t="e">
        <f>-53.07 + (304.89 * (CH42)) + (90.79 *Crescimento!#REF!) - (3.13 * Crescimento!#REF!*Crescimento!#REF!)</f>
        <v>#REF!</v>
      </c>
      <c r="CJ42" s="1"/>
      <c r="CK42" s="6" t="e">
        <f>(CL41+(Crescimento!#REF!-(CL41*0.64))/0.8)/1000</f>
        <v>#REF!</v>
      </c>
      <c r="CL42" s="7" t="e">
        <f>-53.07 + (304.89 * (CK42)) + (90.79 *Crescimento!#REF!) - (3.13 * Crescimento!#REF!*Crescimento!#REF!)</f>
        <v>#REF!</v>
      </c>
      <c r="CN42" s="6" t="e">
        <f>(CO41+(Crescimento!#REF!-(CO41*0.64))/0.8)/1000</f>
        <v>#REF!</v>
      </c>
      <c r="CO42" s="7" t="e">
        <f>-53.07 + (304.89 * (CN42)) + (90.79 *Crescimento!#REF!) - (3.13 * Crescimento!#REF!*Crescimento!#REF!)</f>
        <v>#REF!</v>
      </c>
      <c r="CQ42" s="6" t="e">
        <f>(CR41+(Crescimento!#REF!-(CR41*0.64))/0.8)/1000</f>
        <v>#REF!</v>
      </c>
      <c r="CR42" s="7" t="e">
        <f>-53.07 + (304.89 * (CQ42)) + (90.79 *Crescimento!#REF!) - (3.13 * Crescimento!#REF!*Crescimento!#REF!)</f>
        <v>#REF!</v>
      </c>
    </row>
    <row r="43" spans="2:96" x14ac:dyDescent="0.25">
      <c r="B43" s="6">
        <f>(C42+(Crescimento!$Q$27-(C42*0.64))/0.8)/1000</f>
        <v>1.1187993738011861</v>
      </c>
      <c r="C43" s="8">
        <f>-53.07 + (304.89 * (B43)) + (90.79 *Crescimento!$Q$20) - (3.13 * Crescimento!$Q$20*Crescimento!$Q$20)</f>
        <v>757.4287040082213</v>
      </c>
      <c r="D43" s="1"/>
      <c r="E43" s="6" t="e">
        <f>(F42+(Crescimento!#REF!-(F42*0.64))/0.8)/1000</f>
        <v>#REF!</v>
      </c>
      <c r="F43" s="7" t="e">
        <f>-53.07 + (304.89 * (E43)) + (90.79 *Crescimento!#REF!) - (3.13 * Crescimento!#REF!*Crescimento!#REF!)</f>
        <v>#REF!</v>
      </c>
      <c r="H43" s="6" t="e">
        <f>(I42+(Crescimento!#REF!-(I42*0.64))/0.8)/1000</f>
        <v>#REF!</v>
      </c>
      <c r="I43" s="7" t="e">
        <f>-53.07 + (304.89 * (H43)) + (90.79 *Crescimento!#REF!) - (3.13 * Crescimento!#REF!*Crescimento!#REF!)</f>
        <v>#REF!</v>
      </c>
      <c r="K43" s="6" t="e">
        <f>(L42+(Crescimento!#REF!-(L42*0.64))/0.8)/1000</f>
        <v>#REF!</v>
      </c>
      <c r="L43" s="7" t="e">
        <f>-53.07 + (304.89 * (K43)) + (90.79 *Crescimento!#REF!) - (3.13 * Crescimento!#REF!*Crescimento!#REF!)</f>
        <v>#REF!</v>
      </c>
      <c r="N43" s="6" t="e">
        <f>(O42+(Crescimento!#REF!-(O42*0.64))/0.8)/1000</f>
        <v>#REF!</v>
      </c>
      <c r="O43" s="7" t="e">
        <f>-53.07 + (304.89 * (N43)) + (90.79 *Crescimento!#REF!) - (3.13 * Crescimento!#REF!*Crescimento!#REF!)</f>
        <v>#REF!</v>
      </c>
      <c r="P43" s="1"/>
      <c r="Q43" s="6" t="e">
        <f>(R42+(Crescimento!#REF!-(R42*0.64))/0.8)/1000</f>
        <v>#REF!</v>
      </c>
      <c r="R43" s="7" t="e">
        <f>-53.07 + (304.89 * (Q43)) + (90.79 *Crescimento!#REF!) - (3.13 * Crescimento!#REF!*Crescimento!#REF!)</f>
        <v>#REF!</v>
      </c>
      <c r="T43" s="6" t="e">
        <f>(U42+(Crescimento!#REF!-(U42*0.64))/0.8)/1000</f>
        <v>#REF!</v>
      </c>
      <c r="U43" s="7" t="e">
        <f>-53.07 + (304.89 * (T43)) + (90.79 *Crescimento!#REF!) - (3.13 * Crescimento!#REF!*Crescimento!#REF!)</f>
        <v>#REF!</v>
      </c>
      <c r="W43" s="6" t="e">
        <f>(X42+(Crescimento!#REF!-(X42*0.64))/0.8)/1000</f>
        <v>#REF!</v>
      </c>
      <c r="X43" s="7" t="e">
        <f>-53.07 + (304.89 * (W43)) + (90.79 *Crescimento!#REF!) - (3.13 * Crescimento!#REF!*Crescimento!#REF!)</f>
        <v>#REF!</v>
      </c>
      <c r="Z43" s="6" t="e">
        <f>(AA42+(Crescimento!#REF!-(AA42*0.64))/0.8)/1000</f>
        <v>#REF!</v>
      </c>
      <c r="AA43" s="7" t="e">
        <f>-53.07 + (304.89 * (Z43)) + (90.79 *Crescimento!#REF!) - (3.13 * Crescimento!#REF!*Crescimento!#REF!)</f>
        <v>#REF!</v>
      </c>
      <c r="AB43" s="1"/>
      <c r="AC43" s="6" t="e">
        <f>(AD42+(Crescimento!#REF!-(AD42*0.64))/0.8)/1000</f>
        <v>#REF!</v>
      </c>
      <c r="AD43" s="7" t="e">
        <f>-53.07 + (304.89 * (AC43)) + (90.79 *Crescimento!#REF!) - (3.13 * Crescimento!#REF!*Crescimento!#REF!)</f>
        <v>#REF!</v>
      </c>
      <c r="AF43" s="6" t="e">
        <f>(AG42+(Crescimento!#REF!-(AG42*0.64))/0.8)/1000</f>
        <v>#REF!</v>
      </c>
      <c r="AG43" s="7" t="e">
        <f>-53.07 + (304.89 * (AF43)) + (90.79 *Crescimento!#REF!) - (3.13 * Crescimento!#REF!*Crescimento!#REF!)</f>
        <v>#REF!</v>
      </c>
      <c r="AI43" s="6" t="e">
        <f>(AJ42+(Crescimento!#REF!-(AJ42*0.64))/0.8)/1000</f>
        <v>#REF!</v>
      </c>
      <c r="AJ43" s="7" t="e">
        <f>-53.07 + (304.89 * (AI43)) + (90.79 *Crescimento!#REF!) - (3.13 * Crescimento!#REF!*Crescimento!#REF!)</f>
        <v>#REF!</v>
      </c>
      <c r="AL43" s="6" t="e">
        <f>(AM42+(Crescimento!#REF!-(AM42*0.64))/0.8)/1000</f>
        <v>#REF!</v>
      </c>
      <c r="AM43" s="7" t="e">
        <f>-53.07 + (304.89 * (AL43)) + (90.79 *Crescimento!#REF!) - (3.13 * Crescimento!#REF!*Crescimento!#REF!)</f>
        <v>#REF!</v>
      </c>
      <c r="AN43" s="1"/>
      <c r="AO43" s="6" t="e">
        <f>(AP42+(Crescimento!#REF!-(AP42*0.64))/0.8)/1000</f>
        <v>#REF!</v>
      </c>
      <c r="AP43" s="7" t="e">
        <f>-53.07 + (304.89 * (AO43)) + (90.79 *Crescimento!#REF!) - (3.13 * Crescimento!#REF!*Crescimento!#REF!)</f>
        <v>#REF!</v>
      </c>
      <c r="AR43" s="6" t="e">
        <f>(AS42+(Crescimento!#REF!-(AS42*0.64))/0.8)/1000</f>
        <v>#REF!</v>
      </c>
      <c r="AS43" s="7" t="e">
        <f>-53.07 + (304.89 * (AR43)) + (90.79 *Crescimento!#REF!) - (3.13 * Crescimento!#REF!*Crescimento!#REF!)</f>
        <v>#REF!</v>
      </c>
      <c r="AU43" s="6" t="e">
        <f>(AV42+(Crescimento!#REF!-(AV42*0.64))/0.8)/1000</f>
        <v>#REF!</v>
      </c>
      <c r="AV43" s="7" t="e">
        <f>-53.07 + (304.89 * (AU43)) + (90.79 *Crescimento!#REF!) - (3.13 * Crescimento!#REF!*Crescimento!#REF!)</f>
        <v>#REF!</v>
      </c>
      <c r="AX43" s="6" t="e">
        <f>(AY42+(Crescimento!#REF!-(AY42*0.64))/0.8)/1000</f>
        <v>#REF!</v>
      </c>
      <c r="AY43" s="7" t="e">
        <f>-53.07 + (304.89 * (AX43)) + (90.79 *Crescimento!#REF!) - (3.13 * Crescimento!#REF!*Crescimento!#REF!)</f>
        <v>#REF!</v>
      </c>
      <c r="AZ43" s="1"/>
      <c r="BA43" s="6" t="e">
        <f>(BB42+(Crescimento!#REF!-(BB42*0.64))/0.8)/1000</f>
        <v>#REF!</v>
      </c>
      <c r="BB43" s="7" t="e">
        <f>-53.07 + (304.89 * (BA43)) + (90.79 *Crescimento!#REF!) - (3.13 * Crescimento!#REF!*Crescimento!#REF!)</f>
        <v>#REF!</v>
      </c>
      <c r="BD43" s="6" t="e">
        <f>(BE42+(Crescimento!#REF!-(BE42*0.64))/0.8)/1000</f>
        <v>#REF!</v>
      </c>
      <c r="BE43" s="7" t="e">
        <f>-53.07 + (304.89 * (BD43)) + (90.79 *Crescimento!#REF!) - (3.13 * Crescimento!#REF!*Crescimento!#REF!)</f>
        <v>#REF!</v>
      </c>
      <c r="BG43" s="6" t="e">
        <f>(BH42+(Crescimento!#REF!-(BH42*0.64))/0.8)/1000</f>
        <v>#REF!</v>
      </c>
      <c r="BH43" s="7" t="e">
        <f>-53.07 + (304.89 * (BG43)) + (90.79 *Crescimento!#REF!) - (3.13 * Crescimento!#REF!*Crescimento!#REF!)</f>
        <v>#REF!</v>
      </c>
      <c r="BJ43" s="6" t="e">
        <f>(BK42+(Crescimento!#REF!-(BK42*0.64))/0.8)/1000</f>
        <v>#REF!</v>
      </c>
      <c r="BK43" s="7" t="e">
        <f>-53.07 + (304.89 * (BJ43)) + (90.79 *Crescimento!#REF!) - (3.13 * Crescimento!#REF!*Crescimento!#REF!)</f>
        <v>#REF!</v>
      </c>
      <c r="BL43" s="1"/>
      <c r="BM43" s="6" t="e">
        <f>(BN42+(Crescimento!#REF!-(BN42*0.64))/0.8)/1000</f>
        <v>#REF!</v>
      </c>
      <c r="BN43" s="7" t="e">
        <f>-53.07 + (304.89 * (BM43)) + (90.79 *Crescimento!#REF!) - (3.13 * Crescimento!#REF!*Crescimento!#REF!)</f>
        <v>#REF!</v>
      </c>
      <c r="BP43" s="6" t="e">
        <f>(BQ42+(Crescimento!#REF!-(BQ42*0.64))/0.8)/1000</f>
        <v>#REF!</v>
      </c>
      <c r="BQ43" s="7" t="e">
        <f>-53.07 + (304.89 * (BP43)) + (90.79 *Crescimento!#REF!) - (3.13 * Crescimento!#REF!*Crescimento!#REF!)</f>
        <v>#REF!</v>
      </c>
      <c r="BS43" s="6" t="e">
        <f>(BT42+(Crescimento!#REF!-(BT42*0.64))/0.8)/1000</f>
        <v>#REF!</v>
      </c>
      <c r="BT43" s="7" t="e">
        <f>-53.07 + (304.89 * (BS43)) + (90.79 *Crescimento!#REF!) - (3.13 * Crescimento!#REF!*Crescimento!#REF!)</f>
        <v>#REF!</v>
      </c>
      <c r="BV43" s="6" t="e">
        <f>(BW42+(Crescimento!#REF!-(BW42*0.64))/0.8)/1000</f>
        <v>#REF!</v>
      </c>
      <c r="BW43" s="7" t="e">
        <f>-53.07 + (304.89 * (BV43)) + (90.79 *Crescimento!#REF!) - (3.13 * Crescimento!#REF!*Crescimento!#REF!)</f>
        <v>#REF!</v>
      </c>
      <c r="BX43" s="1"/>
      <c r="BY43" s="6" t="e">
        <f>(BZ42+(Crescimento!#REF!-(BZ42*0.64))/0.8)/1000</f>
        <v>#REF!</v>
      </c>
      <c r="BZ43" s="7" t="e">
        <f>-53.07 + (304.89 * (BY43)) + (90.79 *Crescimento!#REF!) - (3.13 * Crescimento!#REF!*Crescimento!#REF!)</f>
        <v>#REF!</v>
      </c>
      <c r="CB43" s="6" t="e">
        <f>(CC42+(Crescimento!#REF!-(CC42*0.64))/0.8)/1000</f>
        <v>#REF!</v>
      </c>
      <c r="CC43" s="7" t="e">
        <f>-53.07 + (304.89 * (CB43)) + (90.79 *Crescimento!#REF!) - (3.13 * Crescimento!#REF!*Crescimento!#REF!)</f>
        <v>#REF!</v>
      </c>
      <c r="CE43" s="6" t="e">
        <f>(CF42+(Crescimento!#REF!-(CF42*0.64))/0.8)/1000</f>
        <v>#REF!</v>
      </c>
      <c r="CF43" s="7" t="e">
        <f>-53.07 + (304.89 * (CE43)) + (90.79 *Crescimento!#REF!) - (3.13 * Crescimento!#REF!*Crescimento!#REF!)</f>
        <v>#REF!</v>
      </c>
      <c r="CH43" s="6" t="e">
        <f>(CI42+(Crescimento!#REF!-(CI42*0.64))/0.8)/1000</f>
        <v>#REF!</v>
      </c>
      <c r="CI43" s="7" t="e">
        <f>-53.07 + (304.89 * (CH43)) + (90.79 *Crescimento!#REF!) - (3.13 * Crescimento!#REF!*Crescimento!#REF!)</f>
        <v>#REF!</v>
      </c>
      <c r="CJ43" s="1"/>
      <c r="CK43" s="6" t="e">
        <f>(CL42+(Crescimento!#REF!-(CL42*0.64))/0.8)/1000</f>
        <v>#REF!</v>
      </c>
      <c r="CL43" s="7" t="e">
        <f>-53.07 + (304.89 * (CK43)) + (90.79 *Crescimento!#REF!) - (3.13 * Crescimento!#REF!*Crescimento!#REF!)</f>
        <v>#REF!</v>
      </c>
      <c r="CN43" s="6" t="e">
        <f>(CO42+(Crescimento!#REF!-(CO42*0.64))/0.8)/1000</f>
        <v>#REF!</v>
      </c>
      <c r="CO43" s="7" t="e">
        <f>-53.07 + (304.89 * (CN43)) + (90.79 *Crescimento!#REF!) - (3.13 * Crescimento!#REF!*Crescimento!#REF!)</f>
        <v>#REF!</v>
      </c>
      <c r="CQ43" s="6" t="e">
        <f>(CR42+(Crescimento!#REF!-(CR42*0.64))/0.8)/1000</f>
        <v>#REF!</v>
      </c>
      <c r="CR43" s="7" t="e">
        <f>-53.07 + (304.89 * (CQ43)) + (90.79 *Crescimento!#REF!) - (3.13 * Crescimento!#REF!*Crescimento!#REF!)</f>
        <v>#REF!</v>
      </c>
    </row>
    <row r="44" spans="2:96" x14ac:dyDescent="0.25">
      <c r="B44" s="6">
        <f>(C43+(Crescimento!$Q$27-(C43*0.64))/0.8)/1000</f>
        <v>1.1187993738011861</v>
      </c>
      <c r="C44" s="8">
        <f>-53.07 + (304.89 * (B44)) + (90.79 *Crescimento!$Q$20) - (3.13 * Crescimento!$Q$20*Crescimento!$Q$20)</f>
        <v>757.4287040082213</v>
      </c>
      <c r="D44" s="1"/>
      <c r="E44" s="6" t="e">
        <f>(F43+(Crescimento!#REF!-(F43*0.64))/0.8)/1000</f>
        <v>#REF!</v>
      </c>
      <c r="F44" s="7" t="e">
        <f>-53.07 + (304.89 * (E44)) + (90.79 *Crescimento!#REF!) - (3.13 * Crescimento!#REF!*Crescimento!#REF!)</f>
        <v>#REF!</v>
      </c>
      <c r="H44" s="6" t="e">
        <f>(I43+(Crescimento!#REF!-(I43*0.64))/0.8)/1000</f>
        <v>#REF!</v>
      </c>
      <c r="I44" s="7" t="e">
        <f>-53.07 + (304.89 * (H44)) + (90.79 *Crescimento!#REF!) - (3.13 * Crescimento!#REF!*Crescimento!#REF!)</f>
        <v>#REF!</v>
      </c>
      <c r="K44" s="6" t="e">
        <f>(L43+(Crescimento!#REF!-(L43*0.64))/0.8)/1000</f>
        <v>#REF!</v>
      </c>
      <c r="L44" s="7" t="e">
        <f>-53.07 + (304.89 * (K44)) + (90.79 *Crescimento!#REF!) - (3.13 * Crescimento!#REF!*Crescimento!#REF!)</f>
        <v>#REF!</v>
      </c>
      <c r="N44" s="6" t="e">
        <f>(O43+(Crescimento!#REF!-(O43*0.64))/0.8)/1000</f>
        <v>#REF!</v>
      </c>
      <c r="O44" s="7" t="e">
        <f>-53.07 + (304.89 * (N44)) + (90.79 *Crescimento!#REF!) - (3.13 * Crescimento!#REF!*Crescimento!#REF!)</f>
        <v>#REF!</v>
      </c>
      <c r="P44" s="1"/>
      <c r="Q44" s="6" t="e">
        <f>(R43+(Crescimento!#REF!-(R43*0.64))/0.8)/1000</f>
        <v>#REF!</v>
      </c>
      <c r="R44" s="7" t="e">
        <f>-53.07 + (304.89 * (Q44)) + (90.79 *Crescimento!#REF!) - (3.13 * Crescimento!#REF!*Crescimento!#REF!)</f>
        <v>#REF!</v>
      </c>
      <c r="T44" s="6" t="e">
        <f>(U43+(Crescimento!#REF!-(U43*0.64))/0.8)/1000</f>
        <v>#REF!</v>
      </c>
      <c r="U44" s="7" t="e">
        <f>-53.07 + (304.89 * (T44)) + (90.79 *Crescimento!#REF!) - (3.13 * Crescimento!#REF!*Crescimento!#REF!)</f>
        <v>#REF!</v>
      </c>
      <c r="W44" s="6" t="e">
        <f>(X43+(Crescimento!#REF!-(X43*0.64))/0.8)/1000</f>
        <v>#REF!</v>
      </c>
      <c r="X44" s="7" t="e">
        <f>-53.07 + (304.89 * (W44)) + (90.79 *Crescimento!#REF!) - (3.13 * Crescimento!#REF!*Crescimento!#REF!)</f>
        <v>#REF!</v>
      </c>
      <c r="Z44" s="6" t="e">
        <f>(AA43+(Crescimento!#REF!-(AA43*0.64))/0.8)/1000</f>
        <v>#REF!</v>
      </c>
      <c r="AA44" s="7" t="e">
        <f>-53.07 + (304.89 * (Z44)) + (90.79 *Crescimento!#REF!) - (3.13 * Crescimento!#REF!*Crescimento!#REF!)</f>
        <v>#REF!</v>
      </c>
      <c r="AB44" s="1"/>
      <c r="AC44" s="6" t="e">
        <f>(AD43+(Crescimento!#REF!-(AD43*0.64))/0.8)/1000</f>
        <v>#REF!</v>
      </c>
      <c r="AD44" s="7" t="e">
        <f>-53.07 + (304.89 * (AC44)) + (90.79 *Crescimento!#REF!) - (3.13 * Crescimento!#REF!*Crescimento!#REF!)</f>
        <v>#REF!</v>
      </c>
      <c r="AF44" s="6" t="e">
        <f>(AG43+(Crescimento!#REF!-(AG43*0.64))/0.8)/1000</f>
        <v>#REF!</v>
      </c>
      <c r="AG44" s="7" t="e">
        <f>-53.07 + (304.89 * (AF44)) + (90.79 *Crescimento!#REF!) - (3.13 * Crescimento!#REF!*Crescimento!#REF!)</f>
        <v>#REF!</v>
      </c>
      <c r="AI44" s="6" t="e">
        <f>(AJ43+(Crescimento!#REF!-(AJ43*0.64))/0.8)/1000</f>
        <v>#REF!</v>
      </c>
      <c r="AJ44" s="7" t="e">
        <f>-53.07 + (304.89 * (AI44)) + (90.79 *Crescimento!#REF!) - (3.13 * Crescimento!#REF!*Crescimento!#REF!)</f>
        <v>#REF!</v>
      </c>
      <c r="AL44" s="6" t="e">
        <f>(AM43+(Crescimento!#REF!-(AM43*0.64))/0.8)/1000</f>
        <v>#REF!</v>
      </c>
      <c r="AM44" s="7" t="e">
        <f>-53.07 + (304.89 * (AL44)) + (90.79 *Crescimento!#REF!) - (3.13 * Crescimento!#REF!*Crescimento!#REF!)</f>
        <v>#REF!</v>
      </c>
      <c r="AN44" s="1"/>
      <c r="AO44" s="6" t="e">
        <f>(AP43+(Crescimento!#REF!-(AP43*0.64))/0.8)/1000</f>
        <v>#REF!</v>
      </c>
      <c r="AP44" s="7" t="e">
        <f>-53.07 + (304.89 * (AO44)) + (90.79 *Crescimento!#REF!) - (3.13 * Crescimento!#REF!*Crescimento!#REF!)</f>
        <v>#REF!</v>
      </c>
      <c r="AR44" s="6" t="e">
        <f>(AS43+(Crescimento!#REF!-(AS43*0.64))/0.8)/1000</f>
        <v>#REF!</v>
      </c>
      <c r="AS44" s="7" t="e">
        <f>-53.07 + (304.89 * (AR44)) + (90.79 *Crescimento!#REF!) - (3.13 * Crescimento!#REF!*Crescimento!#REF!)</f>
        <v>#REF!</v>
      </c>
      <c r="AU44" s="6" t="e">
        <f>(AV43+(Crescimento!#REF!-(AV43*0.64))/0.8)/1000</f>
        <v>#REF!</v>
      </c>
      <c r="AV44" s="7" t="e">
        <f>-53.07 + (304.89 * (AU44)) + (90.79 *Crescimento!#REF!) - (3.13 * Crescimento!#REF!*Crescimento!#REF!)</f>
        <v>#REF!</v>
      </c>
      <c r="AX44" s="6" t="e">
        <f>(AY43+(Crescimento!#REF!-(AY43*0.64))/0.8)/1000</f>
        <v>#REF!</v>
      </c>
      <c r="AY44" s="7" t="e">
        <f>-53.07 + (304.89 * (AX44)) + (90.79 *Crescimento!#REF!) - (3.13 * Crescimento!#REF!*Crescimento!#REF!)</f>
        <v>#REF!</v>
      </c>
      <c r="AZ44" s="1"/>
      <c r="BA44" s="6" t="e">
        <f>(BB43+(Crescimento!#REF!-(BB43*0.64))/0.8)/1000</f>
        <v>#REF!</v>
      </c>
      <c r="BB44" s="7" t="e">
        <f>-53.07 + (304.89 * (BA44)) + (90.79 *Crescimento!#REF!) - (3.13 * Crescimento!#REF!*Crescimento!#REF!)</f>
        <v>#REF!</v>
      </c>
      <c r="BD44" s="6" t="e">
        <f>(BE43+(Crescimento!#REF!-(BE43*0.64))/0.8)/1000</f>
        <v>#REF!</v>
      </c>
      <c r="BE44" s="7" t="e">
        <f>-53.07 + (304.89 * (BD44)) + (90.79 *Crescimento!#REF!) - (3.13 * Crescimento!#REF!*Crescimento!#REF!)</f>
        <v>#REF!</v>
      </c>
      <c r="BG44" s="6" t="e">
        <f>(BH43+(Crescimento!#REF!-(BH43*0.64))/0.8)/1000</f>
        <v>#REF!</v>
      </c>
      <c r="BH44" s="7" t="e">
        <f>-53.07 + (304.89 * (BG44)) + (90.79 *Crescimento!#REF!) - (3.13 * Crescimento!#REF!*Crescimento!#REF!)</f>
        <v>#REF!</v>
      </c>
      <c r="BJ44" s="6" t="e">
        <f>(BK43+(Crescimento!#REF!-(BK43*0.64))/0.8)/1000</f>
        <v>#REF!</v>
      </c>
      <c r="BK44" s="7" t="e">
        <f>-53.07 + (304.89 * (BJ44)) + (90.79 *Crescimento!#REF!) - (3.13 * Crescimento!#REF!*Crescimento!#REF!)</f>
        <v>#REF!</v>
      </c>
      <c r="BL44" s="1"/>
      <c r="BM44" s="6" t="e">
        <f>(BN43+(Crescimento!#REF!-(BN43*0.64))/0.8)/1000</f>
        <v>#REF!</v>
      </c>
      <c r="BN44" s="7" t="e">
        <f>-53.07 + (304.89 * (BM44)) + (90.79 *Crescimento!#REF!) - (3.13 * Crescimento!#REF!*Crescimento!#REF!)</f>
        <v>#REF!</v>
      </c>
      <c r="BP44" s="6" t="e">
        <f>(BQ43+(Crescimento!#REF!-(BQ43*0.64))/0.8)/1000</f>
        <v>#REF!</v>
      </c>
      <c r="BQ44" s="7" t="e">
        <f>-53.07 + (304.89 * (BP44)) + (90.79 *Crescimento!#REF!) - (3.13 * Crescimento!#REF!*Crescimento!#REF!)</f>
        <v>#REF!</v>
      </c>
      <c r="BS44" s="6" t="e">
        <f>(BT43+(Crescimento!#REF!-(BT43*0.64))/0.8)/1000</f>
        <v>#REF!</v>
      </c>
      <c r="BT44" s="7" t="e">
        <f>-53.07 + (304.89 * (BS44)) + (90.79 *Crescimento!#REF!) - (3.13 * Crescimento!#REF!*Crescimento!#REF!)</f>
        <v>#REF!</v>
      </c>
      <c r="BV44" s="6" t="e">
        <f>(BW43+(Crescimento!#REF!-(BW43*0.64))/0.8)/1000</f>
        <v>#REF!</v>
      </c>
      <c r="BW44" s="7" t="e">
        <f>-53.07 + (304.89 * (BV44)) + (90.79 *Crescimento!#REF!) - (3.13 * Crescimento!#REF!*Crescimento!#REF!)</f>
        <v>#REF!</v>
      </c>
      <c r="BX44" s="1"/>
      <c r="BY44" s="6" t="e">
        <f>(BZ43+(Crescimento!#REF!-(BZ43*0.64))/0.8)/1000</f>
        <v>#REF!</v>
      </c>
      <c r="BZ44" s="7" t="e">
        <f>-53.07 + (304.89 * (BY44)) + (90.79 *Crescimento!#REF!) - (3.13 * Crescimento!#REF!*Crescimento!#REF!)</f>
        <v>#REF!</v>
      </c>
      <c r="CB44" s="6" t="e">
        <f>(CC43+(Crescimento!#REF!-(CC43*0.64))/0.8)/1000</f>
        <v>#REF!</v>
      </c>
      <c r="CC44" s="7" t="e">
        <f>-53.07 + (304.89 * (CB44)) + (90.79 *Crescimento!#REF!) - (3.13 * Crescimento!#REF!*Crescimento!#REF!)</f>
        <v>#REF!</v>
      </c>
      <c r="CE44" s="6" t="e">
        <f>(CF43+(Crescimento!#REF!-(CF43*0.64))/0.8)/1000</f>
        <v>#REF!</v>
      </c>
      <c r="CF44" s="7" t="e">
        <f>-53.07 + (304.89 * (CE44)) + (90.79 *Crescimento!#REF!) - (3.13 * Crescimento!#REF!*Crescimento!#REF!)</f>
        <v>#REF!</v>
      </c>
      <c r="CH44" s="6" t="e">
        <f>(CI43+(Crescimento!#REF!-(CI43*0.64))/0.8)/1000</f>
        <v>#REF!</v>
      </c>
      <c r="CI44" s="7" t="e">
        <f>-53.07 + (304.89 * (CH44)) + (90.79 *Crescimento!#REF!) - (3.13 * Crescimento!#REF!*Crescimento!#REF!)</f>
        <v>#REF!</v>
      </c>
      <c r="CJ44" s="1"/>
      <c r="CK44" s="6" t="e">
        <f>(CL43+(Crescimento!#REF!-(CL43*0.64))/0.8)/1000</f>
        <v>#REF!</v>
      </c>
      <c r="CL44" s="7" t="e">
        <f>-53.07 + (304.89 * (CK44)) + (90.79 *Crescimento!#REF!) - (3.13 * Crescimento!#REF!*Crescimento!#REF!)</f>
        <v>#REF!</v>
      </c>
      <c r="CN44" s="6" t="e">
        <f>(CO43+(Crescimento!#REF!-(CO43*0.64))/0.8)/1000</f>
        <v>#REF!</v>
      </c>
      <c r="CO44" s="7" t="e">
        <f>-53.07 + (304.89 * (CN44)) + (90.79 *Crescimento!#REF!) - (3.13 * Crescimento!#REF!*Crescimento!#REF!)</f>
        <v>#REF!</v>
      </c>
      <c r="CQ44" s="6" t="e">
        <f>(CR43+(Crescimento!#REF!-(CR43*0.64))/0.8)/1000</f>
        <v>#REF!</v>
      </c>
      <c r="CR44" s="7" t="e">
        <f>-53.07 + (304.89 * (CQ44)) + (90.79 *Crescimento!#REF!) - (3.13 * Crescimento!#REF!*Crescimento!#REF!)</f>
        <v>#REF!</v>
      </c>
    </row>
    <row r="45" spans="2:96" x14ac:dyDescent="0.25">
      <c r="B45" s="6">
        <f>(C44+(Crescimento!$Q$27-(C44*0.64))/0.8)/1000</f>
        <v>1.1187993738011861</v>
      </c>
      <c r="C45" s="8">
        <f>-53.07 + (304.89 * (B45)) + (90.79 *Crescimento!$Q$20) - (3.13 * Crescimento!$Q$20*Crescimento!$Q$20)</f>
        <v>757.4287040082213</v>
      </c>
      <c r="D45" s="1"/>
      <c r="E45" s="6" t="e">
        <f>(F44+(Crescimento!#REF!-(F44*0.64))/0.8)/1000</f>
        <v>#REF!</v>
      </c>
      <c r="F45" s="7" t="e">
        <f>-53.07 + (304.89 * (E45)) + (90.79 *Crescimento!#REF!) - (3.13 * Crescimento!#REF!*Crescimento!#REF!)</f>
        <v>#REF!</v>
      </c>
      <c r="H45" s="6" t="e">
        <f>(I44+(Crescimento!#REF!-(I44*0.64))/0.8)/1000</f>
        <v>#REF!</v>
      </c>
      <c r="I45" s="7" t="e">
        <f>-53.07 + (304.89 * (H45)) + (90.79 *Crescimento!#REF!) - (3.13 * Crescimento!#REF!*Crescimento!#REF!)</f>
        <v>#REF!</v>
      </c>
      <c r="K45" s="6" t="e">
        <f>(L44+(Crescimento!#REF!-(L44*0.64))/0.8)/1000</f>
        <v>#REF!</v>
      </c>
      <c r="L45" s="7" t="e">
        <f>-53.07 + (304.89 * (K45)) + (90.79 *Crescimento!#REF!) - (3.13 * Crescimento!#REF!*Crescimento!#REF!)</f>
        <v>#REF!</v>
      </c>
      <c r="N45" s="6" t="e">
        <f>(O44+(Crescimento!#REF!-(O44*0.64))/0.8)/1000</f>
        <v>#REF!</v>
      </c>
      <c r="O45" s="7" t="e">
        <f>-53.07 + (304.89 * (N45)) + (90.79 *Crescimento!#REF!) - (3.13 * Crescimento!#REF!*Crescimento!#REF!)</f>
        <v>#REF!</v>
      </c>
      <c r="P45" s="1"/>
      <c r="Q45" s="6" t="e">
        <f>(R44+(Crescimento!#REF!-(R44*0.64))/0.8)/1000</f>
        <v>#REF!</v>
      </c>
      <c r="R45" s="7" t="e">
        <f>-53.07 + (304.89 * (Q45)) + (90.79 *Crescimento!#REF!) - (3.13 * Crescimento!#REF!*Crescimento!#REF!)</f>
        <v>#REF!</v>
      </c>
      <c r="T45" s="6" t="e">
        <f>(U44+(Crescimento!#REF!-(U44*0.64))/0.8)/1000</f>
        <v>#REF!</v>
      </c>
      <c r="U45" s="7" t="e">
        <f>-53.07 + (304.89 * (T45)) + (90.79 *Crescimento!#REF!) - (3.13 * Crescimento!#REF!*Crescimento!#REF!)</f>
        <v>#REF!</v>
      </c>
      <c r="W45" s="6" t="e">
        <f>(X44+(Crescimento!#REF!-(X44*0.64))/0.8)/1000</f>
        <v>#REF!</v>
      </c>
      <c r="X45" s="7" t="e">
        <f>-53.07 + (304.89 * (W45)) + (90.79 *Crescimento!#REF!) - (3.13 * Crescimento!#REF!*Crescimento!#REF!)</f>
        <v>#REF!</v>
      </c>
      <c r="Z45" s="6" t="e">
        <f>(AA44+(Crescimento!#REF!-(AA44*0.64))/0.8)/1000</f>
        <v>#REF!</v>
      </c>
      <c r="AA45" s="7" t="e">
        <f>-53.07 + (304.89 * (Z45)) + (90.79 *Crescimento!#REF!) - (3.13 * Crescimento!#REF!*Crescimento!#REF!)</f>
        <v>#REF!</v>
      </c>
      <c r="AB45" s="1"/>
      <c r="AC45" s="6" t="e">
        <f>(AD44+(Crescimento!#REF!-(AD44*0.64))/0.8)/1000</f>
        <v>#REF!</v>
      </c>
      <c r="AD45" s="7" t="e">
        <f>-53.07 + (304.89 * (AC45)) + (90.79 *Crescimento!#REF!) - (3.13 * Crescimento!#REF!*Crescimento!#REF!)</f>
        <v>#REF!</v>
      </c>
      <c r="AF45" s="6" t="e">
        <f>(AG44+(Crescimento!#REF!-(AG44*0.64))/0.8)/1000</f>
        <v>#REF!</v>
      </c>
      <c r="AG45" s="7" t="e">
        <f>-53.07 + (304.89 * (AF45)) + (90.79 *Crescimento!#REF!) - (3.13 * Crescimento!#REF!*Crescimento!#REF!)</f>
        <v>#REF!</v>
      </c>
      <c r="AI45" s="6" t="e">
        <f>(AJ44+(Crescimento!#REF!-(AJ44*0.64))/0.8)/1000</f>
        <v>#REF!</v>
      </c>
      <c r="AJ45" s="7" t="e">
        <f>-53.07 + (304.89 * (AI45)) + (90.79 *Crescimento!#REF!) - (3.13 * Crescimento!#REF!*Crescimento!#REF!)</f>
        <v>#REF!</v>
      </c>
      <c r="AL45" s="6" t="e">
        <f>(AM44+(Crescimento!#REF!-(AM44*0.64))/0.8)/1000</f>
        <v>#REF!</v>
      </c>
      <c r="AM45" s="7" t="e">
        <f>-53.07 + (304.89 * (AL45)) + (90.79 *Crescimento!#REF!) - (3.13 * Crescimento!#REF!*Crescimento!#REF!)</f>
        <v>#REF!</v>
      </c>
      <c r="AN45" s="1"/>
      <c r="AO45" s="6" t="e">
        <f>(AP44+(Crescimento!#REF!-(AP44*0.64))/0.8)/1000</f>
        <v>#REF!</v>
      </c>
      <c r="AP45" s="7" t="e">
        <f>-53.07 + (304.89 * (AO45)) + (90.79 *Crescimento!#REF!) - (3.13 * Crescimento!#REF!*Crescimento!#REF!)</f>
        <v>#REF!</v>
      </c>
      <c r="AR45" s="6" t="e">
        <f>(AS44+(Crescimento!#REF!-(AS44*0.64))/0.8)/1000</f>
        <v>#REF!</v>
      </c>
      <c r="AS45" s="7" t="e">
        <f>-53.07 + (304.89 * (AR45)) + (90.79 *Crescimento!#REF!) - (3.13 * Crescimento!#REF!*Crescimento!#REF!)</f>
        <v>#REF!</v>
      </c>
      <c r="AU45" s="6" t="e">
        <f>(AV44+(Crescimento!#REF!-(AV44*0.64))/0.8)/1000</f>
        <v>#REF!</v>
      </c>
      <c r="AV45" s="7" t="e">
        <f>-53.07 + (304.89 * (AU45)) + (90.79 *Crescimento!#REF!) - (3.13 * Crescimento!#REF!*Crescimento!#REF!)</f>
        <v>#REF!</v>
      </c>
      <c r="AX45" s="6" t="e">
        <f>(AY44+(Crescimento!#REF!-(AY44*0.64))/0.8)/1000</f>
        <v>#REF!</v>
      </c>
      <c r="AY45" s="7" t="e">
        <f>-53.07 + (304.89 * (AX45)) + (90.79 *Crescimento!#REF!) - (3.13 * Crescimento!#REF!*Crescimento!#REF!)</f>
        <v>#REF!</v>
      </c>
      <c r="AZ45" s="1"/>
      <c r="BA45" s="6" t="e">
        <f>(BB44+(Crescimento!#REF!-(BB44*0.64))/0.8)/1000</f>
        <v>#REF!</v>
      </c>
      <c r="BB45" s="7" t="e">
        <f>-53.07 + (304.89 * (BA45)) + (90.79 *Crescimento!#REF!) - (3.13 * Crescimento!#REF!*Crescimento!#REF!)</f>
        <v>#REF!</v>
      </c>
      <c r="BD45" s="6" t="e">
        <f>(BE44+(Crescimento!#REF!-(BE44*0.64))/0.8)/1000</f>
        <v>#REF!</v>
      </c>
      <c r="BE45" s="7" t="e">
        <f>-53.07 + (304.89 * (BD45)) + (90.79 *Crescimento!#REF!) - (3.13 * Crescimento!#REF!*Crescimento!#REF!)</f>
        <v>#REF!</v>
      </c>
      <c r="BG45" s="6" t="e">
        <f>(BH44+(Crescimento!#REF!-(BH44*0.64))/0.8)/1000</f>
        <v>#REF!</v>
      </c>
      <c r="BH45" s="7" t="e">
        <f>-53.07 + (304.89 * (BG45)) + (90.79 *Crescimento!#REF!) - (3.13 * Crescimento!#REF!*Crescimento!#REF!)</f>
        <v>#REF!</v>
      </c>
      <c r="BJ45" s="6" t="e">
        <f>(BK44+(Crescimento!#REF!-(BK44*0.64))/0.8)/1000</f>
        <v>#REF!</v>
      </c>
      <c r="BK45" s="7" t="e">
        <f>-53.07 + (304.89 * (BJ45)) + (90.79 *Crescimento!#REF!) - (3.13 * Crescimento!#REF!*Crescimento!#REF!)</f>
        <v>#REF!</v>
      </c>
      <c r="BL45" s="1"/>
      <c r="BM45" s="6" t="e">
        <f>(BN44+(Crescimento!#REF!-(BN44*0.64))/0.8)/1000</f>
        <v>#REF!</v>
      </c>
      <c r="BN45" s="7" t="e">
        <f>-53.07 + (304.89 * (BM45)) + (90.79 *Crescimento!#REF!) - (3.13 * Crescimento!#REF!*Crescimento!#REF!)</f>
        <v>#REF!</v>
      </c>
      <c r="BP45" s="6" t="e">
        <f>(BQ44+(Crescimento!#REF!-(BQ44*0.64))/0.8)/1000</f>
        <v>#REF!</v>
      </c>
      <c r="BQ45" s="7" t="e">
        <f>-53.07 + (304.89 * (BP45)) + (90.79 *Crescimento!#REF!) - (3.13 * Crescimento!#REF!*Crescimento!#REF!)</f>
        <v>#REF!</v>
      </c>
      <c r="BS45" s="6" t="e">
        <f>(BT44+(Crescimento!#REF!-(BT44*0.64))/0.8)/1000</f>
        <v>#REF!</v>
      </c>
      <c r="BT45" s="7" t="e">
        <f>-53.07 + (304.89 * (BS45)) + (90.79 *Crescimento!#REF!) - (3.13 * Crescimento!#REF!*Crescimento!#REF!)</f>
        <v>#REF!</v>
      </c>
      <c r="BV45" s="6" t="e">
        <f>(BW44+(Crescimento!#REF!-(BW44*0.64))/0.8)/1000</f>
        <v>#REF!</v>
      </c>
      <c r="BW45" s="7" t="e">
        <f>-53.07 + (304.89 * (BV45)) + (90.79 *Crescimento!#REF!) - (3.13 * Crescimento!#REF!*Crescimento!#REF!)</f>
        <v>#REF!</v>
      </c>
      <c r="BX45" s="1"/>
      <c r="BY45" s="6" t="e">
        <f>(BZ44+(Crescimento!#REF!-(BZ44*0.64))/0.8)/1000</f>
        <v>#REF!</v>
      </c>
      <c r="BZ45" s="7" t="e">
        <f>-53.07 + (304.89 * (BY45)) + (90.79 *Crescimento!#REF!) - (3.13 * Crescimento!#REF!*Crescimento!#REF!)</f>
        <v>#REF!</v>
      </c>
      <c r="CB45" s="6" t="e">
        <f>(CC44+(Crescimento!#REF!-(CC44*0.64))/0.8)/1000</f>
        <v>#REF!</v>
      </c>
      <c r="CC45" s="7" t="e">
        <f>-53.07 + (304.89 * (CB45)) + (90.79 *Crescimento!#REF!) - (3.13 * Crescimento!#REF!*Crescimento!#REF!)</f>
        <v>#REF!</v>
      </c>
      <c r="CE45" s="6" t="e">
        <f>(CF44+(Crescimento!#REF!-(CF44*0.64))/0.8)/1000</f>
        <v>#REF!</v>
      </c>
      <c r="CF45" s="7" t="e">
        <f>-53.07 + (304.89 * (CE45)) + (90.79 *Crescimento!#REF!) - (3.13 * Crescimento!#REF!*Crescimento!#REF!)</f>
        <v>#REF!</v>
      </c>
      <c r="CH45" s="6" t="e">
        <f>(CI44+(Crescimento!#REF!-(CI44*0.64))/0.8)/1000</f>
        <v>#REF!</v>
      </c>
      <c r="CI45" s="7" t="e">
        <f>-53.07 + (304.89 * (CH45)) + (90.79 *Crescimento!#REF!) - (3.13 * Crescimento!#REF!*Crescimento!#REF!)</f>
        <v>#REF!</v>
      </c>
      <c r="CJ45" s="1"/>
      <c r="CK45" s="6" t="e">
        <f>(CL44+(Crescimento!#REF!-(CL44*0.64))/0.8)/1000</f>
        <v>#REF!</v>
      </c>
      <c r="CL45" s="7" t="e">
        <f>-53.07 + (304.89 * (CK45)) + (90.79 *Crescimento!#REF!) - (3.13 * Crescimento!#REF!*Crescimento!#REF!)</f>
        <v>#REF!</v>
      </c>
      <c r="CN45" s="6" t="e">
        <f>(CO44+(Crescimento!#REF!-(CO44*0.64))/0.8)/1000</f>
        <v>#REF!</v>
      </c>
      <c r="CO45" s="7" t="e">
        <f>-53.07 + (304.89 * (CN45)) + (90.79 *Crescimento!#REF!) - (3.13 * Crescimento!#REF!*Crescimento!#REF!)</f>
        <v>#REF!</v>
      </c>
      <c r="CQ45" s="6" t="e">
        <f>(CR44+(Crescimento!#REF!-(CR44*0.64))/0.8)/1000</f>
        <v>#REF!</v>
      </c>
      <c r="CR45" s="7" t="e">
        <f>-53.07 + (304.89 * (CQ45)) + (90.79 *Crescimento!#REF!) - (3.13 * Crescimento!#REF!*Crescimento!#REF!)</f>
        <v>#REF!</v>
      </c>
    </row>
    <row r="46" spans="2:96" x14ac:dyDescent="0.25">
      <c r="B46" s="6">
        <f>(C45+(Crescimento!$Q$27-(C45*0.64))/0.8)/1000</f>
        <v>1.1187993738011861</v>
      </c>
      <c r="C46" s="8">
        <f>-53.07 + (304.89 * (B46)) + (90.79 *Crescimento!$Q$20) - (3.13 * Crescimento!$Q$20*Crescimento!$Q$20)</f>
        <v>757.4287040082213</v>
      </c>
      <c r="D46" s="1"/>
      <c r="E46" s="6" t="e">
        <f>(F45+(Crescimento!#REF!-(F45*0.64))/0.8)/1000</f>
        <v>#REF!</v>
      </c>
      <c r="F46" s="7" t="e">
        <f>-53.07 + (304.89 * (E46)) + (90.79 *Crescimento!#REF!) - (3.13 * Crescimento!#REF!*Crescimento!#REF!)</f>
        <v>#REF!</v>
      </c>
      <c r="H46" s="6" t="e">
        <f>(I45+(Crescimento!#REF!-(I45*0.64))/0.8)/1000</f>
        <v>#REF!</v>
      </c>
      <c r="I46" s="7" t="e">
        <f>-53.07 + (304.89 * (H46)) + (90.79 *Crescimento!#REF!) - (3.13 * Crescimento!#REF!*Crescimento!#REF!)</f>
        <v>#REF!</v>
      </c>
      <c r="K46" s="6" t="e">
        <f>(L45+(Crescimento!#REF!-(L45*0.64))/0.8)/1000</f>
        <v>#REF!</v>
      </c>
      <c r="L46" s="7" t="e">
        <f>-53.07 + (304.89 * (K46)) + (90.79 *Crescimento!#REF!) - (3.13 * Crescimento!#REF!*Crescimento!#REF!)</f>
        <v>#REF!</v>
      </c>
      <c r="N46" s="6" t="e">
        <f>(O45+(Crescimento!#REF!-(O45*0.64))/0.8)/1000</f>
        <v>#REF!</v>
      </c>
      <c r="O46" s="7" t="e">
        <f>-53.07 + (304.89 * (N46)) + (90.79 *Crescimento!#REF!) - (3.13 * Crescimento!#REF!*Crescimento!#REF!)</f>
        <v>#REF!</v>
      </c>
      <c r="P46" s="1"/>
      <c r="Q46" s="6" t="e">
        <f>(R45+(Crescimento!#REF!-(R45*0.64))/0.8)/1000</f>
        <v>#REF!</v>
      </c>
      <c r="R46" s="7" t="e">
        <f>-53.07 + (304.89 * (Q46)) + (90.79 *Crescimento!#REF!) - (3.13 * Crescimento!#REF!*Crescimento!#REF!)</f>
        <v>#REF!</v>
      </c>
      <c r="T46" s="6" t="e">
        <f>(U45+(Crescimento!#REF!-(U45*0.64))/0.8)/1000</f>
        <v>#REF!</v>
      </c>
      <c r="U46" s="7" t="e">
        <f>-53.07 + (304.89 * (T46)) + (90.79 *Crescimento!#REF!) - (3.13 * Crescimento!#REF!*Crescimento!#REF!)</f>
        <v>#REF!</v>
      </c>
      <c r="W46" s="6" t="e">
        <f>(X45+(Crescimento!#REF!-(X45*0.64))/0.8)/1000</f>
        <v>#REF!</v>
      </c>
      <c r="X46" s="7" t="e">
        <f>-53.07 + (304.89 * (W46)) + (90.79 *Crescimento!#REF!) - (3.13 * Crescimento!#REF!*Crescimento!#REF!)</f>
        <v>#REF!</v>
      </c>
      <c r="Z46" s="6" t="e">
        <f>(AA45+(Crescimento!#REF!-(AA45*0.64))/0.8)/1000</f>
        <v>#REF!</v>
      </c>
      <c r="AA46" s="7" t="e">
        <f>-53.07 + (304.89 * (Z46)) + (90.79 *Crescimento!#REF!) - (3.13 * Crescimento!#REF!*Crescimento!#REF!)</f>
        <v>#REF!</v>
      </c>
      <c r="AB46" s="1"/>
      <c r="AC46" s="6" t="e">
        <f>(AD45+(Crescimento!#REF!-(AD45*0.64))/0.8)/1000</f>
        <v>#REF!</v>
      </c>
      <c r="AD46" s="7" t="e">
        <f>-53.07 + (304.89 * (AC46)) + (90.79 *Crescimento!#REF!) - (3.13 * Crescimento!#REF!*Crescimento!#REF!)</f>
        <v>#REF!</v>
      </c>
      <c r="AF46" s="6" t="e">
        <f>(AG45+(Crescimento!#REF!-(AG45*0.64))/0.8)/1000</f>
        <v>#REF!</v>
      </c>
      <c r="AG46" s="7" t="e">
        <f>-53.07 + (304.89 * (AF46)) + (90.79 *Crescimento!#REF!) - (3.13 * Crescimento!#REF!*Crescimento!#REF!)</f>
        <v>#REF!</v>
      </c>
      <c r="AI46" s="6" t="e">
        <f>(AJ45+(Crescimento!#REF!-(AJ45*0.64))/0.8)/1000</f>
        <v>#REF!</v>
      </c>
      <c r="AJ46" s="7" t="e">
        <f>-53.07 + (304.89 * (AI46)) + (90.79 *Crescimento!#REF!) - (3.13 * Crescimento!#REF!*Crescimento!#REF!)</f>
        <v>#REF!</v>
      </c>
      <c r="AL46" s="6" t="e">
        <f>(AM45+(Crescimento!#REF!-(AM45*0.64))/0.8)/1000</f>
        <v>#REF!</v>
      </c>
      <c r="AM46" s="7" t="e">
        <f>-53.07 + (304.89 * (AL46)) + (90.79 *Crescimento!#REF!) - (3.13 * Crescimento!#REF!*Crescimento!#REF!)</f>
        <v>#REF!</v>
      </c>
      <c r="AN46" s="1"/>
      <c r="AO46" s="6" t="e">
        <f>(AP45+(Crescimento!#REF!-(AP45*0.64))/0.8)/1000</f>
        <v>#REF!</v>
      </c>
      <c r="AP46" s="7" t="e">
        <f>-53.07 + (304.89 * (AO46)) + (90.79 *Crescimento!#REF!) - (3.13 * Crescimento!#REF!*Crescimento!#REF!)</f>
        <v>#REF!</v>
      </c>
      <c r="AR46" s="6" t="e">
        <f>(AS45+(Crescimento!#REF!-(AS45*0.64))/0.8)/1000</f>
        <v>#REF!</v>
      </c>
      <c r="AS46" s="7" t="e">
        <f>-53.07 + (304.89 * (AR46)) + (90.79 *Crescimento!#REF!) - (3.13 * Crescimento!#REF!*Crescimento!#REF!)</f>
        <v>#REF!</v>
      </c>
      <c r="AU46" s="6" t="e">
        <f>(AV45+(Crescimento!#REF!-(AV45*0.64))/0.8)/1000</f>
        <v>#REF!</v>
      </c>
      <c r="AV46" s="7" t="e">
        <f>-53.07 + (304.89 * (AU46)) + (90.79 *Crescimento!#REF!) - (3.13 * Crescimento!#REF!*Crescimento!#REF!)</f>
        <v>#REF!</v>
      </c>
      <c r="AX46" s="6" t="e">
        <f>(AY45+(Crescimento!#REF!-(AY45*0.64))/0.8)/1000</f>
        <v>#REF!</v>
      </c>
      <c r="AY46" s="7" t="e">
        <f>-53.07 + (304.89 * (AX46)) + (90.79 *Crescimento!#REF!) - (3.13 * Crescimento!#REF!*Crescimento!#REF!)</f>
        <v>#REF!</v>
      </c>
      <c r="AZ46" s="1"/>
      <c r="BA46" s="6" t="e">
        <f>(BB45+(Crescimento!#REF!-(BB45*0.64))/0.8)/1000</f>
        <v>#REF!</v>
      </c>
      <c r="BB46" s="7" t="e">
        <f>-53.07 + (304.89 * (BA46)) + (90.79 *Crescimento!#REF!) - (3.13 * Crescimento!#REF!*Crescimento!#REF!)</f>
        <v>#REF!</v>
      </c>
      <c r="BD46" s="6" t="e">
        <f>(BE45+(Crescimento!#REF!-(BE45*0.64))/0.8)/1000</f>
        <v>#REF!</v>
      </c>
      <c r="BE46" s="7" t="e">
        <f>-53.07 + (304.89 * (BD46)) + (90.79 *Crescimento!#REF!) - (3.13 * Crescimento!#REF!*Crescimento!#REF!)</f>
        <v>#REF!</v>
      </c>
      <c r="BG46" s="6" t="e">
        <f>(BH45+(Crescimento!#REF!-(BH45*0.64))/0.8)/1000</f>
        <v>#REF!</v>
      </c>
      <c r="BH46" s="7" t="e">
        <f>-53.07 + (304.89 * (BG46)) + (90.79 *Crescimento!#REF!) - (3.13 * Crescimento!#REF!*Crescimento!#REF!)</f>
        <v>#REF!</v>
      </c>
      <c r="BJ46" s="6" t="e">
        <f>(BK45+(Crescimento!#REF!-(BK45*0.64))/0.8)/1000</f>
        <v>#REF!</v>
      </c>
      <c r="BK46" s="7" t="e">
        <f>-53.07 + (304.89 * (BJ46)) + (90.79 *Crescimento!#REF!) - (3.13 * Crescimento!#REF!*Crescimento!#REF!)</f>
        <v>#REF!</v>
      </c>
      <c r="BL46" s="1"/>
      <c r="BM46" s="6" t="e">
        <f>(BN45+(Crescimento!#REF!-(BN45*0.64))/0.8)/1000</f>
        <v>#REF!</v>
      </c>
      <c r="BN46" s="7" t="e">
        <f>-53.07 + (304.89 * (BM46)) + (90.79 *Crescimento!#REF!) - (3.13 * Crescimento!#REF!*Crescimento!#REF!)</f>
        <v>#REF!</v>
      </c>
      <c r="BP46" s="6" t="e">
        <f>(BQ45+(Crescimento!#REF!-(BQ45*0.64))/0.8)/1000</f>
        <v>#REF!</v>
      </c>
      <c r="BQ46" s="7" t="e">
        <f>-53.07 + (304.89 * (BP46)) + (90.79 *Crescimento!#REF!) - (3.13 * Crescimento!#REF!*Crescimento!#REF!)</f>
        <v>#REF!</v>
      </c>
      <c r="BS46" s="6" t="e">
        <f>(BT45+(Crescimento!#REF!-(BT45*0.64))/0.8)/1000</f>
        <v>#REF!</v>
      </c>
      <c r="BT46" s="7" t="e">
        <f>-53.07 + (304.89 * (BS46)) + (90.79 *Crescimento!#REF!) - (3.13 * Crescimento!#REF!*Crescimento!#REF!)</f>
        <v>#REF!</v>
      </c>
      <c r="BV46" s="6" t="e">
        <f>(BW45+(Crescimento!#REF!-(BW45*0.64))/0.8)/1000</f>
        <v>#REF!</v>
      </c>
      <c r="BW46" s="7" t="e">
        <f>-53.07 + (304.89 * (BV46)) + (90.79 *Crescimento!#REF!) - (3.13 * Crescimento!#REF!*Crescimento!#REF!)</f>
        <v>#REF!</v>
      </c>
      <c r="BX46" s="1"/>
      <c r="BY46" s="6" t="e">
        <f>(BZ45+(Crescimento!#REF!-(BZ45*0.64))/0.8)/1000</f>
        <v>#REF!</v>
      </c>
      <c r="BZ46" s="7" t="e">
        <f>-53.07 + (304.89 * (BY46)) + (90.79 *Crescimento!#REF!) - (3.13 * Crescimento!#REF!*Crescimento!#REF!)</f>
        <v>#REF!</v>
      </c>
      <c r="CB46" s="6" t="e">
        <f>(CC45+(Crescimento!#REF!-(CC45*0.64))/0.8)/1000</f>
        <v>#REF!</v>
      </c>
      <c r="CC46" s="7" t="e">
        <f>-53.07 + (304.89 * (CB46)) + (90.79 *Crescimento!#REF!) - (3.13 * Crescimento!#REF!*Crescimento!#REF!)</f>
        <v>#REF!</v>
      </c>
      <c r="CE46" s="6" t="e">
        <f>(CF45+(Crescimento!#REF!-(CF45*0.64))/0.8)/1000</f>
        <v>#REF!</v>
      </c>
      <c r="CF46" s="7" t="e">
        <f>-53.07 + (304.89 * (CE46)) + (90.79 *Crescimento!#REF!) - (3.13 * Crescimento!#REF!*Crescimento!#REF!)</f>
        <v>#REF!</v>
      </c>
      <c r="CH46" s="6" t="e">
        <f>(CI45+(Crescimento!#REF!-(CI45*0.64))/0.8)/1000</f>
        <v>#REF!</v>
      </c>
      <c r="CI46" s="7" t="e">
        <f>-53.07 + (304.89 * (CH46)) + (90.79 *Crescimento!#REF!) - (3.13 * Crescimento!#REF!*Crescimento!#REF!)</f>
        <v>#REF!</v>
      </c>
      <c r="CJ46" s="1"/>
      <c r="CK46" s="6" t="e">
        <f>(CL45+(Crescimento!#REF!-(CL45*0.64))/0.8)/1000</f>
        <v>#REF!</v>
      </c>
      <c r="CL46" s="7" t="e">
        <f>-53.07 + (304.89 * (CK46)) + (90.79 *Crescimento!#REF!) - (3.13 * Crescimento!#REF!*Crescimento!#REF!)</f>
        <v>#REF!</v>
      </c>
      <c r="CN46" s="6" t="e">
        <f>(CO45+(Crescimento!#REF!-(CO45*0.64))/0.8)/1000</f>
        <v>#REF!</v>
      </c>
      <c r="CO46" s="7" t="e">
        <f>-53.07 + (304.89 * (CN46)) + (90.79 *Crescimento!#REF!) - (3.13 * Crescimento!#REF!*Crescimento!#REF!)</f>
        <v>#REF!</v>
      </c>
      <c r="CQ46" s="6" t="e">
        <f>(CR45+(Crescimento!#REF!-(CR45*0.64))/0.8)/1000</f>
        <v>#REF!</v>
      </c>
      <c r="CR46" s="7" t="e">
        <f>-53.07 + (304.89 * (CQ46)) + (90.79 *Crescimento!#REF!) - (3.13 * Crescimento!#REF!*Crescimento!#REF!)</f>
        <v>#REF!</v>
      </c>
    </row>
    <row r="47" spans="2:96" x14ac:dyDescent="0.25">
      <c r="B47" s="6">
        <f>(C46+(Crescimento!$Q$27-(C46*0.64))/0.8)/1000</f>
        <v>1.1187993738011861</v>
      </c>
      <c r="C47" s="8">
        <f>-53.07 + (304.89 * (B47)) + (90.79 *Crescimento!$Q$20) - (3.13 * Crescimento!$Q$20*Crescimento!$Q$20)</f>
        <v>757.4287040082213</v>
      </c>
      <c r="D47" s="1"/>
      <c r="E47" s="6" t="e">
        <f>(F46+(Crescimento!#REF!-(F46*0.64))/0.8)/1000</f>
        <v>#REF!</v>
      </c>
      <c r="F47" s="7" t="e">
        <f>-53.07 + (304.89 * (E47)) + (90.79 *Crescimento!#REF!) - (3.13 * Crescimento!#REF!*Crescimento!#REF!)</f>
        <v>#REF!</v>
      </c>
      <c r="H47" s="6" t="e">
        <f>(I46+(Crescimento!#REF!-(I46*0.64))/0.8)/1000</f>
        <v>#REF!</v>
      </c>
      <c r="I47" s="7" t="e">
        <f>-53.07 + (304.89 * (H47)) + (90.79 *Crescimento!#REF!) - (3.13 * Crescimento!#REF!*Crescimento!#REF!)</f>
        <v>#REF!</v>
      </c>
      <c r="K47" s="6" t="e">
        <f>(L46+(Crescimento!#REF!-(L46*0.64))/0.8)/1000</f>
        <v>#REF!</v>
      </c>
      <c r="L47" s="7" t="e">
        <f>-53.07 + (304.89 * (K47)) + (90.79 *Crescimento!#REF!) - (3.13 * Crescimento!#REF!*Crescimento!#REF!)</f>
        <v>#REF!</v>
      </c>
      <c r="N47" s="6" t="e">
        <f>(O46+(Crescimento!#REF!-(O46*0.64))/0.8)/1000</f>
        <v>#REF!</v>
      </c>
      <c r="O47" s="7" t="e">
        <f>-53.07 + (304.89 * (N47)) + (90.79 *Crescimento!#REF!) - (3.13 * Crescimento!#REF!*Crescimento!#REF!)</f>
        <v>#REF!</v>
      </c>
      <c r="P47" s="1"/>
      <c r="Q47" s="6" t="e">
        <f>(R46+(Crescimento!#REF!-(R46*0.64))/0.8)/1000</f>
        <v>#REF!</v>
      </c>
      <c r="R47" s="7" t="e">
        <f>-53.07 + (304.89 * (Q47)) + (90.79 *Crescimento!#REF!) - (3.13 * Crescimento!#REF!*Crescimento!#REF!)</f>
        <v>#REF!</v>
      </c>
      <c r="T47" s="6" t="e">
        <f>(U46+(Crescimento!#REF!-(U46*0.64))/0.8)/1000</f>
        <v>#REF!</v>
      </c>
      <c r="U47" s="7" t="e">
        <f>-53.07 + (304.89 * (T47)) + (90.79 *Crescimento!#REF!) - (3.13 * Crescimento!#REF!*Crescimento!#REF!)</f>
        <v>#REF!</v>
      </c>
      <c r="W47" s="6" t="e">
        <f>(X46+(Crescimento!#REF!-(X46*0.64))/0.8)/1000</f>
        <v>#REF!</v>
      </c>
      <c r="X47" s="7" t="e">
        <f>-53.07 + (304.89 * (W47)) + (90.79 *Crescimento!#REF!) - (3.13 * Crescimento!#REF!*Crescimento!#REF!)</f>
        <v>#REF!</v>
      </c>
      <c r="Z47" s="6" t="e">
        <f>(AA46+(Crescimento!#REF!-(AA46*0.64))/0.8)/1000</f>
        <v>#REF!</v>
      </c>
      <c r="AA47" s="7" t="e">
        <f>-53.07 + (304.89 * (Z47)) + (90.79 *Crescimento!#REF!) - (3.13 * Crescimento!#REF!*Crescimento!#REF!)</f>
        <v>#REF!</v>
      </c>
      <c r="AB47" s="1"/>
      <c r="AC47" s="6" t="e">
        <f>(AD46+(Crescimento!#REF!-(AD46*0.64))/0.8)/1000</f>
        <v>#REF!</v>
      </c>
      <c r="AD47" s="7" t="e">
        <f>-53.07 + (304.89 * (AC47)) + (90.79 *Crescimento!#REF!) - (3.13 * Crescimento!#REF!*Crescimento!#REF!)</f>
        <v>#REF!</v>
      </c>
      <c r="AF47" s="6" t="e">
        <f>(AG46+(Crescimento!#REF!-(AG46*0.64))/0.8)/1000</f>
        <v>#REF!</v>
      </c>
      <c r="AG47" s="7" t="e">
        <f>-53.07 + (304.89 * (AF47)) + (90.79 *Crescimento!#REF!) - (3.13 * Crescimento!#REF!*Crescimento!#REF!)</f>
        <v>#REF!</v>
      </c>
      <c r="AI47" s="6" t="e">
        <f>(AJ46+(Crescimento!#REF!-(AJ46*0.64))/0.8)/1000</f>
        <v>#REF!</v>
      </c>
      <c r="AJ47" s="7" t="e">
        <f>-53.07 + (304.89 * (AI47)) + (90.79 *Crescimento!#REF!) - (3.13 * Crescimento!#REF!*Crescimento!#REF!)</f>
        <v>#REF!</v>
      </c>
      <c r="AL47" s="6" t="e">
        <f>(AM46+(Crescimento!#REF!-(AM46*0.64))/0.8)/1000</f>
        <v>#REF!</v>
      </c>
      <c r="AM47" s="7" t="e">
        <f>-53.07 + (304.89 * (AL47)) + (90.79 *Crescimento!#REF!) - (3.13 * Crescimento!#REF!*Crescimento!#REF!)</f>
        <v>#REF!</v>
      </c>
      <c r="AN47" s="1"/>
      <c r="AO47" s="6" t="e">
        <f>(AP46+(Crescimento!#REF!-(AP46*0.64))/0.8)/1000</f>
        <v>#REF!</v>
      </c>
      <c r="AP47" s="7" t="e">
        <f>-53.07 + (304.89 * (AO47)) + (90.79 *Crescimento!#REF!) - (3.13 * Crescimento!#REF!*Crescimento!#REF!)</f>
        <v>#REF!</v>
      </c>
      <c r="AR47" s="6" t="e">
        <f>(AS46+(Crescimento!#REF!-(AS46*0.64))/0.8)/1000</f>
        <v>#REF!</v>
      </c>
      <c r="AS47" s="7" t="e">
        <f>-53.07 + (304.89 * (AR47)) + (90.79 *Crescimento!#REF!) - (3.13 * Crescimento!#REF!*Crescimento!#REF!)</f>
        <v>#REF!</v>
      </c>
      <c r="AU47" s="6" t="e">
        <f>(AV46+(Crescimento!#REF!-(AV46*0.64))/0.8)/1000</f>
        <v>#REF!</v>
      </c>
      <c r="AV47" s="7" t="e">
        <f>-53.07 + (304.89 * (AU47)) + (90.79 *Crescimento!#REF!) - (3.13 * Crescimento!#REF!*Crescimento!#REF!)</f>
        <v>#REF!</v>
      </c>
      <c r="AX47" s="6" t="e">
        <f>(AY46+(Crescimento!#REF!-(AY46*0.64))/0.8)/1000</f>
        <v>#REF!</v>
      </c>
      <c r="AY47" s="7" t="e">
        <f>-53.07 + (304.89 * (AX47)) + (90.79 *Crescimento!#REF!) - (3.13 * Crescimento!#REF!*Crescimento!#REF!)</f>
        <v>#REF!</v>
      </c>
      <c r="AZ47" s="1"/>
      <c r="BA47" s="6" t="e">
        <f>(BB46+(Crescimento!#REF!-(BB46*0.64))/0.8)/1000</f>
        <v>#REF!</v>
      </c>
      <c r="BB47" s="7" t="e">
        <f>-53.07 + (304.89 * (BA47)) + (90.79 *Crescimento!#REF!) - (3.13 * Crescimento!#REF!*Crescimento!#REF!)</f>
        <v>#REF!</v>
      </c>
      <c r="BD47" s="6" t="e">
        <f>(BE46+(Crescimento!#REF!-(BE46*0.64))/0.8)/1000</f>
        <v>#REF!</v>
      </c>
      <c r="BE47" s="7" t="e">
        <f>-53.07 + (304.89 * (BD47)) + (90.79 *Crescimento!#REF!) - (3.13 * Crescimento!#REF!*Crescimento!#REF!)</f>
        <v>#REF!</v>
      </c>
      <c r="BG47" s="6" t="e">
        <f>(BH46+(Crescimento!#REF!-(BH46*0.64))/0.8)/1000</f>
        <v>#REF!</v>
      </c>
      <c r="BH47" s="7" t="e">
        <f>-53.07 + (304.89 * (BG47)) + (90.79 *Crescimento!#REF!) - (3.13 * Crescimento!#REF!*Crescimento!#REF!)</f>
        <v>#REF!</v>
      </c>
      <c r="BJ47" s="6" t="e">
        <f>(BK46+(Crescimento!#REF!-(BK46*0.64))/0.8)/1000</f>
        <v>#REF!</v>
      </c>
      <c r="BK47" s="7" t="e">
        <f>-53.07 + (304.89 * (BJ47)) + (90.79 *Crescimento!#REF!) - (3.13 * Crescimento!#REF!*Crescimento!#REF!)</f>
        <v>#REF!</v>
      </c>
      <c r="BL47" s="1"/>
      <c r="BM47" s="6" t="e">
        <f>(BN46+(Crescimento!#REF!-(BN46*0.64))/0.8)/1000</f>
        <v>#REF!</v>
      </c>
      <c r="BN47" s="7" t="e">
        <f>-53.07 + (304.89 * (BM47)) + (90.79 *Crescimento!#REF!) - (3.13 * Crescimento!#REF!*Crescimento!#REF!)</f>
        <v>#REF!</v>
      </c>
      <c r="BP47" s="6" t="e">
        <f>(BQ46+(Crescimento!#REF!-(BQ46*0.64))/0.8)/1000</f>
        <v>#REF!</v>
      </c>
      <c r="BQ47" s="7" t="e">
        <f>-53.07 + (304.89 * (BP47)) + (90.79 *Crescimento!#REF!) - (3.13 * Crescimento!#REF!*Crescimento!#REF!)</f>
        <v>#REF!</v>
      </c>
      <c r="BS47" s="6" t="e">
        <f>(BT46+(Crescimento!#REF!-(BT46*0.64))/0.8)/1000</f>
        <v>#REF!</v>
      </c>
      <c r="BT47" s="7" t="e">
        <f>-53.07 + (304.89 * (BS47)) + (90.79 *Crescimento!#REF!) - (3.13 * Crescimento!#REF!*Crescimento!#REF!)</f>
        <v>#REF!</v>
      </c>
      <c r="BV47" s="6" t="e">
        <f>(BW46+(Crescimento!#REF!-(BW46*0.64))/0.8)/1000</f>
        <v>#REF!</v>
      </c>
      <c r="BW47" s="7" t="e">
        <f>-53.07 + (304.89 * (BV47)) + (90.79 *Crescimento!#REF!) - (3.13 * Crescimento!#REF!*Crescimento!#REF!)</f>
        <v>#REF!</v>
      </c>
      <c r="BX47" s="1"/>
      <c r="BY47" s="6" t="e">
        <f>(BZ46+(Crescimento!#REF!-(BZ46*0.64))/0.8)/1000</f>
        <v>#REF!</v>
      </c>
      <c r="BZ47" s="7" t="e">
        <f>-53.07 + (304.89 * (BY47)) + (90.79 *Crescimento!#REF!) - (3.13 * Crescimento!#REF!*Crescimento!#REF!)</f>
        <v>#REF!</v>
      </c>
      <c r="CB47" s="6" t="e">
        <f>(CC46+(Crescimento!#REF!-(CC46*0.64))/0.8)/1000</f>
        <v>#REF!</v>
      </c>
      <c r="CC47" s="7" t="e">
        <f>-53.07 + (304.89 * (CB47)) + (90.79 *Crescimento!#REF!) - (3.13 * Crescimento!#REF!*Crescimento!#REF!)</f>
        <v>#REF!</v>
      </c>
      <c r="CE47" s="6" t="e">
        <f>(CF46+(Crescimento!#REF!-(CF46*0.64))/0.8)/1000</f>
        <v>#REF!</v>
      </c>
      <c r="CF47" s="7" t="e">
        <f>-53.07 + (304.89 * (CE47)) + (90.79 *Crescimento!#REF!) - (3.13 * Crescimento!#REF!*Crescimento!#REF!)</f>
        <v>#REF!</v>
      </c>
      <c r="CH47" s="6" t="e">
        <f>(CI46+(Crescimento!#REF!-(CI46*0.64))/0.8)/1000</f>
        <v>#REF!</v>
      </c>
      <c r="CI47" s="7" t="e">
        <f>-53.07 + (304.89 * (CH47)) + (90.79 *Crescimento!#REF!) - (3.13 * Crescimento!#REF!*Crescimento!#REF!)</f>
        <v>#REF!</v>
      </c>
      <c r="CJ47" s="1"/>
      <c r="CK47" s="6" t="e">
        <f>(CL46+(Crescimento!#REF!-(CL46*0.64))/0.8)/1000</f>
        <v>#REF!</v>
      </c>
      <c r="CL47" s="7" t="e">
        <f>-53.07 + (304.89 * (CK47)) + (90.79 *Crescimento!#REF!) - (3.13 * Crescimento!#REF!*Crescimento!#REF!)</f>
        <v>#REF!</v>
      </c>
      <c r="CN47" s="6" t="e">
        <f>(CO46+(Crescimento!#REF!-(CO46*0.64))/0.8)/1000</f>
        <v>#REF!</v>
      </c>
      <c r="CO47" s="7" t="e">
        <f>-53.07 + (304.89 * (CN47)) + (90.79 *Crescimento!#REF!) - (3.13 * Crescimento!#REF!*Crescimento!#REF!)</f>
        <v>#REF!</v>
      </c>
      <c r="CQ47" s="6" t="e">
        <f>(CR46+(Crescimento!#REF!-(CR46*0.64))/0.8)/1000</f>
        <v>#REF!</v>
      </c>
      <c r="CR47" s="7" t="e">
        <f>-53.07 + (304.89 * (CQ47)) + (90.79 *Crescimento!#REF!) - (3.13 * Crescimento!#REF!*Crescimento!#REF!)</f>
        <v>#REF!</v>
      </c>
    </row>
    <row r="48" spans="2:96" x14ac:dyDescent="0.25">
      <c r="B48" s="6">
        <f>(C47+(Crescimento!$Q$27-(C47*0.64))/0.8)/1000</f>
        <v>1.1187993738011861</v>
      </c>
      <c r="C48" s="8">
        <f>-53.07 + (304.89 * (B48)) + (90.79 *Crescimento!$Q$20) - (3.13 * Crescimento!$Q$20*Crescimento!$Q$20)</f>
        <v>757.4287040082213</v>
      </c>
      <c r="D48" s="1"/>
      <c r="E48" s="6" t="e">
        <f>(F47+(Crescimento!#REF!-(F47*0.64))/0.8)/1000</f>
        <v>#REF!</v>
      </c>
      <c r="F48" s="7" t="e">
        <f>-53.07 + (304.89 * (E48)) + (90.79 *Crescimento!#REF!) - (3.13 * Crescimento!#REF!*Crescimento!#REF!)</f>
        <v>#REF!</v>
      </c>
      <c r="H48" s="6" t="e">
        <f>(I47+(Crescimento!#REF!-(I47*0.64))/0.8)/1000</f>
        <v>#REF!</v>
      </c>
      <c r="I48" s="7" t="e">
        <f>-53.07 + (304.89 * (H48)) + (90.79 *Crescimento!#REF!) - (3.13 * Crescimento!#REF!*Crescimento!#REF!)</f>
        <v>#REF!</v>
      </c>
      <c r="K48" s="6" t="e">
        <f>(L47+(Crescimento!#REF!-(L47*0.64))/0.8)/1000</f>
        <v>#REF!</v>
      </c>
      <c r="L48" s="7" t="e">
        <f>-53.07 + (304.89 * (K48)) + (90.79 *Crescimento!#REF!) - (3.13 * Crescimento!#REF!*Crescimento!#REF!)</f>
        <v>#REF!</v>
      </c>
      <c r="N48" s="6" t="e">
        <f>(O47+(Crescimento!#REF!-(O47*0.64))/0.8)/1000</f>
        <v>#REF!</v>
      </c>
      <c r="O48" s="7" t="e">
        <f>-53.07 + (304.89 * (N48)) + (90.79 *Crescimento!#REF!) - (3.13 * Crescimento!#REF!*Crescimento!#REF!)</f>
        <v>#REF!</v>
      </c>
      <c r="P48" s="1"/>
      <c r="Q48" s="6" t="e">
        <f>(R47+(Crescimento!#REF!-(R47*0.64))/0.8)/1000</f>
        <v>#REF!</v>
      </c>
      <c r="R48" s="7" t="e">
        <f>-53.07 + (304.89 * (Q48)) + (90.79 *Crescimento!#REF!) - (3.13 * Crescimento!#REF!*Crescimento!#REF!)</f>
        <v>#REF!</v>
      </c>
      <c r="T48" s="6" t="e">
        <f>(U47+(Crescimento!#REF!-(U47*0.64))/0.8)/1000</f>
        <v>#REF!</v>
      </c>
      <c r="U48" s="7" t="e">
        <f>-53.07 + (304.89 * (T48)) + (90.79 *Crescimento!#REF!) - (3.13 * Crescimento!#REF!*Crescimento!#REF!)</f>
        <v>#REF!</v>
      </c>
      <c r="W48" s="6" t="e">
        <f>(X47+(Crescimento!#REF!-(X47*0.64))/0.8)/1000</f>
        <v>#REF!</v>
      </c>
      <c r="X48" s="7" t="e">
        <f>-53.07 + (304.89 * (W48)) + (90.79 *Crescimento!#REF!) - (3.13 * Crescimento!#REF!*Crescimento!#REF!)</f>
        <v>#REF!</v>
      </c>
      <c r="Z48" s="6" t="e">
        <f>(AA47+(Crescimento!#REF!-(AA47*0.64))/0.8)/1000</f>
        <v>#REF!</v>
      </c>
      <c r="AA48" s="7" t="e">
        <f>-53.07 + (304.89 * (Z48)) + (90.79 *Crescimento!#REF!) - (3.13 * Crescimento!#REF!*Crescimento!#REF!)</f>
        <v>#REF!</v>
      </c>
      <c r="AB48" s="1"/>
      <c r="AC48" s="6" t="e">
        <f>(AD47+(Crescimento!#REF!-(AD47*0.64))/0.8)/1000</f>
        <v>#REF!</v>
      </c>
      <c r="AD48" s="7" t="e">
        <f>-53.07 + (304.89 * (AC48)) + (90.79 *Crescimento!#REF!) - (3.13 * Crescimento!#REF!*Crescimento!#REF!)</f>
        <v>#REF!</v>
      </c>
      <c r="AF48" s="6" t="e">
        <f>(AG47+(Crescimento!#REF!-(AG47*0.64))/0.8)/1000</f>
        <v>#REF!</v>
      </c>
      <c r="AG48" s="7" t="e">
        <f>-53.07 + (304.89 * (AF48)) + (90.79 *Crescimento!#REF!) - (3.13 * Crescimento!#REF!*Crescimento!#REF!)</f>
        <v>#REF!</v>
      </c>
      <c r="AI48" s="6" t="e">
        <f>(AJ47+(Crescimento!#REF!-(AJ47*0.64))/0.8)/1000</f>
        <v>#REF!</v>
      </c>
      <c r="AJ48" s="7" t="e">
        <f>-53.07 + (304.89 * (AI48)) + (90.79 *Crescimento!#REF!) - (3.13 * Crescimento!#REF!*Crescimento!#REF!)</f>
        <v>#REF!</v>
      </c>
      <c r="AL48" s="6" t="e">
        <f>(AM47+(Crescimento!#REF!-(AM47*0.64))/0.8)/1000</f>
        <v>#REF!</v>
      </c>
      <c r="AM48" s="7" t="e">
        <f>-53.07 + (304.89 * (AL48)) + (90.79 *Crescimento!#REF!) - (3.13 * Crescimento!#REF!*Crescimento!#REF!)</f>
        <v>#REF!</v>
      </c>
      <c r="AN48" s="1"/>
      <c r="AO48" s="6" t="e">
        <f>(AP47+(Crescimento!#REF!-(AP47*0.64))/0.8)/1000</f>
        <v>#REF!</v>
      </c>
      <c r="AP48" s="7" t="e">
        <f>-53.07 + (304.89 * (AO48)) + (90.79 *Crescimento!#REF!) - (3.13 * Crescimento!#REF!*Crescimento!#REF!)</f>
        <v>#REF!</v>
      </c>
      <c r="AR48" s="6" t="e">
        <f>(AS47+(Crescimento!#REF!-(AS47*0.64))/0.8)/1000</f>
        <v>#REF!</v>
      </c>
      <c r="AS48" s="7" t="e">
        <f>-53.07 + (304.89 * (AR48)) + (90.79 *Crescimento!#REF!) - (3.13 * Crescimento!#REF!*Crescimento!#REF!)</f>
        <v>#REF!</v>
      </c>
      <c r="AU48" s="6" t="e">
        <f>(AV47+(Crescimento!#REF!-(AV47*0.64))/0.8)/1000</f>
        <v>#REF!</v>
      </c>
      <c r="AV48" s="7" t="e">
        <f>-53.07 + (304.89 * (AU48)) + (90.79 *Crescimento!#REF!) - (3.13 * Crescimento!#REF!*Crescimento!#REF!)</f>
        <v>#REF!</v>
      </c>
      <c r="AX48" s="6" t="e">
        <f>(AY47+(Crescimento!#REF!-(AY47*0.64))/0.8)/1000</f>
        <v>#REF!</v>
      </c>
      <c r="AY48" s="7" t="e">
        <f>-53.07 + (304.89 * (AX48)) + (90.79 *Crescimento!#REF!) - (3.13 * Crescimento!#REF!*Crescimento!#REF!)</f>
        <v>#REF!</v>
      </c>
      <c r="AZ48" s="1"/>
      <c r="BA48" s="6" t="e">
        <f>(BB47+(Crescimento!#REF!-(BB47*0.64))/0.8)/1000</f>
        <v>#REF!</v>
      </c>
      <c r="BB48" s="7" t="e">
        <f>-53.07 + (304.89 * (BA48)) + (90.79 *Crescimento!#REF!) - (3.13 * Crescimento!#REF!*Crescimento!#REF!)</f>
        <v>#REF!</v>
      </c>
      <c r="BD48" s="6" t="e">
        <f>(BE47+(Crescimento!#REF!-(BE47*0.64))/0.8)/1000</f>
        <v>#REF!</v>
      </c>
      <c r="BE48" s="7" t="e">
        <f>-53.07 + (304.89 * (BD48)) + (90.79 *Crescimento!#REF!) - (3.13 * Crescimento!#REF!*Crescimento!#REF!)</f>
        <v>#REF!</v>
      </c>
      <c r="BG48" s="6" t="e">
        <f>(BH47+(Crescimento!#REF!-(BH47*0.64))/0.8)/1000</f>
        <v>#REF!</v>
      </c>
      <c r="BH48" s="7" t="e">
        <f>-53.07 + (304.89 * (BG48)) + (90.79 *Crescimento!#REF!) - (3.13 * Crescimento!#REF!*Crescimento!#REF!)</f>
        <v>#REF!</v>
      </c>
      <c r="BJ48" s="6" t="e">
        <f>(BK47+(Crescimento!#REF!-(BK47*0.64))/0.8)/1000</f>
        <v>#REF!</v>
      </c>
      <c r="BK48" s="7" t="e">
        <f>-53.07 + (304.89 * (BJ48)) + (90.79 *Crescimento!#REF!) - (3.13 * Crescimento!#REF!*Crescimento!#REF!)</f>
        <v>#REF!</v>
      </c>
      <c r="BL48" s="1"/>
      <c r="BM48" s="6" t="e">
        <f>(BN47+(Crescimento!#REF!-(BN47*0.64))/0.8)/1000</f>
        <v>#REF!</v>
      </c>
      <c r="BN48" s="7" t="e">
        <f>-53.07 + (304.89 * (BM48)) + (90.79 *Crescimento!#REF!) - (3.13 * Crescimento!#REF!*Crescimento!#REF!)</f>
        <v>#REF!</v>
      </c>
      <c r="BP48" s="6" t="e">
        <f>(BQ47+(Crescimento!#REF!-(BQ47*0.64))/0.8)/1000</f>
        <v>#REF!</v>
      </c>
      <c r="BQ48" s="7" t="e">
        <f>-53.07 + (304.89 * (BP48)) + (90.79 *Crescimento!#REF!) - (3.13 * Crescimento!#REF!*Crescimento!#REF!)</f>
        <v>#REF!</v>
      </c>
      <c r="BS48" s="6" t="e">
        <f>(BT47+(Crescimento!#REF!-(BT47*0.64))/0.8)/1000</f>
        <v>#REF!</v>
      </c>
      <c r="BT48" s="7" t="e">
        <f>-53.07 + (304.89 * (BS48)) + (90.79 *Crescimento!#REF!) - (3.13 * Crescimento!#REF!*Crescimento!#REF!)</f>
        <v>#REF!</v>
      </c>
      <c r="BV48" s="6" t="e">
        <f>(BW47+(Crescimento!#REF!-(BW47*0.64))/0.8)/1000</f>
        <v>#REF!</v>
      </c>
      <c r="BW48" s="7" t="e">
        <f>-53.07 + (304.89 * (BV48)) + (90.79 *Crescimento!#REF!) - (3.13 * Crescimento!#REF!*Crescimento!#REF!)</f>
        <v>#REF!</v>
      </c>
      <c r="BX48" s="1"/>
      <c r="BY48" s="6" t="e">
        <f>(BZ47+(Crescimento!#REF!-(BZ47*0.64))/0.8)/1000</f>
        <v>#REF!</v>
      </c>
      <c r="BZ48" s="7" t="e">
        <f>-53.07 + (304.89 * (BY48)) + (90.79 *Crescimento!#REF!) - (3.13 * Crescimento!#REF!*Crescimento!#REF!)</f>
        <v>#REF!</v>
      </c>
      <c r="CB48" s="6" t="e">
        <f>(CC47+(Crescimento!#REF!-(CC47*0.64))/0.8)/1000</f>
        <v>#REF!</v>
      </c>
      <c r="CC48" s="7" t="e">
        <f>-53.07 + (304.89 * (CB48)) + (90.79 *Crescimento!#REF!) - (3.13 * Crescimento!#REF!*Crescimento!#REF!)</f>
        <v>#REF!</v>
      </c>
      <c r="CE48" s="6" t="e">
        <f>(CF47+(Crescimento!#REF!-(CF47*0.64))/0.8)/1000</f>
        <v>#REF!</v>
      </c>
      <c r="CF48" s="7" t="e">
        <f>-53.07 + (304.89 * (CE48)) + (90.79 *Crescimento!#REF!) - (3.13 * Crescimento!#REF!*Crescimento!#REF!)</f>
        <v>#REF!</v>
      </c>
      <c r="CH48" s="6" t="e">
        <f>(CI47+(Crescimento!#REF!-(CI47*0.64))/0.8)/1000</f>
        <v>#REF!</v>
      </c>
      <c r="CI48" s="7" t="e">
        <f>-53.07 + (304.89 * (CH48)) + (90.79 *Crescimento!#REF!) - (3.13 * Crescimento!#REF!*Crescimento!#REF!)</f>
        <v>#REF!</v>
      </c>
      <c r="CJ48" s="1"/>
      <c r="CK48" s="6" t="e">
        <f>(CL47+(Crescimento!#REF!-(CL47*0.64))/0.8)/1000</f>
        <v>#REF!</v>
      </c>
      <c r="CL48" s="7" t="e">
        <f>-53.07 + (304.89 * (CK48)) + (90.79 *Crescimento!#REF!) - (3.13 * Crescimento!#REF!*Crescimento!#REF!)</f>
        <v>#REF!</v>
      </c>
      <c r="CN48" s="6" t="e">
        <f>(CO47+(Crescimento!#REF!-(CO47*0.64))/0.8)/1000</f>
        <v>#REF!</v>
      </c>
      <c r="CO48" s="7" t="e">
        <f>-53.07 + (304.89 * (CN48)) + (90.79 *Crescimento!#REF!) - (3.13 * Crescimento!#REF!*Crescimento!#REF!)</f>
        <v>#REF!</v>
      </c>
      <c r="CQ48" s="6" t="e">
        <f>(CR47+(Crescimento!#REF!-(CR47*0.64))/0.8)/1000</f>
        <v>#REF!</v>
      </c>
      <c r="CR48" s="7" t="e">
        <f>-53.07 + (304.89 * (CQ48)) + (90.79 *Crescimento!#REF!) - (3.13 * Crescimento!#REF!*Crescimento!#REF!)</f>
        <v>#REF!</v>
      </c>
    </row>
    <row r="49" spans="2:96" x14ac:dyDescent="0.25">
      <c r="B49" s="6">
        <f>(C48+(Crescimento!$Q$27-(C48*0.64))/0.8)/1000</f>
        <v>1.1187993738011861</v>
      </c>
      <c r="C49" s="8">
        <f>-53.07 + (304.89 * (B49)) + (90.79 *Crescimento!$Q$20) - (3.13 * Crescimento!$Q$20*Crescimento!$Q$20)</f>
        <v>757.4287040082213</v>
      </c>
      <c r="D49" s="1"/>
      <c r="E49" s="6" t="e">
        <f>(F48+(Crescimento!#REF!-(F48*0.64))/0.8)/1000</f>
        <v>#REF!</v>
      </c>
      <c r="F49" s="7" t="e">
        <f>-53.07 + (304.89 * (E49)) + (90.79 *Crescimento!#REF!) - (3.13 * Crescimento!#REF!*Crescimento!#REF!)</f>
        <v>#REF!</v>
      </c>
      <c r="H49" s="6" t="e">
        <f>(I48+(Crescimento!#REF!-(I48*0.64))/0.8)/1000</f>
        <v>#REF!</v>
      </c>
      <c r="I49" s="7" t="e">
        <f>-53.07 + (304.89 * (H49)) + (90.79 *Crescimento!#REF!) - (3.13 * Crescimento!#REF!*Crescimento!#REF!)</f>
        <v>#REF!</v>
      </c>
      <c r="K49" s="6" t="e">
        <f>(L48+(Crescimento!#REF!-(L48*0.64))/0.8)/1000</f>
        <v>#REF!</v>
      </c>
      <c r="L49" s="7" t="e">
        <f>-53.07 + (304.89 * (K49)) + (90.79 *Crescimento!#REF!) - (3.13 * Crescimento!#REF!*Crescimento!#REF!)</f>
        <v>#REF!</v>
      </c>
      <c r="N49" s="6" t="e">
        <f>(O48+(Crescimento!#REF!-(O48*0.64))/0.8)/1000</f>
        <v>#REF!</v>
      </c>
      <c r="O49" s="7" t="e">
        <f>-53.07 + (304.89 * (N49)) + (90.79 *Crescimento!#REF!) - (3.13 * Crescimento!#REF!*Crescimento!#REF!)</f>
        <v>#REF!</v>
      </c>
      <c r="P49" s="1"/>
      <c r="Q49" s="6" t="e">
        <f>(R48+(Crescimento!#REF!-(R48*0.64))/0.8)/1000</f>
        <v>#REF!</v>
      </c>
      <c r="R49" s="7" t="e">
        <f>-53.07 + (304.89 * (Q49)) + (90.79 *Crescimento!#REF!) - (3.13 * Crescimento!#REF!*Crescimento!#REF!)</f>
        <v>#REF!</v>
      </c>
      <c r="T49" s="6" t="e">
        <f>(U48+(Crescimento!#REF!-(U48*0.64))/0.8)/1000</f>
        <v>#REF!</v>
      </c>
      <c r="U49" s="7" t="e">
        <f>-53.07 + (304.89 * (T49)) + (90.79 *Crescimento!#REF!) - (3.13 * Crescimento!#REF!*Crescimento!#REF!)</f>
        <v>#REF!</v>
      </c>
      <c r="W49" s="6" t="e">
        <f>(X48+(Crescimento!#REF!-(X48*0.64))/0.8)/1000</f>
        <v>#REF!</v>
      </c>
      <c r="X49" s="7" t="e">
        <f>-53.07 + (304.89 * (W49)) + (90.79 *Crescimento!#REF!) - (3.13 * Crescimento!#REF!*Crescimento!#REF!)</f>
        <v>#REF!</v>
      </c>
      <c r="Z49" s="6" t="e">
        <f>(AA48+(Crescimento!#REF!-(AA48*0.64))/0.8)/1000</f>
        <v>#REF!</v>
      </c>
      <c r="AA49" s="7" t="e">
        <f>-53.07 + (304.89 * (Z49)) + (90.79 *Crescimento!#REF!) - (3.13 * Crescimento!#REF!*Crescimento!#REF!)</f>
        <v>#REF!</v>
      </c>
      <c r="AB49" s="1"/>
      <c r="AC49" s="6" t="e">
        <f>(AD48+(Crescimento!#REF!-(AD48*0.64))/0.8)/1000</f>
        <v>#REF!</v>
      </c>
      <c r="AD49" s="7" t="e">
        <f>-53.07 + (304.89 * (AC49)) + (90.79 *Crescimento!#REF!) - (3.13 * Crescimento!#REF!*Crescimento!#REF!)</f>
        <v>#REF!</v>
      </c>
      <c r="AF49" s="6" t="e">
        <f>(AG48+(Crescimento!#REF!-(AG48*0.64))/0.8)/1000</f>
        <v>#REF!</v>
      </c>
      <c r="AG49" s="7" t="e">
        <f>-53.07 + (304.89 * (AF49)) + (90.79 *Crescimento!#REF!) - (3.13 * Crescimento!#REF!*Crescimento!#REF!)</f>
        <v>#REF!</v>
      </c>
      <c r="AI49" s="6" t="e">
        <f>(AJ48+(Crescimento!#REF!-(AJ48*0.64))/0.8)/1000</f>
        <v>#REF!</v>
      </c>
      <c r="AJ49" s="7" t="e">
        <f>-53.07 + (304.89 * (AI49)) + (90.79 *Crescimento!#REF!) - (3.13 * Crescimento!#REF!*Crescimento!#REF!)</f>
        <v>#REF!</v>
      </c>
      <c r="AL49" s="6" t="e">
        <f>(AM48+(Crescimento!#REF!-(AM48*0.64))/0.8)/1000</f>
        <v>#REF!</v>
      </c>
      <c r="AM49" s="7" t="e">
        <f>-53.07 + (304.89 * (AL49)) + (90.79 *Crescimento!#REF!) - (3.13 * Crescimento!#REF!*Crescimento!#REF!)</f>
        <v>#REF!</v>
      </c>
      <c r="AN49" s="1"/>
      <c r="AO49" s="6" t="e">
        <f>(AP48+(Crescimento!#REF!-(AP48*0.64))/0.8)/1000</f>
        <v>#REF!</v>
      </c>
      <c r="AP49" s="7" t="e">
        <f>-53.07 + (304.89 * (AO49)) + (90.79 *Crescimento!#REF!) - (3.13 * Crescimento!#REF!*Crescimento!#REF!)</f>
        <v>#REF!</v>
      </c>
      <c r="AR49" s="6" t="e">
        <f>(AS48+(Crescimento!#REF!-(AS48*0.64))/0.8)/1000</f>
        <v>#REF!</v>
      </c>
      <c r="AS49" s="7" t="e">
        <f>-53.07 + (304.89 * (AR49)) + (90.79 *Crescimento!#REF!) - (3.13 * Crescimento!#REF!*Crescimento!#REF!)</f>
        <v>#REF!</v>
      </c>
      <c r="AU49" s="6" t="e">
        <f>(AV48+(Crescimento!#REF!-(AV48*0.64))/0.8)/1000</f>
        <v>#REF!</v>
      </c>
      <c r="AV49" s="7" t="e">
        <f>-53.07 + (304.89 * (AU49)) + (90.79 *Crescimento!#REF!) - (3.13 * Crescimento!#REF!*Crescimento!#REF!)</f>
        <v>#REF!</v>
      </c>
      <c r="AX49" s="6" t="e">
        <f>(AY48+(Crescimento!#REF!-(AY48*0.64))/0.8)/1000</f>
        <v>#REF!</v>
      </c>
      <c r="AY49" s="7" t="e">
        <f>-53.07 + (304.89 * (AX49)) + (90.79 *Crescimento!#REF!) - (3.13 * Crescimento!#REF!*Crescimento!#REF!)</f>
        <v>#REF!</v>
      </c>
      <c r="AZ49" s="1"/>
      <c r="BA49" s="6" t="e">
        <f>(BB48+(Crescimento!#REF!-(BB48*0.64))/0.8)/1000</f>
        <v>#REF!</v>
      </c>
      <c r="BB49" s="7" t="e">
        <f>-53.07 + (304.89 * (BA49)) + (90.79 *Crescimento!#REF!) - (3.13 * Crescimento!#REF!*Crescimento!#REF!)</f>
        <v>#REF!</v>
      </c>
      <c r="BD49" s="6" t="e">
        <f>(BE48+(Crescimento!#REF!-(BE48*0.64))/0.8)/1000</f>
        <v>#REF!</v>
      </c>
      <c r="BE49" s="7" t="e">
        <f>-53.07 + (304.89 * (BD49)) + (90.79 *Crescimento!#REF!) - (3.13 * Crescimento!#REF!*Crescimento!#REF!)</f>
        <v>#REF!</v>
      </c>
      <c r="BG49" s="6" t="e">
        <f>(BH48+(Crescimento!#REF!-(BH48*0.64))/0.8)/1000</f>
        <v>#REF!</v>
      </c>
      <c r="BH49" s="7" t="e">
        <f>-53.07 + (304.89 * (BG49)) + (90.79 *Crescimento!#REF!) - (3.13 * Crescimento!#REF!*Crescimento!#REF!)</f>
        <v>#REF!</v>
      </c>
      <c r="BJ49" s="6" t="e">
        <f>(BK48+(Crescimento!#REF!-(BK48*0.64))/0.8)/1000</f>
        <v>#REF!</v>
      </c>
      <c r="BK49" s="7" t="e">
        <f>-53.07 + (304.89 * (BJ49)) + (90.79 *Crescimento!#REF!) - (3.13 * Crescimento!#REF!*Crescimento!#REF!)</f>
        <v>#REF!</v>
      </c>
      <c r="BL49" s="1"/>
      <c r="BM49" s="6" t="e">
        <f>(BN48+(Crescimento!#REF!-(BN48*0.64))/0.8)/1000</f>
        <v>#REF!</v>
      </c>
      <c r="BN49" s="7" t="e">
        <f>-53.07 + (304.89 * (BM49)) + (90.79 *Crescimento!#REF!) - (3.13 * Crescimento!#REF!*Crescimento!#REF!)</f>
        <v>#REF!</v>
      </c>
      <c r="BP49" s="6" t="e">
        <f>(BQ48+(Crescimento!#REF!-(BQ48*0.64))/0.8)/1000</f>
        <v>#REF!</v>
      </c>
      <c r="BQ49" s="7" t="e">
        <f>-53.07 + (304.89 * (BP49)) + (90.79 *Crescimento!#REF!) - (3.13 * Crescimento!#REF!*Crescimento!#REF!)</f>
        <v>#REF!</v>
      </c>
      <c r="BS49" s="6" t="e">
        <f>(BT48+(Crescimento!#REF!-(BT48*0.64))/0.8)/1000</f>
        <v>#REF!</v>
      </c>
      <c r="BT49" s="7" t="e">
        <f>-53.07 + (304.89 * (BS49)) + (90.79 *Crescimento!#REF!) - (3.13 * Crescimento!#REF!*Crescimento!#REF!)</f>
        <v>#REF!</v>
      </c>
      <c r="BV49" s="6" t="e">
        <f>(BW48+(Crescimento!#REF!-(BW48*0.64))/0.8)/1000</f>
        <v>#REF!</v>
      </c>
      <c r="BW49" s="7" t="e">
        <f>-53.07 + (304.89 * (BV49)) + (90.79 *Crescimento!#REF!) - (3.13 * Crescimento!#REF!*Crescimento!#REF!)</f>
        <v>#REF!</v>
      </c>
      <c r="BX49" s="1"/>
      <c r="BY49" s="6" t="e">
        <f>(BZ48+(Crescimento!#REF!-(BZ48*0.64))/0.8)/1000</f>
        <v>#REF!</v>
      </c>
      <c r="BZ49" s="7" t="e">
        <f>-53.07 + (304.89 * (BY49)) + (90.79 *Crescimento!#REF!) - (3.13 * Crescimento!#REF!*Crescimento!#REF!)</f>
        <v>#REF!</v>
      </c>
      <c r="CB49" s="6" t="e">
        <f>(CC48+(Crescimento!#REF!-(CC48*0.64))/0.8)/1000</f>
        <v>#REF!</v>
      </c>
      <c r="CC49" s="7" t="e">
        <f>-53.07 + (304.89 * (CB49)) + (90.79 *Crescimento!#REF!) - (3.13 * Crescimento!#REF!*Crescimento!#REF!)</f>
        <v>#REF!</v>
      </c>
      <c r="CE49" s="6" t="e">
        <f>(CF48+(Crescimento!#REF!-(CF48*0.64))/0.8)/1000</f>
        <v>#REF!</v>
      </c>
      <c r="CF49" s="7" t="e">
        <f>-53.07 + (304.89 * (CE49)) + (90.79 *Crescimento!#REF!) - (3.13 * Crescimento!#REF!*Crescimento!#REF!)</f>
        <v>#REF!</v>
      </c>
      <c r="CH49" s="6" t="e">
        <f>(CI48+(Crescimento!#REF!-(CI48*0.64))/0.8)/1000</f>
        <v>#REF!</v>
      </c>
      <c r="CI49" s="7" t="e">
        <f>-53.07 + (304.89 * (CH49)) + (90.79 *Crescimento!#REF!) - (3.13 * Crescimento!#REF!*Crescimento!#REF!)</f>
        <v>#REF!</v>
      </c>
      <c r="CJ49" s="1"/>
      <c r="CK49" s="6" t="e">
        <f>(CL48+(Crescimento!#REF!-(CL48*0.64))/0.8)/1000</f>
        <v>#REF!</v>
      </c>
      <c r="CL49" s="7" t="e">
        <f>-53.07 + (304.89 * (CK49)) + (90.79 *Crescimento!#REF!) - (3.13 * Crescimento!#REF!*Crescimento!#REF!)</f>
        <v>#REF!</v>
      </c>
      <c r="CN49" s="6" t="e">
        <f>(CO48+(Crescimento!#REF!-(CO48*0.64))/0.8)/1000</f>
        <v>#REF!</v>
      </c>
      <c r="CO49" s="7" t="e">
        <f>-53.07 + (304.89 * (CN49)) + (90.79 *Crescimento!#REF!) - (3.13 * Crescimento!#REF!*Crescimento!#REF!)</f>
        <v>#REF!</v>
      </c>
      <c r="CQ49" s="6" t="e">
        <f>(CR48+(Crescimento!#REF!-(CR48*0.64))/0.8)/1000</f>
        <v>#REF!</v>
      </c>
      <c r="CR49" s="7" t="e">
        <f>-53.07 + (304.89 * (CQ49)) + (90.79 *Crescimento!#REF!) - (3.13 * Crescimento!#REF!*Crescimento!#REF!)</f>
        <v>#REF!</v>
      </c>
    </row>
    <row r="50" spans="2:96" x14ac:dyDescent="0.25">
      <c r="B50" s="6">
        <f>(C49+(Crescimento!$Q$27-(C49*0.64))/0.8)/1000</f>
        <v>1.1187993738011861</v>
      </c>
      <c r="C50" s="8">
        <f>-53.07 + (304.89 * (B50)) + (90.79 *Crescimento!$Q$20) - (3.13 * Crescimento!$Q$20*Crescimento!$Q$20)</f>
        <v>757.4287040082213</v>
      </c>
      <c r="D50" s="1"/>
      <c r="E50" s="6" t="e">
        <f>(F49+(Crescimento!#REF!-(F49*0.64))/0.8)/1000</f>
        <v>#REF!</v>
      </c>
      <c r="F50" s="7" t="e">
        <f>-53.07 + (304.89 * (E50)) + (90.79 *Crescimento!#REF!) - (3.13 * Crescimento!#REF!*Crescimento!#REF!)</f>
        <v>#REF!</v>
      </c>
      <c r="H50" s="6" t="e">
        <f>(I49+(Crescimento!#REF!-(I49*0.64))/0.8)/1000</f>
        <v>#REF!</v>
      </c>
      <c r="I50" s="7" t="e">
        <f>-53.07 + (304.89 * (H50)) + (90.79 *Crescimento!#REF!) - (3.13 * Crescimento!#REF!*Crescimento!#REF!)</f>
        <v>#REF!</v>
      </c>
      <c r="K50" s="6" t="e">
        <f>(L49+(Crescimento!#REF!-(L49*0.64))/0.8)/1000</f>
        <v>#REF!</v>
      </c>
      <c r="L50" s="7" t="e">
        <f>-53.07 + (304.89 * (K50)) + (90.79 *Crescimento!#REF!) - (3.13 * Crescimento!#REF!*Crescimento!#REF!)</f>
        <v>#REF!</v>
      </c>
      <c r="N50" s="6" t="e">
        <f>(O49+(Crescimento!#REF!-(O49*0.64))/0.8)/1000</f>
        <v>#REF!</v>
      </c>
      <c r="O50" s="7" t="e">
        <f>-53.07 + (304.89 * (N50)) + (90.79 *Crescimento!#REF!) - (3.13 * Crescimento!#REF!*Crescimento!#REF!)</f>
        <v>#REF!</v>
      </c>
      <c r="P50" s="1"/>
      <c r="Q50" s="6" t="e">
        <f>(R49+(Crescimento!#REF!-(R49*0.64))/0.8)/1000</f>
        <v>#REF!</v>
      </c>
      <c r="R50" s="7" t="e">
        <f>-53.07 + (304.89 * (Q50)) + (90.79 *Crescimento!#REF!) - (3.13 * Crescimento!#REF!*Crescimento!#REF!)</f>
        <v>#REF!</v>
      </c>
      <c r="T50" s="6" t="e">
        <f>(U49+(Crescimento!#REF!-(U49*0.64))/0.8)/1000</f>
        <v>#REF!</v>
      </c>
      <c r="U50" s="7" t="e">
        <f>-53.07 + (304.89 * (T50)) + (90.79 *Crescimento!#REF!) - (3.13 * Crescimento!#REF!*Crescimento!#REF!)</f>
        <v>#REF!</v>
      </c>
      <c r="W50" s="6" t="e">
        <f>(X49+(Crescimento!#REF!-(X49*0.64))/0.8)/1000</f>
        <v>#REF!</v>
      </c>
      <c r="X50" s="7" t="e">
        <f>-53.07 + (304.89 * (W50)) + (90.79 *Crescimento!#REF!) - (3.13 * Crescimento!#REF!*Crescimento!#REF!)</f>
        <v>#REF!</v>
      </c>
      <c r="Z50" s="6" t="e">
        <f>(AA49+(Crescimento!#REF!-(AA49*0.64))/0.8)/1000</f>
        <v>#REF!</v>
      </c>
      <c r="AA50" s="7" t="e">
        <f>-53.07 + (304.89 * (Z50)) + (90.79 *Crescimento!#REF!) - (3.13 * Crescimento!#REF!*Crescimento!#REF!)</f>
        <v>#REF!</v>
      </c>
      <c r="AB50" s="1"/>
      <c r="AC50" s="6" t="e">
        <f>(AD49+(Crescimento!#REF!-(AD49*0.64))/0.8)/1000</f>
        <v>#REF!</v>
      </c>
      <c r="AD50" s="7" t="e">
        <f>-53.07 + (304.89 * (AC50)) + (90.79 *Crescimento!#REF!) - (3.13 * Crescimento!#REF!*Crescimento!#REF!)</f>
        <v>#REF!</v>
      </c>
      <c r="AF50" s="6" t="e">
        <f>(AG49+(Crescimento!#REF!-(AG49*0.64))/0.8)/1000</f>
        <v>#REF!</v>
      </c>
      <c r="AG50" s="7" t="e">
        <f>-53.07 + (304.89 * (AF50)) + (90.79 *Crescimento!#REF!) - (3.13 * Crescimento!#REF!*Crescimento!#REF!)</f>
        <v>#REF!</v>
      </c>
      <c r="AI50" s="6" t="e">
        <f>(AJ49+(Crescimento!#REF!-(AJ49*0.64))/0.8)/1000</f>
        <v>#REF!</v>
      </c>
      <c r="AJ50" s="7" t="e">
        <f>-53.07 + (304.89 * (AI50)) + (90.79 *Crescimento!#REF!) - (3.13 * Crescimento!#REF!*Crescimento!#REF!)</f>
        <v>#REF!</v>
      </c>
      <c r="AL50" s="6" t="e">
        <f>(AM49+(Crescimento!#REF!-(AM49*0.64))/0.8)/1000</f>
        <v>#REF!</v>
      </c>
      <c r="AM50" s="7" t="e">
        <f>-53.07 + (304.89 * (AL50)) + (90.79 *Crescimento!#REF!) - (3.13 * Crescimento!#REF!*Crescimento!#REF!)</f>
        <v>#REF!</v>
      </c>
      <c r="AN50" s="1"/>
      <c r="AO50" s="6" t="e">
        <f>(AP49+(Crescimento!#REF!-(AP49*0.64))/0.8)/1000</f>
        <v>#REF!</v>
      </c>
      <c r="AP50" s="7" t="e">
        <f>-53.07 + (304.89 * (AO50)) + (90.79 *Crescimento!#REF!) - (3.13 * Crescimento!#REF!*Crescimento!#REF!)</f>
        <v>#REF!</v>
      </c>
      <c r="AR50" s="6" t="e">
        <f>(AS49+(Crescimento!#REF!-(AS49*0.64))/0.8)/1000</f>
        <v>#REF!</v>
      </c>
      <c r="AS50" s="7" t="e">
        <f>-53.07 + (304.89 * (AR50)) + (90.79 *Crescimento!#REF!) - (3.13 * Crescimento!#REF!*Crescimento!#REF!)</f>
        <v>#REF!</v>
      </c>
      <c r="AU50" s="6" t="e">
        <f>(AV49+(Crescimento!#REF!-(AV49*0.64))/0.8)/1000</f>
        <v>#REF!</v>
      </c>
      <c r="AV50" s="7" t="e">
        <f>-53.07 + (304.89 * (AU50)) + (90.79 *Crescimento!#REF!) - (3.13 * Crescimento!#REF!*Crescimento!#REF!)</f>
        <v>#REF!</v>
      </c>
      <c r="AX50" s="6" t="e">
        <f>(AY49+(Crescimento!#REF!-(AY49*0.64))/0.8)/1000</f>
        <v>#REF!</v>
      </c>
      <c r="AY50" s="7" t="e">
        <f>-53.07 + (304.89 * (AX50)) + (90.79 *Crescimento!#REF!) - (3.13 * Crescimento!#REF!*Crescimento!#REF!)</f>
        <v>#REF!</v>
      </c>
      <c r="AZ50" s="1"/>
      <c r="BA50" s="6" t="e">
        <f>(BB49+(Crescimento!#REF!-(BB49*0.64))/0.8)/1000</f>
        <v>#REF!</v>
      </c>
      <c r="BB50" s="7" t="e">
        <f>-53.07 + (304.89 * (BA50)) + (90.79 *Crescimento!#REF!) - (3.13 * Crescimento!#REF!*Crescimento!#REF!)</f>
        <v>#REF!</v>
      </c>
      <c r="BD50" s="6" t="e">
        <f>(BE49+(Crescimento!#REF!-(BE49*0.64))/0.8)/1000</f>
        <v>#REF!</v>
      </c>
      <c r="BE50" s="7" t="e">
        <f>-53.07 + (304.89 * (BD50)) + (90.79 *Crescimento!#REF!) - (3.13 * Crescimento!#REF!*Crescimento!#REF!)</f>
        <v>#REF!</v>
      </c>
      <c r="BG50" s="6" t="e">
        <f>(BH49+(Crescimento!#REF!-(BH49*0.64))/0.8)/1000</f>
        <v>#REF!</v>
      </c>
      <c r="BH50" s="7" t="e">
        <f>-53.07 + (304.89 * (BG50)) + (90.79 *Crescimento!#REF!) - (3.13 * Crescimento!#REF!*Crescimento!#REF!)</f>
        <v>#REF!</v>
      </c>
      <c r="BJ50" s="6" t="e">
        <f>(BK49+(Crescimento!#REF!-(BK49*0.64))/0.8)/1000</f>
        <v>#REF!</v>
      </c>
      <c r="BK50" s="7" t="e">
        <f>-53.07 + (304.89 * (BJ50)) + (90.79 *Crescimento!#REF!) - (3.13 * Crescimento!#REF!*Crescimento!#REF!)</f>
        <v>#REF!</v>
      </c>
      <c r="BL50" s="1"/>
      <c r="BM50" s="6" t="e">
        <f>(BN49+(Crescimento!#REF!-(BN49*0.64))/0.8)/1000</f>
        <v>#REF!</v>
      </c>
      <c r="BN50" s="7" t="e">
        <f>-53.07 + (304.89 * (BM50)) + (90.79 *Crescimento!#REF!) - (3.13 * Crescimento!#REF!*Crescimento!#REF!)</f>
        <v>#REF!</v>
      </c>
      <c r="BP50" s="6" t="e">
        <f>(BQ49+(Crescimento!#REF!-(BQ49*0.64))/0.8)/1000</f>
        <v>#REF!</v>
      </c>
      <c r="BQ50" s="7" t="e">
        <f>-53.07 + (304.89 * (BP50)) + (90.79 *Crescimento!#REF!) - (3.13 * Crescimento!#REF!*Crescimento!#REF!)</f>
        <v>#REF!</v>
      </c>
      <c r="BS50" s="6" t="e">
        <f>(BT49+(Crescimento!#REF!-(BT49*0.64))/0.8)/1000</f>
        <v>#REF!</v>
      </c>
      <c r="BT50" s="7" t="e">
        <f>-53.07 + (304.89 * (BS50)) + (90.79 *Crescimento!#REF!) - (3.13 * Crescimento!#REF!*Crescimento!#REF!)</f>
        <v>#REF!</v>
      </c>
      <c r="BV50" s="6" t="e">
        <f>(BW49+(Crescimento!#REF!-(BW49*0.64))/0.8)/1000</f>
        <v>#REF!</v>
      </c>
      <c r="BW50" s="7" t="e">
        <f>-53.07 + (304.89 * (BV50)) + (90.79 *Crescimento!#REF!) - (3.13 * Crescimento!#REF!*Crescimento!#REF!)</f>
        <v>#REF!</v>
      </c>
      <c r="BX50" s="1"/>
      <c r="BY50" s="6" t="e">
        <f>(BZ49+(Crescimento!#REF!-(BZ49*0.64))/0.8)/1000</f>
        <v>#REF!</v>
      </c>
      <c r="BZ50" s="7" t="e">
        <f>-53.07 + (304.89 * (BY50)) + (90.79 *Crescimento!#REF!) - (3.13 * Crescimento!#REF!*Crescimento!#REF!)</f>
        <v>#REF!</v>
      </c>
      <c r="CB50" s="6" t="e">
        <f>(CC49+(Crescimento!#REF!-(CC49*0.64))/0.8)/1000</f>
        <v>#REF!</v>
      </c>
      <c r="CC50" s="7" t="e">
        <f>-53.07 + (304.89 * (CB50)) + (90.79 *Crescimento!#REF!) - (3.13 * Crescimento!#REF!*Crescimento!#REF!)</f>
        <v>#REF!</v>
      </c>
      <c r="CE50" s="6" t="e">
        <f>(CF49+(Crescimento!#REF!-(CF49*0.64))/0.8)/1000</f>
        <v>#REF!</v>
      </c>
      <c r="CF50" s="7" t="e">
        <f>-53.07 + (304.89 * (CE50)) + (90.79 *Crescimento!#REF!) - (3.13 * Crescimento!#REF!*Crescimento!#REF!)</f>
        <v>#REF!</v>
      </c>
      <c r="CH50" s="6" t="e">
        <f>(CI49+(Crescimento!#REF!-(CI49*0.64))/0.8)/1000</f>
        <v>#REF!</v>
      </c>
      <c r="CI50" s="7" t="e">
        <f>-53.07 + (304.89 * (CH50)) + (90.79 *Crescimento!#REF!) - (3.13 * Crescimento!#REF!*Crescimento!#REF!)</f>
        <v>#REF!</v>
      </c>
      <c r="CJ50" s="1"/>
      <c r="CK50" s="6" t="e">
        <f>(CL49+(Crescimento!#REF!-(CL49*0.64))/0.8)/1000</f>
        <v>#REF!</v>
      </c>
      <c r="CL50" s="7" t="e">
        <f>-53.07 + (304.89 * (CK50)) + (90.79 *Crescimento!#REF!) - (3.13 * Crescimento!#REF!*Crescimento!#REF!)</f>
        <v>#REF!</v>
      </c>
      <c r="CN50" s="6" t="e">
        <f>(CO49+(Crescimento!#REF!-(CO49*0.64))/0.8)/1000</f>
        <v>#REF!</v>
      </c>
      <c r="CO50" s="7" t="e">
        <f>-53.07 + (304.89 * (CN50)) + (90.79 *Crescimento!#REF!) - (3.13 * Crescimento!#REF!*Crescimento!#REF!)</f>
        <v>#REF!</v>
      </c>
      <c r="CQ50" s="6" t="e">
        <f>(CR49+(Crescimento!#REF!-(CR49*0.64))/0.8)/1000</f>
        <v>#REF!</v>
      </c>
      <c r="CR50" s="7" t="e">
        <f>-53.07 + (304.89 * (CQ50)) + (90.79 *Crescimento!#REF!) - (3.13 * Crescimento!#REF!*Crescimento!#REF!)</f>
        <v>#REF!</v>
      </c>
    </row>
    <row r="51" spans="2:96" x14ac:dyDescent="0.25">
      <c r="B51" s="6">
        <f>(C50+(Crescimento!$Q$27-(C50*0.64))/0.8)/1000</f>
        <v>1.1187993738011861</v>
      </c>
      <c r="C51" s="8">
        <f>-53.07 + (304.89 * (B51)) + (90.79 *Crescimento!$Q$20) - (3.13 * Crescimento!$Q$20*Crescimento!$Q$20)</f>
        <v>757.4287040082213</v>
      </c>
      <c r="D51" s="1"/>
      <c r="E51" s="6" t="e">
        <f>(F50+(Crescimento!#REF!-(F50*0.64))/0.8)/1000</f>
        <v>#REF!</v>
      </c>
      <c r="F51" s="7" t="e">
        <f>-53.07 + (304.89 * (E51)) + (90.79 *Crescimento!#REF!) - (3.13 * Crescimento!#REF!*Crescimento!#REF!)</f>
        <v>#REF!</v>
      </c>
      <c r="H51" s="6" t="e">
        <f>(I50+(Crescimento!#REF!-(I50*0.64))/0.8)/1000</f>
        <v>#REF!</v>
      </c>
      <c r="I51" s="7" t="e">
        <f>-53.07 + (304.89 * (H51)) + (90.79 *Crescimento!#REF!) - (3.13 * Crescimento!#REF!*Crescimento!#REF!)</f>
        <v>#REF!</v>
      </c>
      <c r="K51" s="6" t="e">
        <f>(L50+(Crescimento!#REF!-(L50*0.64))/0.8)/1000</f>
        <v>#REF!</v>
      </c>
      <c r="L51" s="7" t="e">
        <f>-53.07 + (304.89 * (K51)) + (90.79 *Crescimento!#REF!) - (3.13 * Crescimento!#REF!*Crescimento!#REF!)</f>
        <v>#REF!</v>
      </c>
      <c r="N51" s="6" t="e">
        <f>(O50+(Crescimento!#REF!-(O50*0.64))/0.8)/1000</f>
        <v>#REF!</v>
      </c>
      <c r="O51" s="7" t="e">
        <f>-53.07 + (304.89 * (N51)) + (90.79 *Crescimento!#REF!) - (3.13 * Crescimento!#REF!*Crescimento!#REF!)</f>
        <v>#REF!</v>
      </c>
      <c r="P51" s="1"/>
      <c r="Q51" s="6" t="e">
        <f>(R50+(Crescimento!#REF!-(R50*0.64))/0.8)/1000</f>
        <v>#REF!</v>
      </c>
      <c r="R51" s="7" t="e">
        <f>-53.07 + (304.89 * (Q51)) + (90.79 *Crescimento!#REF!) - (3.13 * Crescimento!#REF!*Crescimento!#REF!)</f>
        <v>#REF!</v>
      </c>
      <c r="T51" s="6" t="e">
        <f>(U50+(Crescimento!#REF!-(U50*0.64))/0.8)/1000</f>
        <v>#REF!</v>
      </c>
      <c r="U51" s="7" t="e">
        <f>-53.07 + (304.89 * (T51)) + (90.79 *Crescimento!#REF!) - (3.13 * Crescimento!#REF!*Crescimento!#REF!)</f>
        <v>#REF!</v>
      </c>
      <c r="W51" s="6" t="e">
        <f>(X50+(Crescimento!#REF!-(X50*0.64))/0.8)/1000</f>
        <v>#REF!</v>
      </c>
      <c r="X51" s="7" t="e">
        <f>-53.07 + (304.89 * (W51)) + (90.79 *Crescimento!#REF!) - (3.13 * Crescimento!#REF!*Crescimento!#REF!)</f>
        <v>#REF!</v>
      </c>
      <c r="Z51" s="6" t="e">
        <f>(AA50+(Crescimento!#REF!-(AA50*0.64))/0.8)/1000</f>
        <v>#REF!</v>
      </c>
      <c r="AA51" s="7" t="e">
        <f>-53.07 + (304.89 * (Z51)) + (90.79 *Crescimento!#REF!) - (3.13 * Crescimento!#REF!*Crescimento!#REF!)</f>
        <v>#REF!</v>
      </c>
      <c r="AB51" s="1"/>
      <c r="AC51" s="6" t="e">
        <f>(AD50+(Crescimento!#REF!-(AD50*0.64))/0.8)/1000</f>
        <v>#REF!</v>
      </c>
      <c r="AD51" s="7" t="e">
        <f>-53.07 + (304.89 * (AC51)) + (90.79 *Crescimento!#REF!) - (3.13 * Crescimento!#REF!*Crescimento!#REF!)</f>
        <v>#REF!</v>
      </c>
      <c r="AF51" s="6" t="e">
        <f>(AG50+(Crescimento!#REF!-(AG50*0.64))/0.8)/1000</f>
        <v>#REF!</v>
      </c>
      <c r="AG51" s="7" t="e">
        <f>-53.07 + (304.89 * (AF51)) + (90.79 *Crescimento!#REF!) - (3.13 * Crescimento!#REF!*Crescimento!#REF!)</f>
        <v>#REF!</v>
      </c>
      <c r="AI51" s="6" t="e">
        <f>(AJ50+(Crescimento!#REF!-(AJ50*0.64))/0.8)/1000</f>
        <v>#REF!</v>
      </c>
      <c r="AJ51" s="7" t="e">
        <f>-53.07 + (304.89 * (AI51)) + (90.79 *Crescimento!#REF!) - (3.13 * Crescimento!#REF!*Crescimento!#REF!)</f>
        <v>#REF!</v>
      </c>
      <c r="AL51" s="6" t="e">
        <f>(AM50+(Crescimento!#REF!-(AM50*0.64))/0.8)/1000</f>
        <v>#REF!</v>
      </c>
      <c r="AM51" s="7" t="e">
        <f>-53.07 + (304.89 * (AL51)) + (90.79 *Crescimento!#REF!) - (3.13 * Crescimento!#REF!*Crescimento!#REF!)</f>
        <v>#REF!</v>
      </c>
      <c r="AN51" s="1"/>
      <c r="AO51" s="6" t="e">
        <f>(AP50+(Crescimento!#REF!-(AP50*0.64))/0.8)/1000</f>
        <v>#REF!</v>
      </c>
      <c r="AP51" s="7" t="e">
        <f>-53.07 + (304.89 * (AO51)) + (90.79 *Crescimento!#REF!) - (3.13 * Crescimento!#REF!*Crescimento!#REF!)</f>
        <v>#REF!</v>
      </c>
      <c r="AR51" s="6" t="e">
        <f>(AS50+(Crescimento!#REF!-(AS50*0.64))/0.8)/1000</f>
        <v>#REF!</v>
      </c>
      <c r="AS51" s="7" t="e">
        <f>-53.07 + (304.89 * (AR51)) + (90.79 *Crescimento!#REF!) - (3.13 * Crescimento!#REF!*Crescimento!#REF!)</f>
        <v>#REF!</v>
      </c>
      <c r="AU51" s="6" t="e">
        <f>(AV50+(Crescimento!#REF!-(AV50*0.64))/0.8)/1000</f>
        <v>#REF!</v>
      </c>
      <c r="AV51" s="7" t="e">
        <f>-53.07 + (304.89 * (AU51)) + (90.79 *Crescimento!#REF!) - (3.13 * Crescimento!#REF!*Crescimento!#REF!)</f>
        <v>#REF!</v>
      </c>
      <c r="AX51" s="6" t="e">
        <f>(AY50+(Crescimento!#REF!-(AY50*0.64))/0.8)/1000</f>
        <v>#REF!</v>
      </c>
      <c r="AY51" s="7" t="e">
        <f>-53.07 + (304.89 * (AX51)) + (90.79 *Crescimento!#REF!) - (3.13 * Crescimento!#REF!*Crescimento!#REF!)</f>
        <v>#REF!</v>
      </c>
      <c r="AZ51" s="1"/>
      <c r="BA51" s="6" t="e">
        <f>(BB50+(Crescimento!#REF!-(BB50*0.64))/0.8)/1000</f>
        <v>#REF!</v>
      </c>
      <c r="BB51" s="7" t="e">
        <f>-53.07 + (304.89 * (BA51)) + (90.79 *Crescimento!#REF!) - (3.13 * Crescimento!#REF!*Crescimento!#REF!)</f>
        <v>#REF!</v>
      </c>
      <c r="BD51" s="6" t="e">
        <f>(BE50+(Crescimento!#REF!-(BE50*0.64))/0.8)/1000</f>
        <v>#REF!</v>
      </c>
      <c r="BE51" s="7" t="e">
        <f>-53.07 + (304.89 * (BD51)) + (90.79 *Crescimento!#REF!) - (3.13 * Crescimento!#REF!*Crescimento!#REF!)</f>
        <v>#REF!</v>
      </c>
      <c r="BG51" s="6" t="e">
        <f>(BH50+(Crescimento!#REF!-(BH50*0.64))/0.8)/1000</f>
        <v>#REF!</v>
      </c>
      <c r="BH51" s="7" t="e">
        <f>-53.07 + (304.89 * (BG51)) + (90.79 *Crescimento!#REF!) - (3.13 * Crescimento!#REF!*Crescimento!#REF!)</f>
        <v>#REF!</v>
      </c>
      <c r="BJ51" s="6" t="e">
        <f>(BK50+(Crescimento!#REF!-(BK50*0.64))/0.8)/1000</f>
        <v>#REF!</v>
      </c>
      <c r="BK51" s="7" t="e">
        <f>-53.07 + (304.89 * (BJ51)) + (90.79 *Crescimento!#REF!) - (3.13 * Crescimento!#REF!*Crescimento!#REF!)</f>
        <v>#REF!</v>
      </c>
      <c r="BL51" s="1"/>
      <c r="BM51" s="6" t="e">
        <f>(BN50+(Crescimento!#REF!-(BN50*0.64))/0.8)/1000</f>
        <v>#REF!</v>
      </c>
      <c r="BN51" s="7" t="e">
        <f>-53.07 + (304.89 * (BM51)) + (90.79 *Crescimento!#REF!) - (3.13 * Crescimento!#REF!*Crescimento!#REF!)</f>
        <v>#REF!</v>
      </c>
      <c r="BP51" s="6" t="e">
        <f>(BQ50+(Crescimento!#REF!-(BQ50*0.64))/0.8)/1000</f>
        <v>#REF!</v>
      </c>
      <c r="BQ51" s="7" t="e">
        <f>-53.07 + (304.89 * (BP51)) + (90.79 *Crescimento!#REF!) - (3.13 * Crescimento!#REF!*Crescimento!#REF!)</f>
        <v>#REF!</v>
      </c>
      <c r="BS51" s="6" t="e">
        <f>(BT50+(Crescimento!#REF!-(BT50*0.64))/0.8)/1000</f>
        <v>#REF!</v>
      </c>
      <c r="BT51" s="7" t="e">
        <f>-53.07 + (304.89 * (BS51)) + (90.79 *Crescimento!#REF!) - (3.13 * Crescimento!#REF!*Crescimento!#REF!)</f>
        <v>#REF!</v>
      </c>
      <c r="BV51" s="6" t="e">
        <f>(BW50+(Crescimento!#REF!-(BW50*0.64))/0.8)/1000</f>
        <v>#REF!</v>
      </c>
      <c r="BW51" s="7" t="e">
        <f>-53.07 + (304.89 * (BV51)) + (90.79 *Crescimento!#REF!) - (3.13 * Crescimento!#REF!*Crescimento!#REF!)</f>
        <v>#REF!</v>
      </c>
      <c r="BX51" s="1"/>
      <c r="BY51" s="6" t="e">
        <f>(BZ50+(Crescimento!#REF!-(BZ50*0.64))/0.8)/1000</f>
        <v>#REF!</v>
      </c>
      <c r="BZ51" s="7" t="e">
        <f>-53.07 + (304.89 * (BY51)) + (90.79 *Crescimento!#REF!) - (3.13 * Crescimento!#REF!*Crescimento!#REF!)</f>
        <v>#REF!</v>
      </c>
      <c r="CB51" s="6" t="e">
        <f>(CC50+(Crescimento!#REF!-(CC50*0.64))/0.8)/1000</f>
        <v>#REF!</v>
      </c>
      <c r="CC51" s="7" t="e">
        <f>-53.07 + (304.89 * (CB51)) + (90.79 *Crescimento!#REF!) - (3.13 * Crescimento!#REF!*Crescimento!#REF!)</f>
        <v>#REF!</v>
      </c>
      <c r="CE51" s="6" t="e">
        <f>(CF50+(Crescimento!#REF!-(CF50*0.64))/0.8)/1000</f>
        <v>#REF!</v>
      </c>
      <c r="CF51" s="7" t="e">
        <f>-53.07 + (304.89 * (CE51)) + (90.79 *Crescimento!#REF!) - (3.13 * Crescimento!#REF!*Crescimento!#REF!)</f>
        <v>#REF!</v>
      </c>
      <c r="CH51" s="6" t="e">
        <f>(CI50+(Crescimento!#REF!-(CI50*0.64))/0.8)/1000</f>
        <v>#REF!</v>
      </c>
      <c r="CI51" s="7" t="e">
        <f>-53.07 + (304.89 * (CH51)) + (90.79 *Crescimento!#REF!) - (3.13 * Crescimento!#REF!*Crescimento!#REF!)</f>
        <v>#REF!</v>
      </c>
      <c r="CJ51" s="1"/>
      <c r="CK51" s="6" t="e">
        <f>(CL50+(Crescimento!#REF!-(CL50*0.64))/0.8)/1000</f>
        <v>#REF!</v>
      </c>
      <c r="CL51" s="7" t="e">
        <f>-53.07 + (304.89 * (CK51)) + (90.79 *Crescimento!#REF!) - (3.13 * Crescimento!#REF!*Crescimento!#REF!)</f>
        <v>#REF!</v>
      </c>
      <c r="CN51" s="6" t="e">
        <f>(CO50+(Crescimento!#REF!-(CO50*0.64))/0.8)/1000</f>
        <v>#REF!</v>
      </c>
      <c r="CO51" s="7" t="e">
        <f>-53.07 + (304.89 * (CN51)) + (90.79 *Crescimento!#REF!) - (3.13 * Crescimento!#REF!*Crescimento!#REF!)</f>
        <v>#REF!</v>
      </c>
      <c r="CQ51" s="6" t="e">
        <f>(CR50+(Crescimento!#REF!-(CR50*0.64))/0.8)/1000</f>
        <v>#REF!</v>
      </c>
      <c r="CR51" s="7" t="e">
        <f>-53.07 + (304.89 * (CQ51)) + (90.79 *Crescimento!#REF!) - (3.13 * Crescimento!#REF!*Crescimento!#REF!)</f>
        <v>#REF!</v>
      </c>
    </row>
    <row r="52" spans="2:96" x14ac:dyDescent="0.25">
      <c r="B52" s="6">
        <f>(C51+(Crescimento!$Q$27-(C51*0.64))/0.8)/1000</f>
        <v>1.1187993738011861</v>
      </c>
      <c r="C52" s="8">
        <f>-53.07 + (304.89 * (B52)) + (90.79 *Crescimento!$Q$20) - (3.13 * Crescimento!$Q$20*Crescimento!$Q$20)</f>
        <v>757.4287040082213</v>
      </c>
      <c r="D52" s="1"/>
      <c r="E52" s="6" t="e">
        <f>(F51+(Crescimento!#REF!-(F51*0.64))/0.8)/1000</f>
        <v>#REF!</v>
      </c>
      <c r="F52" s="7" t="e">
        <f>-53.07 + (304.89 * (E52)) + (90.79 *Crescimento!#REF!) - (3.13 * Crescimento!#REF!*Crescimento!#REF!)</f>
        <v>#REF!</v>
      </c>
      <c r="H52" s="6" t="e">
        <f>(I51+(Crescimento!#REF!-(I51*0.64))/0.8)/1000</f>
        <v>#REF!</v>
      </c>
      <c r="I52" s="7" t="e">
        <f>-53.07 + (304.89 * (H52)) + (90.79 *Crescimento!#REF!) - (3.13 * Crescimento!#REF!*Crescimento!#REF!)</f>
        <v>#REF!</v>
      </c>
      <c r="K52" s="6" t="e">
        <f>(L51+(Crescimento!#REF!-(L51*0.64))/0.8)/1000</f>
        <v>#REF!</v>
      </c>
      <c r="L52" s="7" t="e">
        <f>-53.07 + (304.89 * (K52)) + (90.79 *Crescimento!#REF!) - (3.13 * Crescimento!#REF!*Crescimento!#REF!)</f>
        <v>#REF!</v>
      </c>
      <c r="N52" s="6" t="e">
        <f>(O51+(Crescimento!#REF!-(O51*0.64))/0.8)/1000</f>
        <v>#REF!</v>
      </c>
      <c r="O52" s="7" t="e">
        <f>-53.07 + (304.89 * (N52)) + (90.79 *Crescimento!#REF!) - (3.13 * Crescimento!#REF!*Crescimento!#REF!)</f>
        <v>#REF!</v>
      </c>
      <c r="P52" s="1"/>
      <c r="Q52" s="6" t="e">
        <f>(R51+(Crescimento!#REF!-(R51*0.64))/0.8)/1000</f>
        <v>#REF!</v>
      </c>
      <c r="R52" s="7" t="e">
        <f>-53.07 + (304.89 * (Q52)) + (90.79 *Crescimento!#REF!) - (3.13 * Crescimento!#REF!*Crescimento!#REF!)</f>
        <v>#REF!</v>
      </c>
      <c r="T52" s="6" t="e">
        <f>(U51+(Crescimento!#REF!-(U51*0.64))/0.8)/1000</f>
        <v>#REF!</v>
      </c>
      <c r="U52" s="7" t="e">
        <f>-53.07 + (304.89 * (T52)) + (90.79 *Crescimento!#REF!) - (3.13 * Crescimento!#REF!*Crescimento!#REF!)</f>
        <v>#REF!</v>
      </c>
      <c r="W52" s="6" t="e">
        <f>(X51+(Crescimento!#REF!-(X51*0.64))/0.8)/1000</f>
        <v>#REF!</v>
      </c>
      <c r="X52" s="7" t="e">
        <f>-53.07 + (304.89 * (W52)) + (90.79 *Crescimento!#REF!) - (3.13 * Crescimento!#REF!*Crescimento!#REF!)</f>
        <v>#REF!</v>
      </c>
      <c r="Z52" s="6" t="e">
        <f>(AA51+(Crescimento!#REF!-(AA51*0.64))/0.8)/1000</f>
        <v>#REF!</v>
      </c>
      <c r="AA52" s="7" t="e">
        <f>-53.07 + (304.89 * (Z52)) + (90.79 *Crescimento!#REF!) - (3.13 * Crescimento!#REF!*Crescimento!#REF!)</f>
        <v>#REF!</v>
      </c>
      <c r="AB52" s="1"/>
      <c r="AC52" s="6" t="e">
        <f>(AD51+(Crescimento!#REF!-(AD51*0.64))/0.8)/1000</f>
        <v>#REF!</v>
      </c>
      <c r="AD52" s="7" t="e">
        <f>-53.07 + (304.89 * (AC52)) + (90.79 *Crescimento!#REF!) - (3.13 * Crescimento!#REF!*Crescimento!#REF!)</f>
        <v>#REF!</v>
      </c>
      <c r="AF52" s="6" t="e">
        <f>(AG51+(Crescimento!#REF!-(AG51*0.64))/0.8)/1000</f>
        <v>#REF!</v>
      </c>
      <c r="AG52" s="7" t="e">
        <f>-53.07 + (304.89 * (AF52)) + (90.79 *Crescimento!#REF!) - (3.13 * Crescimento!#REF!*Crescimento!#REF!)</f>
        <v>#REF!</v>
      </c>
      <c r="AI52" s="6" t="e">
        <f>(AJ51+(Crescimento!#REF!-(AJ51*0.64))/0.8)/1000</f>
        <v>#REF!</v>
      </c>
      <c r="AJ52" s="7" t="e">
        <f>-53.07 + (304.89 * (AI52)) + (90.79 *Crescimento!#REF!) - (3.13 * Crescimento!#REF!*Crescimento!#REF!)</f>
        <v>#REF!</v>
      </c>
      <c r="AL52" s="6" t="e">
        <f>(AM51+(Crescimento!#REF!-(AM51*0.64))/0.8)/1000</f>
        <v>#REF!</v>
      </c>
      <c r="AM52" s="7" t="e">
        <f>-53.07 + (304.89 * (AL52)) + (90.79 *Crescimento!#REF!) - (3.13 * Crescimento!#REF!*Crescimento!#REF!)</f>
        <v>#REF!</v>
      </c>
      <c r="AN52" s="1"/>
      <c r="AO52" s="6" t="e">
        <f>(AP51+(Crescimento!#REF!-(AP51*0.64))/0.8)/1000</f>
        <v>#REF!</v>
      </c>
      <c r="AP52" s="7" t="e">
        <f>-53.07 + (304.89 * (AO52)) + (90.79 *Crescimento!#REF!) - (3.13 * Crescimento!#REF!*Crescimento!#REF!)</f>
        <v>#REF!</v>
      </c>
      <c r="AR52" s="6" t="e">
        <f>(AS51+(Crescimento!#REF!-(AS51*0.64))/0.8)/1000</f>
        <v>#REF!</v>
      </c>
      <c r="AS52" s="7" t="e">
        <f>-53.07 + (304.89 * (AR52)) + (90.79 *Crescimento!#REF!) - (3.13 * Crescimento!#REF!*Crescimento!#REF!)</f>
        <v>#REF!</v>
      </c>
      <c r="AU52" s="6" t="e">
        <f>(AV51+(Crescimento!#REF!-(AV51*0.64))/0.8)/1000</f>
        <v>#REF!</v>
      </c>
      <c r="AV52" s="7" t="e">
        <f>-53.07 + (304.89 * (AU52)) + (90.79 *Crescimento!#REF!) - (3.13 * Crescimento!#REF!*Crescimento!#REF!)</f>
        <v>#REF!</v>
      </c>
      <c r="AX52" s="6" t="e">
        <f>(AY51+(Crescimento!#REF!-(AY51*0.64))/0.8)/1000</f>
        <v>#REF!</v>
      </c>
      <c r="AY52" s="7" t="e">
        <f>-53.07 + (304.89 * (AX52)) + (90.79 *Crescimento!#REF!) - (3.13 * Crescimento!#REF!*Crescimento!#REF!)</f>
        <v>#REF!</v>
      </c>
      <c r="AZ52" s="1"/>
      <c r="BA52" s="6" t="e">
        <f>(BB51+(Crescimento!#REF!-(BB51*0.64))/0.8)/1000</f>
        <v>#REF!</v>
      </c>
      <c r="BB52" s="7" t="e">
        <f>-53.07 + (304.89 * (BA52)) + (90.79 *Crescimento!#REF!) - (3.13 * Crescimento!#REF!*Crescimento!#REF!)</f>
        <v>#REF!</v>
      </c>
      <c r="BD52" s="6" t="e">
        <f>(BE51+(Crescimento!#REF!-(BE51*0.64))/0.8)/1000</f>
        <v>#REF!</v>
      </c>
      <c r="BE52" s="7" t="e">
        <f>-53.07 + (304.89 * (BD52)) + (90.79 *Crescimento!#REF!) - (3.13 * Crescimento!#REF!*Crescimento!#REF!)</f>
        <v>#REF!</v>
      </c>
      <c r="BG52" s="6" t="e">
        <f>(BH51+(Crescimento!#REF!-(BH51*0.64))/0.8)/1000</f>
        <v>#REF!</v>
      </c>
      <c r="BH52" s="7" t="e">
        <f>-53.07 + (304.89 * (BG52)) + (90.79 *Crescimento!#REF!) - (3.13 * Crescimento!#REF!*Crescimento!#REF!)</f>
        <v>#REF!</v>
      </c>
      <c r="BJ52" s="6" t="e">
        <f>(BK51+(Crescimento!#REF!-(BK51*0.64))/0.8)/1000</f>
        <v>#REF!</v>
      </c>
      <c r="BK52" s="7" t="e">
        <f>-53.07 + (304.89 * (BJ52)) + (90.79 *Crescimento!#REF!) - (3.13 * Crescimento!#REF!*Crescimento!#REF!)</f>
        <v>#REF!</v>
      </c>
      <c r="BL52" s="1"/>
      <c r="BM52" s="6" t="e">
        <f>(BN51+(Crescimento!#REF!-(BN51*0.64))/0.8)/1000</f>
        <v>#REF!</v>
      </c>
      <c r="BN52" s="7" t="e">
        <f>-53.07 + (304.89 * (BM52)) + (90.79 *Crescimento!#REF!) - (3.13 * Crescimento!#REF!*Crescimento!#REF!)</f>
        <v>#REF!</v>
      </c>
      <c r="BP52" s="6" t="e">
        <f>(BQ51+(Crescimento!#REF!-(BQ51*0.64))/0.8)/1000</f>
        <v>#REF!</v>
      </c>
      <c r="BQ52" s="7" t="e">
        <f>-53.07 + (304.89 * (BP52)) + (90.79 *Crescimento!#REF!) - (3.13 * Crescimento!#REF!*Crescimento!#REF!)</f>
        <v>#REF!</v>
      </c>
      <c r="BS52" s="6" t="e">
        <f>(BT51+(Crescimento!#REF!-(BT51*0.64))/0.8)/1000</f>
        <v>#REF!</v>
      </c>
      <c r="BT52" s="7" t="e">
        <f>-53.07 + (304.89 * (BS52)) + (90.79 *Crescimento!#REF!) - (3.13 * Crescimento!#REF!*Crescimento!#REF!)</f>
        <v>#REF!</v>
      </c>
      <c r="BV52" s="6" t="e">
        <f>(BW51+(Crescimento!#REF!-(BW51*0.64))/0.8)/1000</f>
        <v>#REF!</v>
      </c>
      <c r="BW52" s="7" t="e">
        <f>-53.07 + (304.89 * (BV52)) + (90.79 *Crescimento!#REF!) - (3.13 * Crescimento!#REF!*Crescimento!#REF!)</f>
        <v>#REF!</v>
      </c>
      <c r="BX52" s="1"/>
      <c r="BY52" s="6" t="e">
        <f>(BZ51+(Crescimento!#REF!-(BZ51*0.64))/0.8)/1000</f>
        <v>#REF!</v>
      </c>
      <c r="BZ52" s="7" t="e">
        <f>-53.07 + (304.89 * (BY52)) + (90.79 *Crescimento!#REF!) - (3.13 * Crescimento!#REF!*Crescimento!#REF!)</f>
        <v>#REF!</v>
      </c>
      <c r="CB52" s="6" t="e">
        <f>(CC51+(Crescimento!#REF!-(CC51*0.64))/0.8)/1000</f>
        <v>#REF!</v>
      </c>
      <c r="CC52" s="7" t="e">
        <f>-53.07 + (304.89 * (CB52)) + (90.79 *Crescimento!#REF!) - (3.13 * Crescimento!#REF!*Crescimento!#REF!)</f>
        <v>#REF!</v>
      </c>
      <c r="CE52" s="6" t="e">
        <f>(CF51+(Crescimento!#REF!-(CF51*0.64))/0.8)/1000</f>
        <v>#REF!</v>
      </c>
      <c r="CF52" s="7" t="e">
        <f>-53.07 + (304.89 * (CE52)) + (90.79 *Crescimento!#REF!) - (3.13 * Crescimento!#REF!*Crescimento!#REF!)</f>
        <v>#REF!</v>
      </c>
      <c r="CH52" s="6" t="e">
        <f>(CI51+(Crescimento!#REF!-(CI51*0.64))/0.8)/1000</f>
        <v>#REF!</v>
      </c>
      <c r="CI52" s="7" t="e">
        <f>-53.07 + (304.89 * (CH52)) + (90.79 *Crescimento!#REF!) - (3.13 * Crescimento!#REF!*Crescimento!#REF!)</f>
        <v>#REF!</v>
      </c>
      <c r="CJ52" s="1"/>
      <c r="CK52" s="6" t="e">
        <f>(CL51+(Crescimento!#REF!-(CL51*0.64))/0.8)/1000</f>
        <v>#REF!</v>
      </c>
      <c r="CL52" s="7" t="e">
        <f>-53.07 + (304.89 * (CK52)) + (90.79 *Crescimento!#REF!) - (3.13 * Crescimento!#REF!*Crescimento!#REF!)</f>
        <v>#REF!</v>
      </c>
      <c r="CN52" s="6" t="e">
        <f>(CO51+(Crescimento!#REF!-(CO51*0.64))/0.8)/1000</f>
        <v>#REF!</v>
      </c>
      <c r="CO52" s="7" t="e">
        <f>-53.07 + (304.89 * (CN52)) + (90.79 *Crescimento!#REF!) - (3.13 * Crescimento!#REF!*Crescimento!#REF!)</f>
        <v>#REF!</v>
      </c>
      <c r="CQ52" s="6" t="e">
        <f>(CR51+(Crescimento!#REF!-(CR51*0.64))/0.8)/1000</f>
        <v>#REF!</v>
      </c>
      <c r="CR52" s="7" t="e">
        <f>-53.07 + (304.89 * (CQ52)) + (90.79 *Crescimento!#REF!) - (3.13 * Crescimento!#REF!*Crescimento!#REF!)</f>
        <v>#REF!</v>
      </c>
    </row>
    <row r="53" spans="2:96" x14ac:dyDescent="0.25">
      <c r="B53" s="6">
        <f>(C52+(Crescimento!$Q$27-(C52*0.64))/0.8)/1000</f>
        <v>1.1187993738011861</v>
      </c>
      <c r="C53" s="8">
        <f>-53.07 + (304.89 * (B53)) + (90.79 *Crescimento!$Q$20) - (3.13 * Crescimento!$Q$20*Crescimento!$Q$20)</f>
        <v>757.4287040082213</v>
      </c>
      <c r="D53" s="1"/>
      <c r="E53" s="6" t="e">
        <f>(F52+(Crescimento!#REF!-(F52*0.64))/0.8)/1000</f>
        <v>#REF!</v>
      </c>
      <c r="F53" s="7" t="e">
        <f>-53.07 + (304.89 * (E53)) + (90.79 *Crescimento!#REF!) - (3.13 * Crescimento!#REF!*Crescimento!#REF!)</f>
        <v>#REF!</v>
      </c>
      <c r="H53" s="6" t="e">
        <f>(I52+(Crescimento!#REF!-(I52*0.64))/0.8)/1000</f>
        <v>#REF!</v>
      </c>
      <c r="I53" s="7" t="e">
        <f>-53.07 + (304.89 * (H53)) + (90.79 *Crescimento!#REF!) - (3.13 * Crescimento!#REF!*Crescimento!#REF!)</f>
        <v>#REF!</v>
      </c>
      <c r="K53" s="6" t="e">
        <f>(L52+(Crescimento!#REF!-(L52*0.64))/0.8)/1000</f>
        <v>#REF!</v>
      </c>
      <c r="L53" s="7" t="e">
        <f>-53.07 + (304.89 * (K53)) + (90.79 *Crescimento!#REF!) - (3.13 * Crescimento!#REF!*Crescimento!#REF!)</f>
        <v>#REF!</v>
      </c>
      <c r="N53" s="6" t="e">
        <f>(O52+(Crescimento!#REF!-(O52*0.64))/0.8)/1000</f>
        <v>#REF!</v>
      </c>
      <c r="O53" s="7" t="e">
        <f>-53.07 + (304.89 * (N53)) + (90.79 *Crescimento!#REF!) - (3.13 * Crescimento!#REF!*Crescimento!#REF!)</f>
        <v>#REF!</v>
      </c>
      <c r="P53" s="1"/>
      <c r="Q53" s="6" t="e">
        <f>(R52+(Crescimento!#REF!-(R52*0.64))/0.8)/1000</f>
        <v>#REF!</v>
      </c>
      <c r="R53" s="7" t="e">
        <f>-53.07 + (304.89 * (Q53)) + (90.79 *Crescimento!#REF!) - (3.13 * Crescimento!#REF!*Crescimento!#REF!)</f>
        <v>#REF!</v>
      </c>
      <c r="T53" s="6" t="e">
        <f>(U52+(Crescimento!#REF!-(U52*0.64))/0.8)/1000</f>
        <v>#REF!</v>
      </c>
      <c r="U53" s="7" t="e">
        <f>-53.07 + (304.89 * (T53)) + (90.79 *Crescimento!#REF!) - (3.13 * Crescimento!#REF!*Crescimento!#REF!)</f>
        <v>#REF!</v>
      </c>
      <c r="W53" s="6" t="e">
        <f>(X52+(Crescimento!#REF!-(X52*0.64))/0.8)/1000</f>
        <v>#REF!</v>
      </c>
      <c r="X53" s="7" t="e">
        <f>-53.07 + (304.89 * (W53)) + (90.79 *Crescimento!#REF!) - (3.13 * Crescimento!#REF!*Crescimento!#REF!)</f>
        <v>#REF!</v>
      </c>
      <c r="Z53" s="6" t="e">
        <f>(AA52+(Crescimento!#REF!-(AA52*0.64))/0.8)/1000</f>
        <v>#REF!</v>
      </c>
      <c r="AA53" s="7" t="e">
        <f>-53.07 + (304.89 * (Z53)) + (90.79 *Crescimento!#REF!) - (3.13 * Crescimento!#REF!*Crescimento!#REF!)</f>
        <v>#REF!</v>
      </c>
      <c r="AB53" s="1"/>
      <c r="AC53" s="6" t="e">
        <f>(AD52+(Crescimento!#REF!-(AD52*0.64))/0.8)/1000</f>
        <v>#REF!</v>
      </c>
      <c r="AD53" s="7" t="e">
        <f>-53.07 + (304.89 * (AC53)) + (90.79 *Crescimento!#REF!) - (3.13 * Crescimento!#REF!*Crescimento!#REF!)</f>
        <v>#REF!</v>
      </c>
      <c r="AF53" s="6" t="e">
        <f>(AG52+(Crescimento!#REF!-(AG52*0.64))/0.8)/1000</f>
        <v>#REF!</v>
      </c>
      <c r="AG53" s="7" t="e">
        <f>-53.07 + (304.89 * (AF53)) + (90.79 *Crescimento!#REF!) - (3.13 * Crescimento!#REF!*Crescimento!#REF!)</f>
        <v>#REF!</v>
      </c>
      <c r="AI53" s="6" t="e">
        <f>(AJ52+(Crescimento!#REF!-(AJ52*0.64))/0.8)/1000</f>
        <v>#REF!</v>
      </c>
      <c r="AJ53" s="7" t="e">
        <f>-53.07 + (304.89 * (AI53)) + (90.79 *Crescimento!#REF!) - (3.13 * Crescimento!#REF!*Crescimento!#REF!)</f>
        <v>#REF!</v>
      </c>
      <c r="AL53" s="6" t="e">
        <f>(AM52+(Crescimento!#REF!-(AM52*0.64))/0.8)/1000</f>
        <v>#REF!</v>
      </c>
      <c r="AM53" s="7" t="e">
        <f>-53.07 + (304.89 * (AL53)) + (90.79 *Crescimento!#REF!) - (3.13 * Crescimento!#REF!*Crescimento!#REF!)</f>
        <v>#REF!</v>
      </c>
      <c r="AN53" s="1"/>
      <c r="AO53" s="6" t="e">
        <f>(AP52+(Crescimento!#REF!-(AP52*0.64))/0.8)/1000</f>
        <v>#REF!</v>
      </c>
      <c r="AP53" s="7" t="e">
        <f>-53.07 + (304.89 * (AO53)) + (90.79 *Crescimento!#REF!) - (3.13 * Crescimento!#REF!*Crescimento!#REF!)</f>
        <v>#REF!</v>
      </c>
      <c r="AR53" s="6" t="e">
        <f>(AS52+(Crescimento!#REF!-(AS52*0.64))/0.8)/1000</f>
        <v>#REF!</v>
      </c>
      <c r="AS53" s="7" t="e">
        <f>-53.07 + (304.89 * (AR53)) + (90.79 *Crescimento!#REF!) - (3.13 * Crescimento!#REF!*Crescimento!#REF!)</f>
        <v>#REF!</v>
      </c>
      <c r="AU53" s="6" t="e">
        <f>(AV52+(Crescimento!#REF!-(AV52*0.64))/0.8)/1000</f>
        <v>#REF!</v>
      </c>
      <c r="AV53" s="7" t="e">
        <f>-53.07 + (304.89 * (AU53)) + (90.79 *Crescimento!#REF!) - (3.13 * Crescimento!#REF!*Crescimento!#REF!)</f>
        <v>#REF!</v>
      </c>
      <c r="AX53" s="6" t="e">
        <f>(AY52+(Crescimento!#REF!-(AY52*0.64))/0.8)/1000</f>
        <v>#REF!</v>
      </c>
      <c r="AY53" s="7" t="e">
        <f>-53.07 + (304.89 * (AX53)) + (90.79 *Crescimento!#REF!) - (3.13 * Crescimento!#REF!*Crescimento!#REF!)</f>
        <v>#REF!</v>
      </c>
      <c r="AZ53" s="1"/>
      <c r="BA53" s="6" t="e">
        <f>(BB52+(Crescimento!#REF!-(BB52*0.64))/0.8)/1000</f>
        <v>#REF!</v>
      </c>
      <c r="BB53" s="7" t="e">
        <f>-53.07 + (304.89 * (BA53)) + (90.79 *Crescimento!#REF!) - (3.13 * Crescimento!#REF!*Crescimento!#REF!)</f>
        <v>#REF!</v>
      </c>
      <c r="BD53" s="6" t="e">
        <f>(BE52+(Crescimento!#REF!-(BE52*0.64))/0.8)/1000</f>
        <v>#REF!</v>
      </c>
      <c r="BE53" s="7" t="e">
        <f>-53.07 + (304.89 * (BD53)) + (90.79 *Crescimento!#REF!) - (3.13 * Crescimento!#REF!*Crescimento!#REF!)</f>
        <v>#REF!</v>
      </c>
      <c r="BG53" s="6" t="e">
        <f>(BH52+(Crescimento!#REF!-(BH52*0.64))/0.8)/1000</f>
        <v>#REF!</v>
      </c>
      <c r="BH53" s="7" t="e">
        <f>-53.07 + (304.89 * (BG53)) + (90.79 *Crescimento!#REF!) - (3.13 * Crescimento!#REF!*Crescimento!#REF!)</f>
        <v>#REF!</v>
      </c>
      <c r="BJ53" s="6" t="e">
        <f>(BK52+(Crescimento!#REF!-(BK52*0.64))/0.8)/1000</f>
        <v>#REF!</v>
      </c>
      <c r="BK53" s="7" t="e">
        <f>-53.07 + (304.89 * (BJ53)) + (90.79 *Crescimento!#REF!) - (3.13 * Crescimento!#REF!*Crescimento!#REF!)</f>
        <v>#REF!</v>
      </c>
      <c r="BL53" s="1"/>
      <c r="BM53" s="6" t="e">
        <f>(BN52+(Crescimento!#REF!-(BN52*0.64))/0.8)/1000</f>
        <v>#REF!</v>
      </c>
      <c r="BN53" s="7" t="e">
        <f>-53.07 + (304.89 * (BM53)) + (90.79 *Crescimento!#REF!) - (3.13 * Crescimento!#REF!*Crescimento!#REF!)</f>
        <v>#REF!</v>
      </c>
      <c r="BP53" s="6" t="e">
        <f>(BQ52+(Crescimento!#REF!-(BQ52*0.64))/0.8)/1000</f>
        <v>#REF!</v>
      </c>
      <c r="BQ53" s="7" t="e">
        <f>-53.07 + (304.89 * (BP53)) + (90.79 *Crescimento!#REF!) - (3.13 * Crescimento!#REF!*Crescimento!#REF!)</f>
        <v>#REF!</v>
      </c>
      <c r="BS53" s="6" t="e">
        <f>(BT52+(Crescimento!#REF!-(BT52*0.64))/0.8)/1000</f>
        <v>#REF!</v>
      </c>
      <c r="BT53" s="7" t="e">
        <f>-53.07 + (304.89 * (BS53)) + (90.79 *Crescimento!#REF!) - (3.13 * Crescimento!#REF!*Crescimento!#REF!)</f>
        <v>#REF!</v>
      </c>
      <c r="BV53" s="6" t="e">
        <f>(BW52+(Crescimento!#REF!-(BW52*0.64))/0.8)/1000</f>
        <v>#REF!</v>
      </c>
      <c r="BW53" s="7" t="e">
        <f>-53.07 + (304.89 * (BV53)) + (90.79 *Crescimento!#REF!) - (3.13 * Crescimento!#REF!*Crescimento!#REF!)</f>
        <v>#REF!</v>
      </c>
      <c r="BX53" s="1"/>
      <c r="BY53" s="6" t="e">
        <f>(BZ52+(Crescimento!#REF!-(BZ52*0.64))/0.8)/1000</f>
        <v>#REF!</v>
      </c>
      <c r="BZ53" s="7" t="e">
        <f>-53.07 + (304.89 * (BY53)) + (90.79 *Crescimento!#REF!) - (3.13 * Crescimento!#REF!*Crescimento!#REF!)</f>
        <v>#REF!</v>
      </c>
      <c r="CB53" s="6" t="e">
        <f>(CC52+(Crescimento!#REF!-(CC52*0.64))/0.8)/1000</f>
        <v>#REF!</v>
      </c>
      <c r="CC53" s="7" t="e">
        <f>-53.07 + (304.89 * (CB53)) + (90.79 *Crescimento!#REF!) - (3.13 * Crescimento!#REF!*Crescimento!#REF!)</f>
        <v>#REF!</v>
      </c>
      <c r="CE53" s="6" t="e">
        <f>(CF52+(Crescimento!#REF!-(CF52*0.64))/0.8)/1000</f>
        <v>#REF!</v>
      </c>
      <c r="CF53" s="7" t="e">
        <f>-53.07 + (304.89 * (CE53)) + (90.79 *Crescimento!#REF!) - (3.13 * Crescimento!#REF!*Crescimento!#REF!)</f>
        <v>#REF!</v>
      </c>
      <c r="CH53" s="6" t="e">
        <f>(CI52+(Crescimento!#REF!-(CI52*0.64))/0.8)/1000</f>
        <v>#REF!</v>
      </c>
      <c r="CI53" s="7" t="e">
        <f>-53.07 + (304.89 * (CH53)) + (90.79 *Crescimento!#REF!) - (3.13 * Crescimento!#REF!*Crescimento!#REF!)</f>
        <v>#REF!</v>
      </c>
      <c r="CJ53" s="1"/>
      <c r="CK53" s="6" t="e">
        <f>(CL52+(Crescimento!#REF!-(CL52*0.64))/0.8)/1000</f>
        <v>#REF!</v>
      </c>
      <c r="CL53" s="7" t="e">
        <f>-53.07 + (304.89 * (CK53)) + (90.79 *Crescimento!#REF!) - (3.13 * Crescimento!#REF!*Crescimento!#REF!)</f>
        <v>#REF!</v>
      </c>
      <c r="CN53" s="6" t="e">
        <f>(CO52+(Crescimento!#REF!-(CO52*0.64))/0.8)/1000</f>
        <v>#REF!</v>
      </c>
      <c r="CO53" s="7" t="e">
        <f>-53.07 + (304.89 * (CN53)) + (90.79 *Crescimento!#REF!) - (3.13 * Crescimento!#REF!*Crescimento!#REF!)</f>
        <v>#REF!</v>
      </c>
      <c r="CQ53" s="6" t="e">
        <f>(CR52+(Crescimento!#REF!-(CR52*0.64))/0.8)/1000</f>
        <v>#REF!</v>
      </c>
      <c r="CR53" s="7" t="e">
        <f>-53.07 + (304.89 * (CQ53)) + (90.79 *Crescimento!#REF!) - (3.13 * Crescimento!#REF!*Crescimento!#REF!)</f>
        <v>#REF!</v>
      </c>
    </row>
    <row r="54" spans="2:96" x14ac:dyDescent="0.25">
      <c r="B54" s="6">
        <f>(C53+(Crescimento!$Q$27-(C53*0.64))/0.8)/1000</f>
        <v>1.1187993738011861</v>
      </c>
      <c r="C54" s="8">
        <f>-53.07 + (304.89 * (B54)) + (90.79 *Crescimento!$Q$20) - (3.13 * Crescimento!$Q$20*Crescimento!$Q$20)</f>
        <v>757.4287040082213</v>
      </c>
      <c r="D54" s="1"/>
      <c r="E54" s="6" t="e">
        <f>(F53+(Crescimento!#REF!-(F53*0.64))/0.8)/1000</f>
        <v>#REF!</v>
      </c>
      <c r="F54" s="7" t="e">
        <f>-53.07 + (304.89 * (E54)) + (90.79 *Crescimento!#REF!) - (3.13 * Crescimento!#REF!*Crescimento!#REF!)</f>
        <v>#REF!</v>
      </c>
      <c r="H54" s="6" t="e">
        <f>(I53+(Crescimento!#REF!-(I53*0.64))/0.8)/1000</f>
        <v>#REF!</v>
      </c>
      <c r="I54" s="7" t="e">
        <f>-53.07 + (304.89 * (H54)) + (90.79 *Crescimento!#REF!) - (3.13 * Crescimento!#REF!*Crescimento!#REF!)</f>
        <v>#REF!</v>
      </c>
      <c r="K54" s="6" t="e">
        <f>(L53+(Crescimento!#REF!-(L53*0.64))/0.8)/1000</f>
        <v>#REF!</v>
      </c>
      <c r="L54" s="7" t="e">
        <f>-53.07 + (304.89 * (K54)) + (90.79 *Crescimento!#REF!) - (3.13 * Crescimento!#REF!*Crescimento!#REF!)</f>
        <v>#REF!</v>
      </c>
      <c r="N54" s="6" t="e">
        <f>(O53+(Crescimento!#REF!-(O53*0.64))/0.8)/1000</f>
        <v>#REF!</v>
      </c>
      <c r="O54" s="7" t="e">
        <f>-53.07 + (304.89 * (N54)) + (90.79 *Crescimento!#REF!) - (3.13 * Crescimento!#REF!*Crescimento!#REF!)</f>
        <v>#REF!</v>
      </c>
      <c r="P54" s="1"/>
      <c r="Q54" s="6" t="e">
        <f>(R53+(Crescimento!#REF!-(R53*0.64))/0.8)/1000</f>
        <v>#REF!</v>
      </c>
      <c r="R54" s="7" t="e">
        <f>-53.07 + (304.89 * (Q54)) + (90.79 *Crescimento!#REF!) - (3.13 * Crescimento!#REF!*Crescimento!#REF!)</f>
        <v>#REF!</v>
      </c>
      <c r="T54" s="6" t="e">
        <f>(U53+(Crescimento!#REF!-(U53*0.64))/0.8)/1000</f>
        <v>#REF!</v>
      </c>
      <c r="U54" s="7" t="e">
        <f>-53.07 + (304.89 * (T54)) + (90.79 *Crescimento!#REF!) - (3.13 * Crescimento!#REF!*Crescimento!#REF!)</f>
        <v>#REF!</v>
      </c>
      <c r="W54" s="6" t="e">
        <f>(X53+(Crescimento!#REF!-(X53*0.64))/0.8)/1000</f>
        <v>#REF!</v>
      </c>
      <c r="X54" s="7" t="e">
        <f>-53.07 + (304.89 * (W54)) + (90.79 *Crescimento!#REF!) - (3.13 * Crescimento!#REF!*Crescimento!#REF!)</f>
        <v>#REF!</v>
      </c>
      <c r="Z54" s="6" t="e">
        <f>(AA53+(Crescimento!#REF!-(AA53*0.64))/0.8)/1000</f>
        <v>#REF!</v>
      </c>
      <c r="AA54" s="7" t="e">
        <f>-53.07 + (304.89 * (Z54)) + (90.79 *Crescimento!#REF!) - (3.13 * Crescimento!#REF!*Crescimento!#REF!)</f>
        <v>#REF!</v>
      </c>
      <c r="AB54" s="1"/>
      <c r="AC54" s="6" t="e">
        <f>(AD53+(Crescimento!#REF!-(AD53*0.64))/0.8)/1000</f>
        <v>#REF!</v>
      </c>
      <c r="AD54" s="7" t="e">
        <f>-53.07 + (304.89 * (AC54)) + (90.79 *Crescimento!#REF!) - (3.13 * Crescimento!#REF!*Crescimento!#REF!)</f>
        <v>#REF!</v>
      </c>
      <c r="AF54" s="6" t="e">
        <f>(AG53+(Crescimento!#REF!-(AG53*0.64))/0.8)/1000</f>
        <v>#REF!</v>
      </c>
      <c r="AG54" s="7" t="e">
        <f>-53.07 + (304.89 * (AF54)) + (90.79 *Crescimento!#REF!) - (3.13 * Crescimento!#REF!*Crescimento!#REF!)</f>
        <v>#REF!</v>
      </c>
      <c r="AI54" s="6" t="e">
        <f>(AJ53+(Crescimento!#REF!-(AJ53*0.64))/0.8)/1000</f>
        <v>#REF!</v>
      </c>
      <c r="AJ54" s="7" t="e">
        <f>-53.07 + (304.89 * (AI54)) + (90.79 *Crescimento!#REF!) - (3.13 * Crescimento!#REF!*Crescimento!#REF!)</f>
        <v>#REF!</v>
      </c>
      <c r="AL54" s="6" t="e">
        <f>(AM53+(Crescimento!#REF!-(AM53*0.64))/0.8)/1000</f>
        <v>#REF!</v>
      </c>
      <c r="AM54" s="7" t="e">
        <f>-53.07 + (304.89 * (AL54)) + (90.79 *Crescimento!#REF!) - (3.13 * Crescimento!#REF!*Crescimento!#REF!)</f>
        <v>#REF!</v>
      </c>
      <c r="AN54" s="1"/>
      <c r="AO54" s="6" t="e">
        <f>(AP53+(Crescimento!#REF!-(AP53*0.64))/0.8)/1000</f>
        <v>#REF!</v>
      </c>
      <c r="AP54" s="7" t="e">
        <f>-53.07 + (304.89 * (AO54)) + (90.79 *Crescimento!#REF!) - (3.13 * Crescimento!#REF!*Crescimento!#REF!)</f>
        <v>#REF!</v>
      </c>
      <c r="AR54" s="6" t="e">
        <f>(AS53+(Crescimento!#REF!-(AS53*0.64))/0.8)/1000</f>
        <v>#REF!</v>
      </c>
      <c r="AS54" s="7" t="e">
        <f>-53.07 + (304.89 * (AR54)) + (90.79 *Crescimento!#REF!) - (3.13 * Crescimento!#REF!*Crescimento!#REF!)</f>
        <v>#REF!</v>
      </c>
      <c r="AU54" s="6" t="e">
        <f>(AV53+(Crescimento!#REF!-(AV53*0.64))/0.8)/1000</f>
        <v>#REF!</v>
      </c>
      <c r="AV54" s="7" t="e">
        <f>-53.07 + (304.89 * (AU54)) + (90.79 *Crescimento!#REF!) - (3.13 * Crescimento!#REF!*Crescimento!#REF!)</f>
        <v>#REF!</v>
      </c>
      <c r="AX54" s="6" t="e">
        <f>(AY53+(Crescimento!#REF!-(AY53*0.64))/0.8)/1000</f>
        <v>#REF!</v>
      </c>
      <c r="AY54" s="7" t="e">
        <f>-53.07 + (304.89 * (AX54)) + (90.79 *Crescimento!#REF!) - (3.13 * Crescimento!#REF!*Crescimento!#REF!)</f>
        <v>#REF!</v>
      </c>
      <c r="AZ54" s="1"/>
      <c r="BA54" s="6" t="e">
        <f>(BB53+(Crescimento!#REF!-(BB53*0.64))/0.8)/1000</f>
        <v>#REF!</v>
      </c>
      <c r="BB54" s="7" t="e">
        <f>-53.07 + (304.89 * (BA54)) + (90.79 *Crescimento!#REF!) - (3.13 * Crescimento!#REF!*Crescimento!#REF!)</f>
        <v>#REF!</v>
      </c>
      <c r="BD54" s="6" t="e">
        <f>(BE53+(Crescimento!#REF!-(BE53*0.64))/0.8)/1000</f>
        <v>#REF!</v>
      </c>
      <c r="BE54" s="7" t="e">
        <f>-53.07 + (304.89 * (BD54)) + (90.79 *Crescimento!#REF!) - (3.13 * Crescimento!#REF!*Crescimento!#REF!)</f>
        <v>#REF!</v>
      </c>
      <c r="BG54" s="6" t="e">
        <f>(BH53+(Crescimento!#REF!-(BH53*0.64))/0.8)/1000</f>
        <v>#REF!</v>
      </c>
      <c r="BH54" s="7" t="e">
        <f>-53.07 + (304.89 * (BG54)) + (90.79 *Crescimento!#REF!) - (3.13 * Crescimento!#REF!*Crescimento!#REF!)</f>
        <v>#REF!</v>
      </c>
      <c r="BJ54" s="6" t="e">
        <f>(BK53+(Crescimento!#REF!-(BK53*0.64))/0.8)/1000</f>
        <v>#REF!</v>
      </c>
      <c r="BK54" s="7" t="e">
        <f>-53.07 + (304.89 * (BJ54)) + (90.79 *Crescimento!#REF!) - (3.13 * Crescimento!#REF!*Crescimento!#REF!)</f>
        <v>#REF!</v>
      </c>
      <c r="BL54" s="1"/>
      <c r="BM54" s="6" t="e">
        <f>(BN53+(Crescimento!#REF!-(BN53*0.64))/0.8)/1000</f>
        <v>#REF!</v>
      </c>
      <c r="BN54" s="7" t="e">
        <f>-53.07 + (304.89 * (BM54)) + (90.79 *Crescimento!#REF!) - (3.13 * Crescimento!#REF!*Crescimento!#REF!)</f>
        <v>#REF!</v>
      </c>
      <c r="BP54" s="6" t="e">
        <f>(BQ53+(Crescimento!#REF!-(BQ53*0.64))/0.8)/1000</f>
        <v>#REF!</v>
      </c>
      <c r="BQ54" s="7" t="e">
        <f>-53.07 + (304.89 * (BP54)) + (90.79 *Crescimento!#REF!) - (3.13 * Crescimento!#REF!*Crescimento!#REF!)</f>
        <v>#REF!</v>
      </c>
      <c r="BS54" s="6" t="e">
        <f>(BT53+(Crescimento!#REF!-(BT53*0.64))/0.8)/1000</f>
        <v>#REF!</v>
      </c>
      <c r="BT54" s="7" t="e">
        <f>-53.07 + (304.89 * (BS54)) + (90.79 *Crescimento!#REF!) - (3.13 * Crescimento!#REF!*Crescimento!#REF!)</f>
        <v>#REF!</v>
      </c>
      <c r="BV54" s="6" t="e">
        <f>(BW53+(Crescimento!#REF!-(BW53*0.64))/0.8)/1000</f>
        <v>#REF!</v>
      </c>
      <c r="BW54" s="7" t="e">
        <f>-53.07 + (304.89 * (BV54)) + (90.79 *Crescimento!#REF!) - (3.13 * Crescimento!#REF!*Crescimento!#REF!)</f>
        <v>#REF!</v>
      </c>
      <c r="BX54" s="1"/>
      <c r="BY54" s="6" t="e">
        <f>(BZ53+(Crescimento!#REF!-(BZ53*0.64))/0.8)/1000</f>
        <v>#REF!</v>
      </c>
      <c r="BZ54" s="7" t="e">
        <f>-53.07 + (304.89 * (BY54)) + (90.79 *Crescimento!#REF!) - (3.13 * Crescimento!#REF!*Crescimento!#REF!)</f>
        <v>#REF!</v>
      </c>
      <c r="CB54" s="6" t="e">
        <f>(CC53+(Crescimento!#REF!-(CC53*0.64))/0.8)/1000</f>
        <v>#REF!</v>
      </c>
      <c r="CC54" s="7" t="e">
        <f>-53.07 + (304.89 * (CB54)) + (90.79 *Crescimento!#REF!) - (3.13 * Crescimento!#REF!*Crescimento!#REF!)</f>
        <v>#REF!</v>
      </c>
      <c r="CE54" s="6" t="e">
        <f>(CF53+(Crescimento!#REF!-(CF53*0.64))/0.8)/1000</f>
        <v>#REF!</v>
      </c>
      <c r="CF54" s="7" t="e">
        <f>-53.07 + (304.89 * (CE54)) + (90.79 *Crescimento!#REF!) - (3.13 * Crescimento!#REF!*Crescimento!#REF!)</f>
        <v>#REF!</v>
      </c>
      <c r="CH54" s="6" t="e">
        <f>(CI53+(Crescimento!#REF!-(CI53*0.64))/0.8)/1000</f>
        <v>#REF!</v>
      </c>
      <c r="CI54" s="7" t="e">
        <f>-53.07 + (304.89 * (CH54)) + (90.79 *Crescimento!#REF!) - (3.13 * Crescimento!#REF!*Crescimento!#REF!)</f>
        <v>#REF!</v>
      </c>
      <c r="CJ54" s="1"/>
      <c r="CK54" s="6" t="e">
        <f>(CL53+(Crescimento!#REF!-(CL53*0.64))/0.8)/1000</f>
        <v>#REF!</v>
      </c>
      <c r="CL54" s="7" t="e">
        <f>-53.07 + (304.89 * (CK54)) + (90.79 *Crescimento!#REF!) - (3.13 * Crescimento!#REF!*Crescimento!#REF!)</f>
        <v>#REF!</v>
      </c>
      <c r="CN54" s="6" t="e">
        <f>(CO53+(Crescimento!#REF!-(CO53*0.64))/0.8)/1000</f>
        <v>#REF!</v>
      </c>
      <c r="CO54" s="7" t="e">
        <f>-53.07 + (304.89 * (CN54)) + (90.79 *Crescimento!#REF!) - (3.13 * Crescimento!#REF!*Crescimento!#REF!)</f>
        <v>#REF!</v>
      </c>
      <c r="CQ54" s="6" t="e">
        <f>(CR53+(Crescimento!#REF!-(CR53*0.64))/0.8)/1000</f>
        <v>#REF!</v>
      </c>
      <c r="CR54" s="7" t="e">
        <f>-53.07 + (304.89 * (CQ54)) + (90.79 *Crescimento!#REF!) - (3.13 * Crescimento!#REF!*Crescimento!#REF!)</f>
        <v>#REF!</v>
      </c>
    </row>
    <row r="55" spans="2:96" x14ac:dyDescent="0.25">
      <c r="B55" s="6">
        <f>(C54+(Crescimento!$Q$27-(C54*0.64))/0.8)/1000</f>
        <v>1.1187993738011861</v>
      </c>
      <c r="C55" s="8">
        <f>-53.07 + (304.89 * (B55)) + (90.79 *Crescimento!$Q$20) - (3.13 * Crescimento!$Q$20*Crescimento!$Q$20)</f>
        <v>757.4287040082213</v>
      </c>
      <c r="D55" s="1"/>
      <c r="E55" s="6" t="e">
        <f>(F54+(Crescimento!#REF!-(F54*0.64))/0.8)/1000</f>
        <v>#REF!</v>
      </c>
      <c r="F55" s="7" t="e">
        <f>-53.07 + (304.89 * (E55)) + (90.79 *Crescimento!#REF!) - (3.13 * Crescimento!#REF!*Crescimento!#REF!)</f>
        <v>#REF!</v>
      </c>
      <c r="H55" s="6" t="e">
        <f>(I54+(Crescimento!#REF!-(I54*0.64))/0.8)/1000</f>
        <v>#REF!</v>
      </c>
      <c r="I55" s="7" t="e">
        <f>-53.07 + (304.89 * (H55)) + (90.79 *Crescimento!#REF!) - (3.13 * Crescimento!#REF!*Crescimento!#REF!)</f>
        <v>#REF!</v>
      </c>
      <c r="K55" s="6" t="e">
        <f>(L54+(Crescimento!#REF!-(L54*0.64))/0.8)/1000</f>
        <v>#REF!</v>
      </c>
      <c r="L55" s="7" t="e">
        <f>-53.07 + (304.89 * (K55)) + (90.79 *Crescimento!#REF!) - (3.13 * Crescimento!#REF!*Crescimento!#REF!)</f>
        <v>#REF!</v>
      </c>
      <c r="N55" s="6" t="e">
        <f>(O54+(Crescimento!#REF!-(O54*0.64))/0.8)/1000</f>
        <v>#REF!</v>
      </c>
      <c r="O55" s="7" t="e">
        <f>-53.07 + (304.89 * (N55)) + (90.79 *Crescimento!#REF!) - (3.13 * Crescimento!#REF!*Crescimento!#REF!)</f>
        <v>#REF!</v>
      </c>
      <c r="P55" s="1"/>
      <c r="Q55" s="6" t="e">
        <f>(R54+(Crescimento!#REF!-(R54*0.64))/0.8)/1000</f>
        <v>#REF!</v>
      </c>
      <c r="R55" s="7" t="e">
        <f>-53.07 + (304.89 * (Q55)) + (90.79 *Crescimento!#REF!) - (3.13 * Crescimento!#REF!*Crescimento!#REF!)</f>
        <v>#REF!</v>
      </c>
      <c r="T55" s="6" t="e">
        <f>(U54+(Crescimento!#REF!-(U54*0.64))/0.8)/1000</f>
        <v>#REF!</v>
      </c>
      <c r="U55" s="7" t="e">
        <f>-53.07 + (304.89 * (T55)) + (90.79 *Crescimento!#REF!) - (3.13 * Crescimento!#REF!*Crescimento!#REF!)</f>
        <v>#REF!</v>
      </c>
      <c r="W55" s="6" t="e">
        <f>(X54+(Crescimento!#REF!-(X54*0.64))/0.8)/1000</f>
        <v>#REF!</v>
      </c>
      <c r="X55" s="7" t="e">
        <f>-53.07 + (304.89 * (W55)) + (90.79 *Crescimento!#REF!) - (3.13 * Crescimento!#REF!*Crescimento!#REF!)</f>
        <v>#REF!</v>
      </c>
      <c r="Z55" s="6" t="e">
        <f>(AA54+(Crescimento!#REF!-(AA54*0.64))/0.8)/1000</f>
        <v>#REF!</v>
      </c>
      <c r="AA55" s="7" t="e">
        <f>-53.07 + (304.89 * (Z55)) + (90.79 *Crescimento!#REF!) - (3.13 * Crescimento!#REF!*Crescimento!#REF!)</f>
        <v>#REF!</v>
      </c>
      <c r="AB55" s="1"/>
      <c r="AC55" s="6" t="e">
        <f>(AD54+(Crescimento!#REF!-(AD54*0.64))/0.8)/1000</f>
        <v>#REF!</v>
      </c>
      <c r="AD55" s="7" t="e">
        <f>-53.07 + (304.89 * (AC55)) + (90.79 *Crescimento!#REF!) - (3.13 * Crescimento!#REF!*Crescimento!#REF!)</f>
        <v>#REF!</v>
      </c>
      <c r="AF55" s="6" t="e">
        <f>(AG54+(Crescimento!#REF!-(AG54*0.64))/0.8)/1000</f>
        <v>#REF!</v>
      </c>
      <c r="AG55" s="7" t="e">
        <f>-53.07 + (304.89 * (AF55)) + (90.79 *Crescimento!#REF!) - (3.13 * Crescimento!#REF!*Crescimento!#REF!)</f>
        <v>#REF!</v>
      </c>
      <c r="AI55" s="6" t="e">
        <f>(AJ54+(Crescimento!#REF!-(AJ54*0.64))/0.8)/1000</f>
        <v>#REF!</v>
      </c>
      <c r="AJ55" s="7" t="e">
        <f>-53.07 + (304.89 * (AI55)) + (90.79 *Crescimento!#REF!) - (3.13 * Crescimento!#REF!*Crescimento!#REF!)</f>
        <v>#REF!</v>
      </c>
      <c r="AL55" s="6" t="e">
        <f>(AM54+(Crescimento!#REF!-(AM54*0.64))/0.8)/1000</f>
        <v>#REF!</v>
      </c>
      <c r="AM55" s="7" t="e">
        <f>-53.07 + (304.89 * (AL55)) + (90.79 *Crescimento!#REF!) - (3.13 * Crescimento!#REF!*Crescimento!#REF!)</f>
        <v>#REF!</v>
      </c>
      <c r="AN55" s="1"/>
      <c r="AO55" s="6" t="e">
        <f>(AP54+(Crescimento!#REF!-(AP54*0.64))/0.8)/1000</f>
        <v>#REF!</v>
      </c>
      <c r="AP55" s="7" t="e">
        <f>-53.07 + (304.89 * (AO55)) + (90.79 *Crescimento!#REF!) - (3.13 * Crescimento!#REF!*Crescimento!#REF!)</f>
        <v>#REF!</v>
      </c>
      <c r="AR55" s="6" t="e">
        <f>(AS54+(Crescimento!#REF!-(AS54*0.64))/0.8)/1000</f>
        <v>#REF!</v>
      </c>
      <c r="AS55" s="7" t="e">
        <f>-53.07 + (304.89 * (AR55)) + (90.79 *Crescimento!#REF!) - (3.13 * Crescimento!#REF!*Crescimento!#REF!)</f>
        <v>#REF!</v>
      </c>
      <c r="AU55" s="6" t="e">
        <f>(AV54+(Crescimento!#REF!-(AV54*0.64))/0.8)/1000</f>
        <v>#REF!</v>
      </c>
      <c r="AV55" s="7" t="e">
        <f>-53.07 + (304.89 * (AU55)) + (90.79 *Crescimento!#REF!) - (3.13 * Crescimento!#REF!*Crescimento!#REF!)</f>
        <v>#REF!</v>
      </c>
      <c r="AX55" s="6" t="e">
        <f>(AY54+(Crescimento!#REF!-(AY54*0.64))/0.8)/1000</f>
        <v>#REF!</v>
      </c>
      <c r="AY55" s="7" t="e">
        <f>-53.07 + (304.89 * (AX55)) + (90.79 *Crescimento!#REF!) - (3.13 * Crescimento!#REF!*Crescimento!#REF!)</f>
        <v>#REF!</v>
      </c>
      <c r="AZ55" s="1"/>
      <c r="BA55" s="6" t="e">
        <f>(BB54+(Crescimento!#REF!-(BB54*0.64))/0.8)/1000</f>
        <v>#REF!</v>
      </c>
      <c r="BB55" s="7" t="e">
        <f>-53.07 + (304.89 * (BA55)) + (90.79 *Crescimento!#REF!) - (3.13 * Crescimento!#REF!*Crescimento!#REF!)</f>
        <v>#REF!</v>
      </c>
      <c r="BD55" s="6" t="e">
        <f>(BE54+(Crescimento!#REF!-(BE54*0.64))/0.8)/1000</f>
        <v>#REF!</v>
      </c>
      <c r="BE55" s="7" t="e">
        <f>-53.07 + (304.89 * (BD55)) + (90.79 *Crescimento!#REF!) - (3.13 * Crescimento!#REF!*Crescimento!#REF!)</f>
        <v>#REF!</v>
      </c>
      <c r="BG55" s="6" t="e">
        <f>(BH54+(Crescimento!#REF!-(BH54*0.64))/0.8)/1000</f>
        <v>#REF!</v>
      </c>
      <c r="BH55" s="7" t="e">
        <f>-53.07 + (304.89 * (BG55)) + (90.79 *Crescimento!#REF!) - (3.13 * Crescimento!#REF!*Crescimento!#REF!)</f>
        <v>#REF!</v>
      </c>
      <c r="BJ55" s="6" t="e">
        <f>(BK54+(Crescimento!#REF!-(BK54*0.64))/0.8)/1000</f>
        <v>#REF!</v>
      </c>
      <c r="BK55" s="7" t="e">
        <f>-53.07 + (304.89 * (BJ55)) + (90.79 *Crescimento!#REF!) - (3.13 * Crescimento!#REF!*Crescimento!#REF!)</f>
        <v>#REF!</v>
      </c>
      <c r="BL55" s="1"/>
      <c r="BM55" s="6" t="e">
        <f>(BN54+(Crescimento!#REF!-(BN54*0.64))/0.8)/1000</f>
        <v>#REF!</v>
      </c>
      <c r="BN55" s="7" t="e">
        <f>-53.07 + (304.89 * (BM55)) + (90.79 *Crescimento!#REF!) - (3.13 * Crescimento!#REF!*Crescimento!#REF!)</f>
        <v>#REF!</v>
      </c>
      <c r="BP55" s="6" t="e">
        <f>(BQ54+(Crescimento!#REF!-(BQ54*0.64))/0.8)/1000</f>
        <v>#REF!</v>
      </c>
      <c r="BQ55" s="7" t="e">
        <f>-53.07 + (304.89 * (BP55)) + (90.79 *Crescimento!#REF!) - (3.13 * Crescimento!#REF!*Crescimento!#REF!)</f>
        <v>#REF!</v>
      </c>
      <c r="BS55" s="6" t="e">
        <f>(BT54+(Crescimento!#REF!-(BT54*0.64))/0.8)/1000</f>
        <v>#REF!</v>
      </c>
      <c r="BT55" s="7" t="e">
        <f>-53.07 + (304.89 * (BS55)) + (90.79 *Crescimento!#REF!) - (3.13 * Crescimento!#REF!*Crescimento!#REF!)</f>
        <v>#REF!</v>
      </c>
      <c r="BV55" s="6" t="e">
        <f>(BW54+(Crescimento!#REF!-(BW54*0.64))/0.8)/1000</f>
        <v>#REF!</v>
      </c>
      <c r="BW55" s="7" t="e">
        <f>-53.07 + (304.89 * (BV55)) + (90.79 *Crescimento!#REF!) - (3.13 * Crescimento!#REF!*Crescimento!#REF!)</f>
        <v>#REF!</v>
      </c>
      <c r="BX55" s="1"/>
      <c r="BY55" s="6" t="e">
        <f>(BZ54+(Crescimento!#REF!-(BZ54*0.64))/0.8)/1000</f>
        <v>#REF!</v>
      </c>
      <c r="BZ55" s="7" t="e">
        <f>-53.07 + (304.89 * (BY55)) + (90.79 *Crescimento!#REF!) - (3.13 * Crescimento!#REF!*Crescimento!#REF!)</f>
        <v>#REF!</v>
      </c>
      <c r="CB55" s="6" t="e">
        <f>(CC54+(Crescimento!#REF!-(CC54*0.64))/0.8)/1000</f>
        <v>#REF!</v>
      </c>
      <c r="CC55" s="7" t="e">
        <f>-53.07 + (304.89 * (CB55)) + (90.79 *Crescimento!#REF!) - (3.13 * Crescimento!#REF!*Crescimento!#REF!)</f>
        <v>#REF!</v>
      </c>
      <c r="CE55" s="6" t="e">
        <f>(CF54+(Crescimento!#REF!-(CF54*0.64))/0.8)/1000</f>
        <v>#REF!</v>
      </c>
      <c r="CF55" s="7" t="e">
        <f>-53.07 + (304.89 * (CE55)) + (90.79 *Crescimento!#REF!) - (3.13 * Crescimento!#REF!*Crescimento!#REF!)</f>
        <v>#REF!</v>
      </c>
      <c r="CH55" s="6" t="e">
        <f>(CI54+(Crescimento!#REF!-(CI54*0.64))/0.8)/1000</f>
        <v>#REF!</v>
      </c>
      <c r="CI55" s="7" t="e">
        <f>-53.07 + (304.89 * (CH55)) + (90.79 *Crescimento!#REF!) - (3.13 * Crescimento!#REF!*Crescimento!#REF!)</f>
        <v>#REF!</v>
      </c>
      <c r="CJ55" s="1"/>
      <c r="CK55" s="6" t="e">
        <f>(CL54+(Crescimento!#REF!-(CL54*0.64))/0.8)/1000</f>
        <v>#REF!</v>
      </c>
      <c r="CL55" s="7" t="e">
        <f>-53.07 + (304.89 * (CK55)) + (90.79 *Crescimento!#REF!) - (3.13 * Crescimento!#REF!*Crescimento!#REF!)</f>
        <v>#REF!</v>
      </c>
      <c r="CN55" s="6" t="e">
        <f>(CO54+(Crescimento!#REF!-(CO54*0.64))/0.8)/1000</f>
        <v>#REF!</v>
      </c>
      <c r="CO55" s="7" t="e">
        <f>-53.07 + (304.89 * (CN55)) + (90.79 *Crescimento!#REF!) - (3.13 * Crescimento!#REF!*Crescimento!#REF!)</f>
        <v>#REF!</v>
      </c>
      <c r="CQ55" s="6" t="e">
        <f>(CR54+(Crescimento!#REF!-(CR54*0.64))/0.8)/1000</f>
        <v>#REF!</v>
      </c>
      <c r="CR55" s="7" t="e">
        <f>-53.07 + (304.89 * (CQ55)) + (90.79 *Crescimento!#REF!) - (3.13 * Crescimento!#REF!*Crescimento!#REF!)</f>
        <v>#REF!</v>
      </c>
    </row>
    <row r="56" spans="2:96" x14ac:dyDescent="0.25">
      <c r="B56" s="6">
        <f>(C55+(Crescimento!$Q$27-(C55*0.64))/0.8)/1000</f>
        <v>1.1187993738011861</v>
      </c>
      <c r="C56" s="8">
        <f>-53.07 + (304.89 * (B56)) + (90.79 *Crescimento!$Q$20) - (3.13 * Crescimento!$Q$20*Crescimento!$Q$20)</f>
        <v>757.4287040082213</v>
      </c>
      <c r="D56" s="1"/>
      <c r="E56" s="6" t="e">
        <f>(F55+(Crescimento!#REF!-(F55*0.64))/0.8)/1000</f>
        <v>#REF!</v>
      </c>
      <c r="F56" s="7" t="e">
        <f>-53.07 + (304.89 * (E56)) + (90.79 *Crescimento!#REF!) - (3.13 * Crescimento!#REF!*Crescimento!#REF!)</f>
        <v>#REF!</v>
      </c>
      <c r="H56" s="6" t="e">
        <f>(I55+(Crescimento!#REF!-(I55*0.64))/0.8)/1000</f>
        <v>#REF!</v>
      </c>
      <c r="I56" s="7" t="e">
        <f>-53.07 + (304.89 * (H56)) + (90.79 *Crescimento!#REF!) - (3.13 * Crescimento!#REF!*Crescimento!#REF!)</f>
        <v>#REF!</v>
      </c>
      <c r="K56" s="6" t="e">
        <f>(L55+(Crescimento!#REF!-(L55*0.64))/0.8)/1000</f>
        <v>#REF!</v>
      </c>
      <c r="L56" s="7" t="e">
        <f>-53.07 + (304.89 * (K56)) + (90.79 *Crescimento!#REF!) - (3.13 * Crescimento!#REF!*Crescimento!#REF!)</f>
        <v>#REF!</v>
      </c>
      <c r="N56" s="6" t="e">
        <f>(O55+(Crescimento!#REF!-(O55*0.64))/0.8)/1000</f>
        <v>#REF!</v>
      </c>
      <c r="O56" s="7" t="e">
        <f>-53.07 + (304.89 * (N56)) + (90.79 *Crescimento!#REF!) - (3.13 * Crescimento!#REF!*Crescimento!#REF!)</f>
        <v>#REF!</v>
      </c>
      <c r="P56" s="1"/>
      <c r="Q56" s="6" t="e">
        <f>(R55+(Crescimento!#REF!-(R55*0.64))/0.8)/1000</f>
        <v>#REF!</v>
      </c>
      <c r="R56" s="7" t="e">
        <f>-53.07 + (304.89 * (Q56)) + (90.79 *Crescimento!#REF!) - (3.13 * Crescimento!#REF!*Crescimento!#REF!)</f>
        <v>#REF!</v>
      </c>
      <c r="T56" s="6" t="e">
        <f>(U55+(Crescimento!#REF!-(U55*0.64))/0.8)/1000</f>
        <v>#REF!</v>
      </c>
      <c r="U56" s="7" t="e">
        <f>-53.07 + (304.89 * (T56)) + (90.79 *Crescimento!#REF!) - (3.13 * Crescimento!#REF!*Crescimento!#REF!)</f>
        <v>#REF!</v>
      </c>
      <c r="W56" s="6" t="e">
        <f>(X55+(Crescimento!#REF!-(X55*0.64))/0.8)/1000</f>
        <v>#REF!</v>
      </c>
      <c r="X56" s="7" t="e">
        <f>-53.07 + (304.89 * (W56)) + (90.79 *Crescimento!#REF!) - (3.13 * Crescimento!#REF!*Crescimento!#REF!)</f>
        <v>#REF!</v>
      </c>
      <c r="Z56" s="6" t="e">
        <f>(AA55+(Crescimento!#REF!-(AA55*0.64))/0.8)/1000</f>
        <v>#REF!</v>
      </c>
      <c r="AA56" s="7" t="e">
        <f>-53.07 + (304.89 * (Z56)) + (90.79 *Crescimento!#REF!) - (3.13 * Crescimento!#REF!*Crescimento!#REF!)</f>
        <v>#REF!</v>
      </c>
      <c r="AB56" s="1"/>
      <c r="AC56" s="6" t="e">
        <f>(AD55+(Crescimento!#REF!-(AD55*0.64))/0.8)/1000</f>
        <v>#REF!</v>
      </c>
      <c r="AD56" s="7" t="e">
        <f>-53.07 + (304.89 * (AC56)) + (90.79 *Crescimento!#REF!) - (3.13 * Crescimento!#REF!*Crescimento!#REF!)</f>
        <v>#REF!</v>
      </c>
      <c r="AF56" s="6" t="e">
        <f>(AG55+(Crescimento!#REF!-(AG55*0.64))/0.8)/1000</f>
        <v>#REF!</v>
      </c>
      <c r="AG56" s="7" t="e">
        <f>-53.07 + (304.89 * (AF56)) + (90.79 *Crescimento!#REF!) - (3.13 * Crescimento!#REF!*Crescimento!#REF!)</f>
        <v>#REF!</v>
      </c>
      <c r="AI56" s="6" t="e">
        <f>(AJ55+(Crescimento!#REF!-(AJ55*0.64))/0.8)/1000</f>
        <v>#REF!</v>
      </c>
      <c r="AJ56" s="7" t="e">
        <f>-53.07 + (304.89 * (AI56)) + (90.79 *Crescimento!#REF!) - (3.13 * Crescimento!#REF!*Crescimento!#REF!)</f>
        <v>#REF!</v>
      </c>
      <c r="AL56" s="6" t="e">
        <f>(AM55+(Crescimento!#REF!-(AM55*0.64))/0.8)/1000</f>
        <v>#REF!</v>
      </c>
      <c r="AM56" s="7" t="e">
        <f>-53.07 + (304.89 * (AL56)) + (90.79 *Crescimento!#REF!) - (3.13 * Crescimento!#REF!*Crescimento!#REF!)</f>
        <v>#REF!</v>
      </c>
      <c r="AN56" s="1"/>
      <c r="AO56" s="6" t="e">
        <f>(AP55+(Crescimento!#REF!-(AP55*0.64))/0.8)/1000</f>
        <v>#REF!</v>
      </c>
      <c r="AP56" s="7" t="e">
        <f>-53.07 + (304.89 * (AO56)) + (90.79 *Crescimento!#REF!) - (3.13 * Crescimento!#REF!*Crescimento!#REF!)</f>
        <v>#REF!</v>
      </c>
      <c r="AR56" s="6" t="e">
        <f>(AS55+(Crescimento!#REF!-(AS55*0.64))/0.8)/1000</f>
        <v>#REF!</v>
      </c>
      <c r="AS56" s="7" t="e">
        <f>-53.07 + (304.89 * (AR56)) + (90.79 *Crescimento!#REF!) - (3.13 * Crescimento!#REF!*Crescimento!#REF!)</f>
        <v>#REF!</v>
      </c>
      <c r="AU56" s="6" t="e">
        <f>(AV55+(Crescimento!#REF!-(AV55*0.64))/0.8)/1000</f>
        <v>#REF!</v>
      </c>
      <c r="AV56" s="7" t="e">
        <f>-53.07 + (304.89 * (AU56)) + (90.79 *Crescimento!#REF!) - (3.13 * Crescimento!#REF!*Crescimento!#REF!)</f>
        <v>#REF!</v>
      </c>
      <c r="AX56" s="6" t="e">
        <f>(AY55+(Crescimento!#REF!-(AY55*0.64))/0.8)/1000</f>
        <v>#REF!</v>
      </c>
      <c r="AY56" s="7" t="e">
        <f>-53.07 + (304.89 * (AX56)) + (90.79 *Crescimento!#REF!) - (3.13 * Crescimento!#REF!*Crescimento!#REF!)</f>
        <v>#REF!</v>
      </c>
      <c r="AZ56" s="1"/>
      <c r="BA56" s="6" t="e">
        <f>(BB55+(Crescimento!#REF!-(BB55*0.64))/0.8)/1000</f>
        <v>#REF!</v>
      </c>
      <c r="BB56" s="7" t="e">
        <f>-53.07 + (304.89 * (BA56)) + (90.79 *Crescimento!#REF!) - (3.13 * Crescimento!#REF!*Crescimento!#REF!)</f>
        <v>#REF!</v>
      </c>
      <c r="BD56" s="6" t="e">
        <f>(BE55+(Crescimento!#REF!-(BE55*0.64))/0.8)/1000</f>
        <v>#REF!</v>
      </c>
      <c r="BE56" s="7" t="e">
        <f>-53.07 + (304.89 * (BD56)) + (90.79 *Crescimento!#REF!) - (3.13 * Crescimento!#REF!*Crescimento!#REF!)</f>
        <v>#REF!</v>
      </c>
      <c r="BG56" s="6" t="e">
        <f>(BH55+(Crescimento!#REF!-(BH55*0.64))/0.8)/1000</f>
        <v>#REF!</v>
      </c>
      <c r="BH56" s="7" t="e">
        <f>-53.07 + (304.89 * (BG56)) + (90.79 *Crescimento!#REF!) - (3.13 * Crescimento!#REF!*Crescimento!#REF!)</f>
        <v>#REF!</v>
      </c>
      <c r="BJ56" s="6" t="e">
        <f>(BK55+(Crescimento!#REF!-(BK55*0.64))/0.8)/1000</f>
        <v>#REF!</v>
      </c>
      <c r="BK56" s="7" t="e">
        <f>-53.07 + (304.89 * (BJ56)) + (90.79 *Crescimento!#REF!) - (3.13 * Crescimento!#REF!*Crescimento!#REF!)</f>
        <v>#REF!</v>
      </c>
      <c r="BL56" s="1"/>
      <c r="BM56" s="6" t="e">
        <f>(BN55+(Crescimento!#REF!-(BN55*0.64))/0.8)/1000</f>
        <v>#REF!</v>
      </c>
      <c r="BN56" s="7" t="e">
        <f>-53.07 + (304.89 * (BM56)) + (90.79 *Crescimento!#REF!) - (3.13 * Crescimento!#REF!*Crescimento!#REF!)</f>
        <v>#REF!</v>
      </c>
      <c r="BP56" s="6" t="e">
        <f>(BQ55+(Crescimento!#REF!-(BQ55*0.64))/0.8)/1000</f>
        <v>#REF!</v>
      </c>
      <c r="BQ56" s="7" t="e">
        <f>-53.07 + (304.89 * (BP56)) + (90.79 *Crescimento!#REF!) - (3.13 * Crescimento!#REF!*Crescimento!#REF!)</f>
        <v>#REF!</v>
      </c>
      <c r="BS56" s="6" t="e">
        <f>(BT55+(Crescimento!#REF!-(BT55*0.64))/0.8)/1000</f>
        <v>#REF!</v>
      </c>
      <c r="BT56" s="7" t="e">
        <f>-53.07 + (304.89 * (BS56)) + (90.79 *Crescimento!#REF!) - (3.13 * Crescimento!#REF!*Crescimento!#REF!)</f>
        <v>#REF!</v>
      </c>
      <c r="BV56" s="6" t="e">
        <f>(BW55+(Crescimento!#REF!-(BW55*0.64))/0.8)/1000</f>
        <v>#REF!</v>
      </c>
      <c r="BW56" s="7" t="e">
        <f>-53.07 + (304.89 * (BV56)) + (90.79 *Crescimento!#REF!) - (3.13 * Crescimento!#REF!*Crescimento!#REF!)</f>
        <v>#REF!</v>
      </c>
      <c r="BX56" s="1"/>
      <c r="BY56" s="6" t="e">
        <f>(BZ55+(Crescimento!#REF!-(BZ55*0.64))/0.8)/1000</f>
        <v>#REF!</v>
      </c>
      <c r="BZ56" s="7" t="e">
        <f>-53.07 + (304.89 * (BY56)) + (90.79 *Crescimento!#REF!) - (3.13 * Crescimento!#REF!*Crescimento!#REF!)</f>
        <v>#REF!</v>
      </c>
      <c r="CB56" s="6" t="e">
        <f>(CC55+(Crescimento!#REF!-(CC55*0.64))/0.8)/1000</f>
        <v>#REF!</v>
      </c>
      <c r="CC56" s="7" t="e">
        <f>-53.07 + (304.89 * (CB56)) + (90.79 *Crescimento!#REF!) - (3.13 * Crescimento!#REF!*Crescimento!#REF!)</f>
        <v>#REF!</v>
      </c>
      <c r="CE56" s="6" t="e">
        <f>(CF55+(Crescimento!#REF!-(CF55*0.64))/0.8)/1000</f>
        <v>#REF!</v>
      </c>
      <c r="CF56" s="7" t="e">
        <f>-53.07 + (304.89 * (CE56)) + (90.79 *Crescimento!#REF!) - (3.13 * Crescimento!#REF!*Crescimento!#REF!)</f>
        <v>#REF!</v>
      </c>
      <c r="CH56" s="6" t="e">
        <f>(CI55+(Crescimento!#REF!-(CI55*0.64))/0.8)/1000</f>
        <v>#REF!</v>
      </c>
      <c r="CI56" s="7" t="e">
        <f>-53.07 + (304.89 * (CH56)) + (90.79 *Crescimento!#REF!) - (3.13 * Crescimento!#REF!*Crescimento!#REF!)</f>
        <v>#REF!</v>
      </c>
      <c r="CJ56" s="1"/>
      <c r="CK56" s="6" t="e">
        <f>(CL55+(Crescimento!#REF!-(CL55*0.64))/0.8)/1000</f>
        <v>#REF!</v>
      </c>
      <c r="CL56" s="7" t="e">
        <f>-53.07 + (304.89 * (CK56)) + (90.79 *Crescimento!#REF!) - (3.13 * Crescimento!#REF!*Crescimento!#REF!)</f>
        <v>#REF!</v>
      </c>
      <c r="CN56" s="6" t="e">
        <f>(CO55+(Crescimento!#REF!-(CO55*0.64))/0.8)/1000</f>
        <v>#REF!</v>
      </c>
      <c r="CO56" s="7" t="e">
        <f>-53.07 + (304.89 * (CN56)) + (90.79 *Crescimento!#REF!) - (3.13 * Crescimento!#REF!*Crescimento!#REF!)</f>
        <v>#REF!</v>
      </c>
      <c r="CQ56" s="6" t="e">
        <f>(CR55+(Crescimento!#REF!-(CR55*0.64))/0.8)/1000</f>
        <v>#REF!</v>
      </c>
      <c r="CR56" s="7" t="e">
        <f>-53.07 + (304.89 * (CQ56)) + (90.79 *Crescimento!#REF!) - (3.13 * Crescimento!#REF!*Crescimento!#REF!)</f>
        <v>#REF!</v>
      </c>
    </row>
    <row r="57" spans="2:96" x14ac:dyDescent="0.25">
      <c r="B57" s="6">
        <f>(C56+(Crescimento!$Q$27-(C56*0.64))/0.8)/1000</f>
        <v>1.1187993738011861</v>
      </c>
      <c r="C57" s="8">
        <f>-53.07 + (304.89 * (B57)) + (90.79 *Crescimento!$Q$20) - (3.13 * Crescimento!$Q$20*Crescimento!$Q$20)</f>
        <v>757.4287040082213</v>
      </c>
      <c r="D57" s="1"/>
      <c r="E57" s="6" t="e">
        <f>(F56+(Crescimento!#REF!-(F56*0.64))/0.8)/1000</f>
        <v>#REF!</v>
      </c>
      <c r="F57" s="7" t="e">
        <f>-53.07 + (304.89 * (E57)) + (90.79 *Crescimento!#REF!) - (3.13 * Crescimento!#REF!*Crescimento!#REF!)</f>
        <v>#REF!</v>
      </c>
      <c r="H57" s="6" t="e">
        <f>(I56+(Crescimento!#REF!-(I56*0.64))/0.8)/1000</f>
        <v>#REF!</v>
      </c>
      <c r="I57" s="7" t="e">
        <f>-53.07 + (304.89 * (H57)) + (90.79 *Crescimento!#REF!) - (3.13 * Crescimento!#REF!*Crescimento!#REF!)</f>
        <v>#REF!</v>
      </c>
      <c r="K57" s="6" t="e">
        <f>(L56+(Crescimento!#REF!-(L56*0.64))/0.8)/1000</f>
        <v>#REF!</v>
      </c>
      <c r="L57" s="7" t="e">
        <f>-53.07 + (304.89 * (K57)) + (90.79 *Crescimento!#REF!) - (3.13 * Crescimento!#REF!*Crescimento!#REF!)</f>
        <v>#REF!</v>
      </c>
      <c r="N57" s="6" t="e">
        <f>(O56+(Crescimento!#REF!-(O56*0.64))/0.8)/1000</f>
        <v>#REF!</v>
      </c>
      <c r="O57" s="7" t="e">
        <f>-53.07 + (304.89 * (N57)) + (90.79 *Crescimento!#REF!) - (3.13 * Crescimento!#REF!*Crescimento!#REF!)</f>
        <v>#REF!</v>
      </c>
      <c r="P57" s="1"/>
      <c r="Q57" s="6" t="e">
        <f>(R56+(Crescimento!#REF!-(R56*0.64))/0.8)/1000</f>
        <v>#REF!</v>
      </c>
      <c r="R57" s="7" t="e">
        <f>-53.07 + (304.89 * (Q57)) + (90.79 *Crescimento!#REF!) - (3.13 * Crescimento!#REF!*Crescimento!#REF!)</f>
        <v>#REF!</v>
      </c>
      <c r="T57" s="6" t="e">
        <f>(U56+(Crescimento!#REF!-(U56*0.64))/0.8)/1000</f>
        <v>#REF!</v>
      </c>
      <c r="U57" s="7" t="e">
        <f>-53.07 + (304.89 * (T57)) + (90.79 *Crescimento!#REF!) - (3.13 * Crescimento!#REF!*Crescimento!#REF!)</f>
        <v>#REF!</v>
      </c>
      <c r="W57" s="6" t="e">
        <f>(X56+(Crescimento!#REF!-(X56*0.64))/0.8)/1000</f>
        <v>#REF!</v>
      </c>
      <c r="X57" s="7" t="e">
        <f>-53.07 + (304.89 * (W57)) + (90.79 *Crescimento!#REF!) - (3.13 * Crescimento!#REF!*Crescimento!#REF!)</f>
        <v>#REF!</v>
      </c>
      <c r="Z57" s="6" t="e">
        <f>(AA56+(Crescimento!#REF!-(AA56*0.64))/0.8)/1000</f>
        <v>#REF!</v>
      </c>
      <c r="AA57" s="7" t="e">
        <f>-53.07 + (304.89 * (Z57)) + (90.79 *Crescimento!#REF!) - (3.13 * Crescimento!#REF!*Crescimento!#REF!)</f>
        <v>#REF!</v>
      </c>
      <c r="AB57" s="1"/>
      <c r="AC57" s="6" t="e">
        <f>(AD56+(Crescimento!#REF!-(AD56*0.64))/0.8)/1000</f>
        <v>#REF!</v>
      </c>
      <c r="AD57" s="7" t="e">
        <f>-53.07 + (304.89 * (AC57)) + (90.79 *Crescimento!#REF!) - (3.13 * Crescimento!#REF!*Crescimento!#REF!)</f>
        <v>#REF!</v>
      </c>
      <c r="AF57" s="6" t="e">
        <f>(AG56+(Crescimento!#REF!-(AG56*0.64))/0.8)/1000</f>
        <v>#REF!</v>
      </c>
      <c r="AG57" s="7" t="e">
        <f>-53.07 + (304.89 * (AF57)) + (90.79 *Crescimento!#REF!) - (3.13 * Crescimento!#REF!*Crescimento!#REF!)</f>
        <v>#REF!</v>
      </c>
      <c r="AI57" s="6" t="e">
        <f>(AJ56+(Crescimento!#REF!-(AJ56*0.64))/0.8)/1000</f>
        <v>#REF!</v>
      </c>
      <c r="AJ57" s="7" t="e">
        <f>-53.07 + (304.89 * (AI57)) + (90.79 *Crescimento!#REF!) - (3.13 * Crescimento!#REF!*Crescimento!#REF!)</f>
        <v>#REF!</v>
      </c>
      <c r="AL57" s="6" t="e">
        <f>(AM56+(Crescimento!#REF!-(AM56*0.64))/0.8)/1000</f>
        <v>#REF!</v>
      </c>
      <c r="AM57" s="7" t="e">
        <f>-53.07 + (304.89 * (AL57)) + (90.79 *Crescimento!#REF!) - (3.13 * Crescimento!#REF!*Crescimento!#REF!)</f>
        <v>#REF!</v>
      </c>
      <c r="AN57" s="1"/>
      <c r="AO57" s="6" t="e">
        <f>(AP56+(Crescimento!#REF!-(AP56*0.64))/0.8)/1000</f>
        <v>#REF!</v>
      </c>
      <c r="AP57" s="7" t="e">
        <f>-53.07 + (304.89 * (AO57)) + (90.79 *Crescimento!#REF!) - (3.13 * Crescimento!#REF!*Crescimento!#REF!)</f>
        <v>#REF!</v>
      </c>
      <c r="AR57" s="6" t="e">
        <f>(AS56+(Crescimento!#REF!-(AS56*0.64))/0.8)/1000</f>
        <v>#REF!</v>
      </c>
      <c r="AS57" s="7" t="e">
        <f>-53.07 + (304.89 * (AR57)) + (90.79 *Crescimento!#REF!) - (3.13 * Crescimento!#REF!*Crescimento!#REF!)</f>
        <v>#REF!</v>
      </c>
      <c r="AU57" s="6" t="e">
        <f>(AV56+(Crescimento!#REF!-(AV56*0.64))/0.8)/1000</f>
        <v>#REF!</v>
      </c>
      <c r="AV57" s="7" t="e">
        <f>-53.07 + (304.89 * (AU57)) + (90.79 *Crescimento!#REF!) - (3.13 * Crescimento!#REF!*Crescimento!#REF!)</f>
        <v>#REF!</v>
      </c>
      <c r="AX57" s="6" t="e">
        <f>(AY56+(Crescimento!#REF!-(AY56*0.64))/0.8)/1000</f>
        <v>#REF!</v>
      </c>
      <c r="AY57" s="7" t="e">
        <f>-53.07 + (304.89 * (AX57)) + (90.79 *Crescimento!#REF!) - (3.13 * Crescimento!#REF!*Crescimento!#REF!)</f>
        <v>#REF!</v>
      </c>
      <c r="AZ57" s="1"/>
      <c r="BA57" s="6" t="e">
        <f>(BB56+(Crescimento!#REF!-(BB56*0.64))/0.8)/1000</f>
        <v>#REF!</v>
      </c>
      <c r="BB57" s="7" t="e">
        <f>-53.07 + (304.89 * (BA57)) + (90.79 *Crescimento!#REF!) - (3.13 * Crescimento!#REF!*Crescimento!#REF!)</f>
        <v>#REF!</v>
      </c>
      <c r="BD57" s="6" t="e">
        <f>(BE56+(Crescimento!#REF!-(BE56*0.64))/0.8)/1000</f>
        <v>#REF!</v>
      </c>
      <c r="BE57" s="7" t="e">
        <f>-53.07 + (304.89 * (BD57)) + (90.79 *Crescimento!#REF!) - (3.13 * Crescimento!#REF!*Crescimento!#REF!)</f>
        <v>#REF!</v>
      </c>
      <c r="BG57" s="6" t="e">
        <f>(BH56+(Crescimento!#REF!-(BH56*0.64))/0.8)/1000</f>
        <v>#REF!</v>
      </c>
      <c r="BH57" s="7" t="e">
        <f>-53.07 + (304.89 * (BG57)) + (90.79 *Crescimento!#REF!) - (3.13 * Crescimento!#REF!*Crescimento!#REF!)</f>
        <v>#REF!</v>
      </c>
      <c r="BJ57" s="6" t="e">
        <f>(BK56+(Crescimento!#REF!-(BK56*0.64))/0.8)/1000</f>
        <v>#REF!</v>
      </c>
      <c r="BK57" s="7" t="e">
        <f>-53.07 + (304.89 * (BJ57)) + (90.79 *Crescimento!#REF!) - (3.13 * Crescimento!#REF!*Crescimento!#REF!)</f>
        <v>#REF!</v>
      </c>
      <c r="BL57" s="1"/>
      <c r="BM57" s="6" t="e">
        <f>(BN56+(Crescimento!#REF!-(BN56*0.64))/0.8)/1000</f>
        <v>#REF!</v>
      </c>
      <c r="BN57" s="7" t="e">
        <f>-53.07 + (304.89 * (BM57)) + (90.79 *Crescimento!#REF!) - (3.13 * Crescimento!#REF!*Crescimento!#REF!)</f>
        <v>#REF!</v>
      </c>
      <c r="BP57" s="6" t="e">
        <f>(BQ56+(Crescimento!#REF!-(BQ56*0.64))/0.8)/1000</f>
        <v>#REF!</v>
      </c>
      <c r="BQ57" s="7" t="e">
        <f>-53.07 + (304.89 * (BP57)) + (90.79 *Crescimento!#REF!) - (3.13 * Crescimento!#REF!*Crescimento!#REF!)</f>
        <v>#REF!</v>
      </c>
      <c r="BS57" s="6" t="e">
        <f>(BT56+(Crescimento!#REF!-(BT56*0.64))/0.8)/1000</f>
        <v>#REF!</v>
      </c>
      <c r="BT57" s="7" t="e">
        <f>-53.07 + (304.89 * (BS57)) + (90.79 *Crescimento!#REF!) - (3.13 * Crescimento!#REF!*Crescimento!#REF!)</f>
        <v>#REF!</v>
      </c>
      <c r="BV57" s="6" t="e">
        <f>(BW56+(Crescimento!#REF!-(BW56*0.64))/0.8)/1000</f>
        <v>#REF!</v>
      </c>
      <c r="BW57" s="7" t="e">
        <f>-53.07 + (304.89 * (BV57)) + (90.79 *Crescimento!#REF!) - (3.13 * Crescimento!#REF!*Crescimento!#REF!)</f>
        <v>#REF!</v>
      </c>
      <c r="BX57" s="1"/>
      <c r="BY57" s="6" t="e">
        <f>(BZ56+(Crescimento!#REF!-(BZ56*0.64))/0.8)/1000</f>
        <v>#REF!</v>
      </c>
      <c r="BZ57" s="7" t="e">
        <f>-53.07 + (304.89 * (BY57)) + (90.79 *Crescimento!#REF!) - (3.13 * Crescimento!#REF!*Crescimento!#REF!)</f>
        <v>#REF!</v>
      </c>
      <c r="CB57" s="6" t="e">
        <f>(CC56+(Crescimento!#REF!-(CC56*0.64))/0.8)/1000</f>
        <v>#REF!</v>
      </c>
      <c r="CC57" s="7" t="e">
        <f>-53.07 + (304.89 * (CB57)) + (90.79 *Crescimento!#REF!) - (3.13 * Crescimento!#REF!*Crescimento!#REF!)</f>
        <v>#REF!</v>
      </c>
      <c r="CE57" s="6" t="e">
        <f>(CF56+(Crescimento!#REF!-(CF56*0.64))/0.8)/1000</f>
        <v>#REF!</v>
      </c>
      <c r="CF57" s="7" t="e">
        <f>-53.07 + (304.89 * (CE57)) + (90.79 *Crescimento!#REF!) - (3.13 * Crescimento!#REF!*Crescimento!#REF!)</f>
        <v>#REF!</v>
      </c>
      <c r="CH57" s="6" t="e">
        <f>(CI56+(Crescimento!#REF!-(CI56*0.64))/0.8)/1000</f>
        <v>#REF!</v>
      </c>
      <c r="CI57" s="7" t="e">
        <f>-53.07 + (304.89 * (CH57)) + (90.79 *Crescimento!#REF!) - (3.13 * Crescimento!#REF!*Crescimento!#REF!)</f>
        <v>#REF!</v>
      </c>
      <c r="CJ57" s="1"/>
      <c r="CK57" s="6" t="e">
        <f>(CL56+(Crescimento!#REF!-(CL56*0.64))/0.8)/1000</f>
        <v>#REF!</v>
      </c>
      <c r="CL57" s="7" t="e">
        <f>-53.07 + (304.89 * (CK57)) + (90.79 *Crescimento!#REF!) - (3.13 * Crescimento!#REF!*Crescimento!#REF!)</f>
        <v>#REF!</v>
      </c>
      <c r="CN57" s="6" t="e">
        <f>(CO56+(Crescimento!#REF!-(CO56*0.64))/0.8)/1000</f>
        <v>#REF!</v>
      </c>
      <c r="CO57" s="7" t="e">
        <f>-53.07 + (304.89 * (CN57)) + (90.79 *Crescimento!#REF!) - (3.13 * Crescimento!#REF!*Crescimento!#REF!)</f>
        <v>#REF!</v>
      </c>
      <c r="CQ57" s="6" t="e">
        <f>(CR56+(Crescimento!#REF!-(CR56*0.64))/0.8)/1000</f>
        <v>#REF!</v>
      </c>
      <c r="CR57" s="7" t="e">
        <f>-53.07 + (304.89 * (CQ57)) + (90.79 *Crescimento!#REF!) - (3.13 * Crescimento!#REF!*Crescimento!#REF!)</f>
        <v>#REF!</v>
      </c>
    </row>
    <row r="58" spans="2:96" x14ac:dyDescent="0.25">
      <c r="B58" s="6">
        <f>(C57+(Crescimento!$Q$27-(C57*0.64))/0.8)/1000</f>
        <v>1.1187993738011861</v>
      </c>
      <c r="C58" s="8">
        <f>-53.07 + (304.89 * (B58)) + (90.79 *Crescimento!$Q$20) - (3.13 * Crescimento!$Q$20*Crescimento!$Q$20)</f>
        <v>757.4287040082213</v>
      </c>
      <c r="D58" s="1"/>
      <c r="E58" s="6" t="e">
        <f>(F57+(Crescimento!#REF!-(F57*0.64))/0.8)/1000</f>
        <v>#REF!</v>
      </c>
      <c r="F58" s="7" t="e">
        <f>-53.07 + (304.89 * (E58)) + (90.79 *Crescimento!#REF!) - (3.13 * Crescimento!#REF!*Crescimento!#REF!)</f>
        <v>#REF!</v>
      </c>
      <c r="H58" s="6" t="e">
        <f>(I57+(Crescimento!#REF!-(I57*0.64))/0.8)/1000</f>
        <v>#REF!</v>
      </c>
      <c r="I58" s="7" t="e">
        <f>-53.07 + (304.89 * (H58)) + (90.79 *Crescimento!#REF!) - (3.13 * Crescimento!#REF!*Crescimento!#REF!)</f>
        <v>#REF!</v>
      </c>
      <c r="K58" s="6" t="e">
        <f>(L57+(Crescimento!#REF!-(L57*0.64))/0.8)/1000</f>
        <v>#REF!</v>
      </c>
      <c r="L58" s="7" t="e">
        <f>-53.07 + (304.89 * (K58)) + (90.79 *Crescimento!#REF!) - (3.13 * Crescimento!#REF!*Crescimento!#REF!)</f>
        <v>#REF!</v>
      </c>
      <c r="N58" s="6" t="e">
        <f>(O57+(Crescimento!#REF!-(O57*0.64))/0.8)/1000</f>
        <v>#REF!</v>
      </c>
      <c r="O58" s="7" t="e">
        <f>-53.07 + (304.89 * (N58)) + (90.79 *Crescimento!#REF!) - (3.13 * Crescimento!#REF!*Crescimento!#REF!)</f>
        <v>#REF!</v>
      </c>
      <c r="P58" s="1"/>
      <c r="Q58" s="6" t="e">
        <f>(R57+(Crescimento!#REF!-(R57*0.64))/0.8)/1000</f>
        <v>#REF!</v>
      </c>
      <c r="R58" s="7" t="e">
        <f>-53.07 + (304.89 * (Q58)) + (90.79 *Crescimento!#REF!) - (3.13 * Crescimento!#REF!*Crescimento!#REF!)</f>
        <v>#REF!</v>
      </c>
      <c r="T58" s="6" t="e">
        <f>(U57+(Crescimento!#REF!-(U57*0.64))/0.8)/1000</f>
        <v>#REF!</v>
      </c>
      <c r="U58" s="7" t="e">
        <f>-53.07 + (304.89 * (T58)) + (90.79 *Crescimento!#REF!) - (3.13 * Crescimento!#REF!*Crescimento!#REF!)</f>
        <v>#REF!</v>
      </c>
      <c r="W58" s="6" t="e">
        <f>(X57+(Crescimento!#REF!-(X57*0.64))/0.8)/1000</f>
        <v>#REF!</v>
      </c>
      <c r="X58" s="7" t="e">
        <f>-53.07 + (304.89 * (W58)) + (90.79 *Crescimento!#REF!) - (3.13 * Crescimento!#REF!*Crescimento!#REF!)</f>
        <v>#REF!</v>
      </c>
      <c r="Z58" s="6" t="e">
        <f>(AA57+(Crescimento!#REF!-(AA57*0.64))/0.8)/1000</f>
        <v>#REF!</v>
      </c>
      <c r="AA58" s="7" t="e">
        <f>-53.07 + (304.89 * (Z58)) + (90.79 *Crescimento!#REF!) - (3.13 * Crescimento!#REF!*Crescimento!#REF!)</f>
        <v>#REF!</v>
      </c>
      <c r="AB58" s="1"/>
      <c r="AC58" s="6" t="e">
        <f>(AD57+(Crescimento!#REF!-(AD57*0.64))/0.8)/1000</f>
        <v>#REF!</v>
      </c>
      <c r="AD58" s="7" t="e">
        <f>-53.07 + (304.89 * (AC58)) + (90.79 *Crescimento!#REF!) - (3.13 * Crescimento!#REF!*Crescimento!#REF!)</f>
        <v>#REF!</v>
      </c>
      <c r="AF58" s="6" t="e">
        <f>(AG57+(Crescimento!#REF!-(AG57*0.64))/0.8)/1000</f>
        <v>#REF!</v>
      </c>
      <c r="AG58" s="7" t="e">
        <f>-53.07 + (304.89 * (AF58)) + (90.79 *Crescimento!#REF!) - (3.13 * Crescimento!#REF!*Crescimento!#REF!)</f>
        <v>#REF!</v>
      </c>
      <c r="AI58" s="6" t="e">
        <f>(AJ57+(Crescimento!#REF!-(AJ57*0.64))/0.8)/1000</f>
        <v>#REF!</v>
      </c>
      <c r="AJ58" s="7" t="e">
        <f>-53.07 + (304.89 * (AI58)) + (90.79 *Crescimento!#REF!) - (3.13 * Crescimento!#REF!*Crescimento!#REF!)</f>
        <v>#REF!</v>
      </c>
      <c r="AL58" s="6" t="e">
        <f>(AM57+(Crescimento!#REF!-(AM57*0.64))/0.8)/1000</f>
        <v>#REF!</v>
      </c>
      <c r="AM58" s="7" t="e">
        <f>-53.07 + (304.89 * (AL58)) + (90.79 *Crescimento!#REF!) - (3.13 * Crescimento!#REF!*Crescimento!#REF!)</f>
        <v>#REF!</v>
      </c>
      <c r="AN58" s="1"/>
      <c r="AO58" s="6" t="e">
        <f>(AP57+(Crescimento!#REF!-(AP57*0.64))/0.8)/1000</f>
        <v>#REF!</v>
      </c>
      <c r="AP58" s="7" t="e">
        <f>-53.07 + (304.89 * (AO58)) + (90.79 *Crescimento!#REF!) - (3.13 * Crescimento!#REF!*Crescimento!#REF!)</f>
        <v>#REF!</v>
      </c>
      <c r="AR58" s="6" t="e">
        <f>(AS57+(Crescimento!#REF!-(AS57*0.64))/0.8)/1000</f>
        <v>#REF!</v>
      </c>
      <c r="AS58" s="7" t="e">
        <f>-53.07 + (304.89 * (AR58)) + (90.79 *Crescimento!#REF!) - (3.13 * Crescimento!#REF!*Crescimento!#REF!)</f>
        <v>#REF!</v>
      </c>
      <c r="AU58" s="6" t="e">
        <f>(AV57+(Crescimento!#REF!-(AV57*0.64))/0.8)/1000</f>
        <v>#REF!</v>
      </c>
      <c r="AV58" s="7" t="e">
        <f>-53.07 + (304.89 * (AU58)) + (90.79 *Crescimento!#REF!) - (3.13 * Crescimento!#REF!*Crescimento!#REF!)</f>
        <v>#REF!</v>
      </c>
      <c r="AX58" s="6" t="e">
        <f>(AY57+(Crescimento!#REF!-(AY57*0.64))/0.8)/1000</f>
        <v>#REF!</v>
      </c>
      <c r="AY58" s="7" t="e">
        <f>-53.07 + (304.89 * (AX58)) + (90.79 *Crescimento!#REF!) - (3.13 * Crescimento!#REF!*Crescimento!#REF!)</f>
        <v>#REF!</v>
      </c>
      <c r="AZ58" s="1"/>
      <c r="BA58" s="6" t="e">
        <f>(BB57+(Crescimento!#REF!-(BB57*0.64))/0.8)/1000</f>
        <v>#REF!</v>
      </c>
      <c r="BB58" s="7" t="e">
        <f>-53.07 + (304.89 * (BA58)) + (90.79 *Crescimento!#REF!) - (3.13 * Crescimento!#REF!*Crescimento!#REF!)</f>
        <v>#REF!</v>
      </c>
      <c r="BD58" s="6" t="e">
        <f>(BE57+(Crescimento!#REF!-(BE57*0.64))/0.8)/1000</f>
        <v>#REF!</v>
      </c>
      <c r="BE58" s="7" t="e">
        <f>-53.07 + (304.89 * (BD58)) + (90.79 *Crescimento!#REF!) - (3.13 * Crescimento!#REF!*Crescimento!#REF!)</f>
        <v>#REF!</v>
      </c>
      <c r="BG58" s="6" t="e">
        <f>(BH57+(Crescimento!#REF!-(BH57*0.64))/0.8)/1000</f>
        <v>#REF!</v>
      </c>
      <c r="BH58" s="7" t="e">
        <f>-53.07 + (304.89 * (BG58)) + (90.79 *Crescimento!#REF!) - (3.13 * Crescimento!#REF!*Crescimento!#REF!)</f>
        <v>#REF!</v>
      </c>
      <c r="BJ58" s="6" t="e">
        <f>(BK57+(Crescimento!#REF!-(BK57*0.64))/0.8)/1000</f>
        <v>#REF!</v>
      </c>
      <c r="BK58" s="7" t="e">
        <f>-53.07 + (304.89 * (BJ58)) + (90.79 *Crescimento!#REF!) - (3.13 * Crescimento!#REF!*Crescimento!#REF!)</f>
        <v>#REF!</v>
      </c>
      <c r="BL58" s="1"/>
      <c r="BM58" s="6" t="e">
        <f>(BN57+(Crescimento!#REF!-(BN57*0.64))/0.8)/1000</f>
        <v>#REF!</v>
      </c>
      <c r="BN58" s="7" t="e">
        <f>-53.07 + (304.89 * (BM58)) + (90.79 *Crescimento!#REF!) - (3.13 * Crescimento!#REF!*Crescimento!#REF!)</f>
        <v>#REF!</v>
      </c>
      <c r="BP58" s="6" t="e">
        <f>(BQ57+(Crescimento!#REF!-(BQ57*0.64))/0.8)/1000</f>
        <v>#REF!</v>
      </c>
      <c r="BQ58" s="7" t="e">
        <f>-53.07 + (304.89 * (BP58)) + (90.79 *Crescimento!#REF!) - (3.13 * Crescimento!#REF!*Crescimento!#REF!)</f>
        <v>#REF!</v>
      </c>
      <c r="BS58" s="6" t="e">
        <f>(BT57+(Crescimento!#REF!-(BT57*0.64))/0.8)/1000</f>
        <v>#REF!</v>
      </c>
      <c r="BT58" s="7" t="e">
        <f>-53.07 + (304.89 * (BS58)) + (90.79 *Crescimento!#REF!) - (3.13 * Crescimento!#REF!*Crescimento!#REF!)</f>
        <v>#REF!</v>
      </c>
      <c r="BV58" s="6" t="e">
        <f>(BW57+(Crescimento!#REF!-(BW57*0.64))/0.8)/1000</f>
        <v>#REF!</v>
      </c>
      <c r="BW58" s="7" t="e">
        <f>-53.07 + (304.89 * (BV58)) + (90.79 *Crescimento!#REF!) - (3.13 * Crescimento!#REF!*Crescimento!#REF!)</f>
        <v>#REF!</v>
      </c>
      <c r="BX58" s="1"/>
      <c r="BY58" s="6" t="e">
        <f>(BZ57+(Crescimento!#REF!-(BZ57*0.64))/0.8)/1000</f>
        <v>#REF!</v>
      </c>
      <c r="BZ58" s="7" t="e">
        <f>-53.07 + (304.89 * (BY58)) + (90.79 *Crescimento!#REF!) - (3.13 * Crescimento!#REF!*Crescimento!#REF!)</f>
        <v>#REF!</v>
      </c>
      <c r="CB58" s="6" t="e">
        <f>(CC57+(Crescimento!#REF!-(CC57*0.64))/0.8)/1000</f>
        <v>#REF!</v>
      </c>
      <c r="CC58" s="7" t="e">
        <f>-53.07 + (304.89 * (CB58)) + (90.79 *Crescimento!#REF!) - (3.13 * Crescimento!#REF!*Crescimento!#REF!)</f>
        <v>#REF!</v>
      </c>
      <c r="CE58" s="6" t="e">
        <f>(CF57+(Crescimento!#REF!-(CF57*0.64))/0.8)/1000</f>
        <v>#REF!</v>
      </c>
      <c r="CF58" s="7" t="e">
        <f>-53.07 + (304.89 * (CE58)) + (90.79 *Crescimento!#REF!) - (3.13 * Crescimento!#REF!*Crescimento!#REF!)</f>
        <v>#REF!</v>
      </c>
      <c r="CH58" s="6" t="e">
        <f>(CI57+(Crescimento!#REF!-(CI57*0.64))/0.8)/1000</f>
        <v>#REF!</v>
      </c>
      <c r="CI58" s="7" t="e">
        <f>-53.07 + (304.89 * (CH58)) + (90.79 *Crescimento!#REF!) - (3.13 * Crescimento!#REF!*Crescimento!#REF!)</f>
        <v>#REF!</v>
      </c>
      <c r="CJ58" s="1"/>
      <c r="CK58" s="6" t="e">
        <f>(CL57+(Crescimento!#REF!-(CL57*0.64))/0.8)/1000</f>
        <v>#REF!</v>
      </c>
      <c r="CL58" s="7" t="e">
        <f>-53.07 + (304.89 * (CK58)) + (90.79 *Crescimento!#REF!) - (3.13 * Crescimento!#REF!*Crescimento!#REF!)</f>
        <v>#REF!</v>
      </c>
      <c r="CN58" s="6" t="e">
        <f>(CO57+(Crescimento!#REF!-(CO57*0.64))/0.8)/1000</f>
        <v>#REF!</v>
      </c>
      <c r="CO58" s="7" t="e">
        <f>-53.07 + (304.89 * (CN58)) + (90.79 *Crescimento!#REF!) - (3.13 * Crescimento!#REF!*Crescimento!#REF!)</f>
        <v>#REF!</v>
      </c>
      <c r="CQ58" s="6" t="e">
        <f>(CR57+(Crescimento!#REF!-(CR57*0.64))/0.8)/1000</f>
        <v>#REF!</v>
      </c>
      <c r="CR58" s="7" t="e">
        <f>-53.07 + (304.89 * (CQ58)) + (90.79 *Crescimento!#REF!) - (3.13 * Crescimento!#REF!*Crescimento!#REF!)</f>
        <v>#REF!</v>
      </c>
    </row>
    <row r="59" spans="2:96" x14ac:dyDescent="0.25">
      <c r="B59" s="6">
        <f>(C58+(Crescimento!$Q$27-(C58*0.64))/0.8)/1000</f>
        <v>1.1187993738011861</v>
      </c>
      <c r="C59" s="8">
        <f>-53.07 + (304.89 * (B59)) + (90.79 *Crescimento!$Q$20) - (3.13 * Crescimento!$Q$20*Crescimento!$Q$20)</f>
        <v>757.4287040082213</v>
      </c>
      <c r="D59" s="1"/>
      <c r="E59" s="6" t="e">
        <f>(F58+(Crescimento!#REF!-(F58*0.64))/0.8)/1000</f>
        <v>#REF!</v>
      </c>
      <c r="F59" s="7" t="e">
        <f>-53.07 + (304.89 * (E59)) + (90.79 *Crescimento!#REF!) - (3.13 * Crescimento!#REF!*Crescimento!#REF!)</f>
        <v>#REF!</v>
      </c>
      <c r="H59" s="6" t="e">
        <f>(I58+(Crescimento!#REF!-(I58*0.64))/0.8)/1000</f>
        <v>#REF!</v>
      </c>
      <c r="I59" s="7" t="e">
        <f>-53.07 + (304.89 * (H59)) + (90.79 *Crescimento!#REF!) - (3.13 * Crescimento!#REF!*Crescimento!#REF!)</f>
        <v>#REF!</v>
      </c>
      <c r="K59" s="6" t="e">
        <f>(L58+(Crescimento!#REF!-(L58*0.64))/0.8)/1000</f>
        <v>#REF!</v>
      </c>
      <c r="L59" s="7" t="e">
        <f>-53.07 + (304.89 * (K59)) + (90.79 *Crescimento!#REF!) - (3.13 * Crescimento!#REF!*Crescimento!#REF!)</f>
        <v>#REF!</v>
      </c>
      <c r="N59" s="6" t="e">
        <f>(O58+(Crescimento!#REF!-(O58*0.64))/0.8)/1000</f>
        <v>#REF!</v>
      </c>
      <c r="O59" s="7" t="e">
        <f>-53.07 + (304.89 * (N59)) + (90.79 *Crescimento!#REF!) - (3.13 * Crescimento!#REF!*Crescimento!#REF!)</f>
        <v>#REF!</v>
      </c>
      <c r="P59" s="1"/>
      <c r="Q59" s="6" t="e">
        <f>(R58+(Crescimento!#REF!-(R58*0.64))/0.8)/1000</f>
        <v>#REF!</v>
      </c>
      <c r="R59" s="7" t="e">
        <f>-53.07 + (304.89 * (Q59)) + (90.79 *Crescimento!#REF!) - (3.13 * Crescimento!#REF!*Crescimento!#REF!)</f>
        <v>#REF!</v>
      </c>
      <c r="T59" s="6" t="e">
        <f>(U58+(Crescimento!#REF!-(U58*0.64))/0.8)/1000</f>
        <v>#REF!</v>
      </c>
      <c r="U59" s="7" t="e">
        <f>-53.07 + (304.89 * (T59)) + (90.79 *Crescimento!#REF!) - (3.13 * Crescimento!#REF!*Crescimento!#REF!)</f>
        <v>#REF!</v>
      </c>
      <c r="W59" s="6" t="e">
        <f>(X58+(Crescimento!#REF!-(X58*0.64))/0.8)/1000</f>
        <v>#REF!</v>
      </c>
      <c r="X59" s="7" t="e">
        <f>-53.07 + (304.89 * (W59)) + (90.79 *Crescimento!#REF!) - (3.13 * Crescimento!#REF!*Crescimento!#REF!)</f>
        <v>#REF!</v>
      </c>
      <c r="Z59" s="6" t="e">
        <f>(AA58+(Crescimento!#REF!-(AA58*0.64))/0.8)/1000</f>
        <v>#REF!</v>
      </c>
      <c r="AA59" s="7" t="e">
        <f>-53.07 + (304.89 * (Z59)) + (90.79 *Crescimento!#REF!) - (3.13 * Crescimento!#REF!*Crescimento!#REF!)</f>
        <v>#REF!</v>
      </c>
      <c r="AB59" s="1"/>
      <c r="AC59" s="6" t="e">
        <f>(AD58+(Crescimento!#REF!-(AD58*0.64))/0.8)/1000</f>
        <v>#REF!</v>
      </c>
      <c r="AD59" s="7" t="e">
        <f>-53.07 + (304.89 * (AC59)) + (90.79 *Crescimento!#REF!) - (3.13 * Crescimento!#REF!*Crescimento!#REF!)</f>
        <v>#REF!</v>
      </c>
      <c r="AF59" s="6" t="e">
        <f>(AG58+(Crescimento!#REF!-(AG58*0.64))/0.8)/1000</f>
        <v>#REF!</v>
      </c>
      <c r="AG59" s="7" t="e">
        <f>-53.07 + (304.89 * (AF59)) + (90.79 *Crescimento!#REF!) - (3.13 * Crescimento!#REF!*Crescimento!#REF!)</f>
        <v>#REF!</v>
      </c>
      <c r="AI59" s="6" t="e">
        <f>(AJ58+(Crescimento!#REF!-(AJ58*0.64))/0.8)/1000</f>
        <v>#REF!</v>
      </c>
      <c r="AJ59" s="7" t="e">
        <f>-53.07 + (304.89 * (AI59)) + (90.79 *Crescimento!#REF!) - (3.13 * Crescimento!#REF!*Crescimento!#REF!)</f>
        <v>#REF!</v>
      </c>
      <c r="AL59" s="6" t="e">
        <f>(AM58+(Crescimento!#REF!-(AM58*0.64))/0.8)/1000</f>
        <v>#REF!</v>
      </c>
      <c r="AM59" s="7" t="e">
        <f>-53.07 + (304.89 * (AL59)) + (90.79 *Crescimento!#REF!) - (3.13 * Crescimento!#REF!*Crescimento!#REF!)</f>
        <v>#REF!</v>
      </c>
      <c r="AN59" s="1"/>
      <c r="AO59" s="6" t="e">
        <f>(AP58+(Crescimento!#REF!-(AP58*0.64))/0.8)/1000</f>
        <v>#REF!</v>
      </c>
      <c r="AP59" s="7" t="e">
        <f>-53.07 + (304.89 * (AO59)) + (90.79 *Crescimento!#REF!) - (3.13 * Crescimento!#REF!*Crescimento!#REF!)</f>
        <v>#REF!</v>
      </c>
      <c r="AR59" s="6" t="e">
        <f>(AS58+(Crescimento!#REF!-(AS58*0.64))/0.8)/1000</f>
        <v>#REF!</v>
      </c>
      <c r="AS59" s="7" t="e">
        <f>-53.07 + (304.89 * (AR59)) + (90.79 *Crescimento!#REF!) - (3.13 * Crescimento!#REF!*Crescimento!#REF!)</f>
        <v>#REF!</v>
      </c>
      <c r="AU59" s="6" t="e">
        <f>(AV58+(Crescimento!#REF!-(AV58*0.64))/0.8)/1000</f>
        <v>#REF!</v>
      </c>
      <c r="AV59" s="7" t="e">
        <f>-53.07 + (304.89 * (AU59)) + (90.79 *Crescimento!#REF!) - (3.13 * Crescimento!#REF!*Crescimento!#REF!)</f>
        <v>#REF!</v>
      </c>
      <c r="AX59" s="6" t="e">
        <f>(AY58+(Crescimento!#REF!-(AY58*0.64))/0.8)/1000</f>
        <v>#REF!</v>
      </c>
      <c r="AY59" s="7" t="e">
        <f>-53.07 + (304.89 * (AX59)) + (90.79 *Crescimento!#REF!) - (3.13 * Crescimento!#REF!*Crescimento!#REF!)</f>
        <v>#REF!</v>
      </c>
      <c r="AZ59" s="1"/>
      <c r="BA59" s="6" t="e">
        <f>(BB58+(Crescimento!#REF!-(BB58*0.64))/0.8)/1000</f>
        <v>#REF!</v>
      </c>
      <c r="BB59" s="7" t="e">
        <f>-53.07 + (304.89 * (BA59)) + (90.79 *Crescimento!#REF!) - (3.13 * Crescimento!#REF!*Crescimento!#REF!)</f>
        <v>#REF!</v>
      </c>
      <c r="BD59" s="6" t="e">
        <f>(BE58+(Crescimento!#REF!-(BE58*0.64))/0.8)/1000</f>
        <v>#REF!</v>
      </c>
      <c r="BE59" s="7" t="e">
        <f>-53.07 + (304.89 * (BD59)) + (90.79 *Crescimento!#REF!) - (3.13 * Crescimento!#REF!*Crescimento!#REF!)</f>
        <v>#REF!</v>
      </c>
      <c r="BG59" s="6" t="e">
        <f>(BH58+(Crescimento!#REF!-(BH58*0.64))/0.8)/1000</f>
        <v>#REF!</v>
      </c>
      <c r="BH59" s="7" t="e">
        <f>-53.07 + (304.89 * (BG59)) + (90.79 *Crescimento!#REF!) - (3.13 * Crescimento!#REF!*Crescimento!#REF!)</f>
        <v>#REF!</v>
      </c>
      <c r="BJ59" s="6" t="e">
        <f>(BK58+(Crescimento!#REF!-(BK58*0.64))/0.8)/1000</f>
        <v>#REF!</v>
      </c>
      <c r="BK59" s="7" t="e">
        <f>-53.07 + (304.89 * (BJ59)) + (90.79 *Crescimento!#REF!) - (3.13 * Crescimento!#REF!*Crescimento!#REF!)</f>
        <v>#REF!</v>
      </c>
      <c r="BL59" s="1"/>
      <c r="BM59" s="6" t="e">
        <f>(BN58+(Crescimento!#REF!-(BN58*0.64))/0.8)/1000</f>
        <v>#REF!</v>
      </c>
      <c r="BN59" s="7" t="e">
        <f>-53.07 + (304.89 * (BM59)) + (90.79 *Crescimento!#REF!) - (3.13 * Crescimento!#REF!*Crescimento!#REF!)</f>
        <v>#REF!</v>
      </c>
      <c r="BP59" s="6" t="e">
        <f>(BQ58+(Crescimento!#REF!-(BQ58*0.64))/0.8)/1000</f>
        <v>#REF!</v>
      </c>
      <c r="BQ59" s="7" t="e">
        <f>-53.07 + (304.89 * (BP59)) + (90.79 *Crescimento!#REF!) - (3.13 * Crescimento!#REF!*Crescimento!#REF!)</f>
        <v>#REF!</v>
      </c>
      <c r="BS59" s="6" t="e">
        <f>(BT58+(Crescimento!#REF!-(BT58*0.64))/0.8)/1000</f>
        <v>#REF!</v>
      </c>
      <c r="BT59" s="7" t="e">
        <f>-53.07 + (304.89 * (BS59)) + (90.79 *Crescimento!#REF!) - (3.13 * Crescimento!#REF!*Crescimento!#REF!)</f>
        <v>#REF!</v>
      </c>
      <c r="BV59" s="6" t="e">
        <f>(BW58+(Crescimento!#REF!-(BW58*0.64))/0.8)/1000</f>
        <v>#REF!</v>
      </c>
      <c r="BW59" s="7" t="e">
        <f>-53.07 + (304.89 * (BV59)) + (90.79 *Crescimento!#REF!) - (3.13 * Crescimento!#REF!*Crescimento!#REF!)</f>
        <v>#REF!</v>
      </c>
      <c r="BX59" s="1"/>
      <c r="BY59" s="6" t="e">
        <f>(BZ58+(Crescimento!#REF!-(BZ58*0.64))/0.8)/1000</f>
        <v>#REF!</v>
      </c>
      <c r="BZ59" s="7" t="e">
        <f>-53.07 + (304.89 * (BY59)) + (90.79 *Crescimento!#REF!) - (3.13 * Crescimento!#REF!*Crescimento!#REF!)</f>
        <v>#REF!</v>
      </c>
      <c r="CB59" s="6" t="e">
        <f>(CC58+(Crescimento!#REF!-(CC58*0.64))/0.8)/1000</f>
        <v>#REF!</v>
      </c>
      <c r="CC59" s="7" t="e">
        <f>-53.07 + (304.89 * (CB59)) + (90.79 *Crescimento!#REF!) - (3.13 * Crescimento!#REF!*Crescimento!#REF!)</f>
        <v>#REF!</v>
      </c>
      <c r="CE59" s="6" t="e">
        <f>(CF58+(Crescimento!#REF!-(CF58*0.64))/0.8)/1000</f>
        <v>#REF!</v>
      </c>
      <c r="CF59" s="7" t="e">
        <f>-53.07 + (304.89 * (CE59)) + (90.79 *Crescimento!#REF!) - (3.13 * Crescimento!#REF!*Crescimento!#REF!)</f>
        <v>#REF!</v>
      </c>
      <c r="CH59" s="6" t="e">
        <f>(CI58+(Crescimento!#REF!-(CI58*0.64))/0.8)/1000</f>
        <v>#REF!</v>
      </c>
      <c r="CI59" s="7" t="e">
        <f>-53.07 + (304.89 * (CH59)) + (90.79 *Crescimento!#REF!) - (3.13 * Crescimento!#REF!*Crescimento!#REF!)</f>
        <v>#REF!</v>
      </c>
      <c r="CJ59" s="1"/>
      <c r="CK59" s="6" t="e">
        <f>(CL58+(Crescimento!#REF!-(CL58*0.64))/0.8)/1000</f>
        <v>#REF!</v>
      </c>
      <c r="CL59" s="7" t="e">
        <f>-53.07 + (304.89 * (CK59)) + (90.79 *Crescimento!#REF!) - (3.13 * Crescimento!#REF!*Crescimento!#REF!)</f>
        <v>#REF!</v>
      </c>
      <c r="CN59" s="6" t="e">
        <f>(CO58+(Crescimento!#REF!-(CO58*0.64))/0.8)/1000</f>
        <v>#REF!</v>
      </c>
      <c r="CO59" s="7" t="e">
        <f>-53.07 + (304.89 * (CN59)) + (90.79 *Crescimento!#REF!) - (3.13 * Crescimento!#REF!*Crescimento!#REF!)</f>
        <v>#REF!</v>
      </c>
      <c r="CQ59" s="6" t="e">
        <f>(CR58+(Crescimento!#REF!-(CR58*0.64))/0.8)/1000</f>
        <v>#REF!</v>
      </c>
      <c r="CR59" s="7" t="e">
        <f>-53.07 + (304.89 * (CQ59)) + (90.79 *Crescimento!#REF!) - (3.13 * Crescimento!#REF!*Crescimento!#REF!)</f>
        <v>#REF!</v>
      </c>
    </row>
    <row r="60" spans="2:96" x14ac:dyDescent="0.25">
      <c r="B60" s="6">
        <f>(C59+(Crescimento!$Q$27-(C59*0.64))/0.8)/1000</f>
        <v>1.1187993738011861</v>
      </c>
      <c r="C60" s="8">
        <f>-53.07 + (304.89 * (B60)) + (90.79 *Crescimento!$Q$20) - (3.13 * Crescimento!$Q$20*Crescimento!$Q$20)</f>
        <v>757.4287040082213</v>
      </c>
      <c r="D60" s="1"/>
      <c r="E60" s="6" t="e">
        <f>(F59+(Crescimento!#REF!-(F59*0.64))/0.8)/1000</f>
        <v>#REF!</v>
      </c>
      <c r="F60" s="7" t="e">
        <f>-53.07 + (304.89 * (E60)) + (90.79 *Crescimento!#REF!) - (3.13 * Crescimento!#REF!*Crescimento!#REF!)</f>
        <v>#REF!</v>
      </c>
      <c r="H60" s="6" t="e">
        <f>(I59+(Crescimento!#REF!-(I59*0.64))/0.8)/1000</f>
        <v>#REF!</v>
      </c>
      <c r="I60" s="7" t="e">
        <f>-53.07 + (304.89 * (H60)) + (90.79 *Crescimento!#REF!) - (3.13 * Crescimento!#REF!*Crescimento!#REF!)</f>
        <v>#REF!</v>
      </c>
      <c r="K60" s="6" t="e">
        <f>(L59+(Crescimento!#REF!-(L59*0.64))/0.8)/1000</f>
        <v>#REF!</v>
      </c>
      <c r="L60" s="7" t="e">
        <f>-53.07 + (304.89 * (K60)) + (90.79 *Crescimento!#REF!) - (3.13 * Crescimento!#REF!*Crescimento!#REF!)</f>
        <v>#REF!</v>
      </c>
      <c r="N60" s="6" t="e">
        <f>(O59+(Crescimento!#REF!-(O59*0.64))/0.8)/1000</f>
        <v>#REF!</v>
      </c>
      <c r="O60" s="7" t="e">
        <f>-53.07 + (304.89 * (N60)) + (90.79 *Crescimento!#REF!) - (3.13 * Crescimento!#REF!*Crescimento!#REF!)</f>
        <v>#REF!</v>
      </c>
      <c r="P60" s="1"/>
      <c r="Q60" s="6" t="e">
        <f>(R59+(Crescimento!#REF!-(R59*0.64))/0.8)/1000</f>
        <v>#REF!</v>
      </c>
      <c r="R60" s="7" t="e">
        <f>-53.07 + (304.89 * (Q60)) + (90.79 *Crescimento!#REF!) - (3.13 * Crescimento!#REF!*Crescimento!#REF!)</f>
        <v>#REF!</v>
      </c>
      <c r="T60" s="6" t="e">
        <f>(U59+(Crescimento!#REF!-(U59*0.64))/0.8)/1000</f>
        <v>#REF!</v>
      </c>
      <c r="U60" s="7" t="e">
        <f>-53.07 + (304.89 * (T60)) + (90.79 *Crescimento!#REF!) - (3.13 * Crescimento!#REF!*Crescimento!#REF!)</f>
        <v>#REF!</v>
      </c>
      <c r="W60" s="6" t="e">
        <f>(X59+(Crescimento!#REF!-(X59*0.64))/0.8)/1000</f>
        <v>#REF!</v>
      </c>
      <c r="X60" s="7" t="e">
        <f>-53.07 + (304.89 * (W60)) + (90.79 *Crescimento!#REF!) - (3.13 * Crescimento!#REF!*Crescimento!#REF!)</f>
        <v>#REF!</v>
      </c>
      <c r="Z60" s="6" t="e">
        <f>(AA59+(Crescimento!#REF!-(AA59*0.64))/0.8)/1000</f>
        <v>#REF!</v>
      </c>
      <c r="AA60" s="7" t="e">
        <f>-53.07 + (304.89 * (Z60)) + (90.79 *Crescimento!#REF!) - (3.13 * Crescimento!#REF!*Crescimento!#REF!)</f>
        <v>#REF!</v>
      </c>
      <c r="AB60" s="1"/>
      <c r="AC60" s="6" t="e">
        <f>(AD59+(Crescimento!#REF!-(AD59*0.64))/0.8)/1000</f>
        <v>#REF!</v>
      </c>
      <c r="AD60" s="7" t="e">
        <f>-53.07 + (304.89 * (AC60)) + (90.79 *Crescimento!#REF!) - (3.13 * Crescimento!#REF!*Crescimento!#REF!)</f>
        <v>#REF!</v>
      </c>
      <c r="AF60" s="6" t="e">
        <f>(AG59+(Crescimento!#REF!-(AG59*0.64))/0.8)/1000</f>
        <v>#REF!</v>
      </c>
      <c r="AG60" s="7" t="e">
        <f>-53.07 + (304.89 * (AF60)) + (90.79 *Crescimento!#REF!) - (3.13 * Crescimento!#REF!*Crescimento!#REF!)</f>
        <v>#REF!</v>
      </c>
      <c r="AI60" s="6" t="e">
        <f>(AJ59+(Crescimento!#REF!-(AJ59*0.64))/0.8)/1000</f>
        <v>#REF!</v>
      </c>
      <c r="AJ60" s="7" t="e">
        <f>-53.07 + (304.89 * (AI60)) + (90.79 *Crescimento!#REF!) - (3.13 * Crescimento!#REF!*Crescimento!#REF!)</f>
        <v>#REF!</v>
      </c>
      <c r="AL60" s="6" t="e">
        <f>(AM59+(Crescimento!#REF!-(AM59*0.64))/0.8)/1000</f>
        <v>#REF!</v>
      </c>
      <c r="AM60" s="7" t="e">
        <f>-53.07 + (304.89 * (AL60)) + (90.79 *Crescimento!#REF!) - (3.13 * Crescimento!#REF!*Crescimento!#REF!)</f>
        <v>#REF!</v>
      </c>
      <c r="AN60" s="1"/>
      <c r="AO60" s="6" t="e">
        <f>(AP59+(Crescimento!#REF!-(AP59*0.64))/0.8)/1000</f>
        <v>#REF!</v>
      </c>
      <c r="AP60" s="7" t="e">
        <f>-53.07 + (304.89 * (AO60)) + (90.79 *Crescimento!#REF!) - (3.13 * Crescimento!#REF!*Crescimento!#REF!)</f>
        <v>#REF!</v>
      </c>
      <c r="AR60" s="6" t="e">
        <f>(AS59+(Crescimento!#REF!-(AS59*0.64))/0.8)/1000</f>
        <v>#REF!</v>
      </c>
      <c r="AS60" s="7" t="e">
        <f>-53.07 + (304.89 * (AR60)) + (90.79 *Crescimento!#REF!) - (3.13 * Crescimento!#REF!*Crescimento!#REF!)</f>
        <v>#REF!</v>
      </c>
      <c r="AU60" s="6" t="e">
        <f>(AV59+(Crescimento!#REF!-(AV59*0.64))/0.8)/1000</f>
        <v>#REF!</v>
      </c>
      <c r="AV60" s="7" t="e">
        <f>-53.07 + (304.89 * (AU60)) + (90.79 *Crescimento!#REF!) - (3.13 * Crescimento!#REF!*Crescimento!#REF!)</f>
        <v>#REF!</v>
      </c>
      <c r="AX60" s="6" t="e">
        <f>(AY59+(Crescimento!#REF!-(AY59*0.64))/0.8)/1000</f>
        <v>#REF!</v>
      </c>
      <c r="AY60" s="7" t="e">
        <f>-53.07 + (304.89 * (AX60)) + (90.79 *Crescimento!#REF!) - (3.13 * Crescimento!#REF!*Crescimento!#REF!)</f>
        <v>#REF!</v>
      </c>
      <c r="AZ60" s="1"/>
      <c r="BA60" s="6" t="e">
        <f>(BB59+(Crescimento!#REF!-(BB59*0.64))/0.8)/1000</f>
        <v>#REF!</v>
      </c>
      <c r="BB60" s="7" t="e">
        <f>-53.07 + (304.89 * (BA60)) + (90.79 *Crescimento!#REF!) - (3.13 * Crescimento!#REF!*Crescimento!#REF!)</f>
        <v>#REF!</v>
      </c>
      <c r="BD60" s="6" t="e">
        <f>(BE59+(Crescimento!#REF!-(BE59*0.64))/0.8)/1000</f>
        <v>#REF!</v>
      </c>
      <c r="BE60" s="7" t="e">
        <f>-53.07 + (304.89 * (BD60)) + (90.79 *Crescimento!#REF!) - (3.13 * Crescimento!#REF!*Crescimento!#REF!)</f>
        <v>#REF!</v>
      </c>
      <c r="BG60" s="6" t="e">
        <f>(BH59+(Crescimento!#REF!-(BH59*0.64))/0.8)/1000</f>
        <v>#REF!</v>
      </c>
      <c r="BH60" s="7" t="e">
        <f>-53.07 + (304.89 * (BG60)) + (90.79 *Crescimento!#REF!) - (3.13 * Crescimento!#REF!*Crescimento!#REF!)</f>
        <v>#REF!</v>
      </c>
      <c r="BJ60" s="6" t="e">
        <f>(BK59+(Crescimento!#REF!-(BK59*0.64))/0.8)/1000</f>
        <v>#REF!</v>
      </c>
      <c r="BK60" s="7" t="e">
        <f>-53.07 + (304.89 * (BJ60)) + (90.79 *Crescimento!#REF!) - (3.13 * Crescimento!#REF!*Crescimento!#REF!)</f>
        <v>#REF!</v>
      </c>
      <c r="BL60" s="1"/>
      <c r="BM60" s="6" t="e">
        <f>(BN59+(Crescimento!#REF!-(BN59*0.64))/0.8)/1000</f>
        <v>#REF!</v>
      </c>
      <c r="BN60" s="7" t="e">
        <f>-53.07 + (304.89 * (BM60)) + (90.79 *Crescimento!#REF!) - (3.13 * Crescimento!#REF!*Crescimento!#REF!)</f>
        <v>#REF!</v>
      </c>
      <c r="BP60" s="6" t="e">
        <f>(BQ59+(Crescimento!#REF!-(BQ59*0.64))/0.8)/1000</f>
        <v>#REF!</v>
      </c>
      <c r="BQ60" s="7" t="e">
        <f>-53.07 + (304.89 * (BP60)) + (90.79 *Crescimento!#REF!) - (3.13 * Crescimento!#REF!*Crescimento!#REF!)</f>
        <v>#REF!</v>
      </c>
      <c r="BS60" s="6" t="e">
        <f>(BT59+(Crescimento!#REF!-(BT59*0.64))/0.8)/1000</f>
        <v>#REF!</v>
      </c>
      <c r="BT60" s="7" t="e">
        <f>-53.07 + (304.89 * (BS60)) + (90.79 *Crescimento!#REF!) - (3.13 * Crescimento!#REF!*Crescimento!#REF!)</f>
        <v>#REF!</v>
      </c>
      <c r="BV60" s="6" t="e">
        <f>(BW59+(Crescimento!#REF!-(BW59*0.64))/0.8)/1000</f>
        <v>#REF!</v>
      </c>
      <c r="BW60" s="7" t="e">
        <f>-53.07 + (304.89 * (BV60)) + (90.79 *Crescimento!#REF!) - (3.13 * Crescimento!#REF!*Crescimento!#REF!)</f>
        <v>#REF!</v>
      </c>
      <c r="BX60" s="1"/>
      <c r="BY60" s="6" t="e">
        <f>(BZ59+(Crescimento!#REF!-(BZ59*0.64))/0.8)/1000</f>
        <v>#REF!</v>
      </c>
      <c r="BZ60" s="7" t="e">
        <f>-53.07 + (304.89 * (BY60)) + (90.79 *Crescimento!#REF!) - (3.13 * Crescimento!#REF!*Crescimento!#REF!)</f>
        <v>#REF!</v>
      </c>
      <c r="CB60" s="6" t="e">
        <f>(CC59+(Crescimento!#REF!-(CC59*0.64))/0.8)/1000</f>
        <v>#REF!</v>
      </c>
      <c r="CC60" s="7" t="e">
        <f>-53.07 + (304.89 * (CB60)) + (90.79 *Crescimento!#REF!) - (3.13 * Crescimento!#REF!*Crescimento!#REF!)</f>
        <v>#REF!</v>
      </c>
      <c r="CE60" s="6" t="e">
        <f>(CF59+(Crescimento!#REF!-(CF59*0.64))/0.8)/1000</f>
        <v>#REF!</v>
      </c>
      <c r="CF60" s="7" t="e">
        <f>-53.07 + (304.89 * (CE60)) + (90.79 *Crescimento!#REF!) - (3.13 * Crescimento!#REF!*Crescimento!#REF!)</f>
        <v>#REF!</v>
      </c>
      <c r="CH60" s="6" t="e">
        <f>(CI59+(Crescimento!#REF!-(CI59*0.64))/0.8)/1000</f>
        <v>#REF!</v>
      </c>
      <c r="CI60" s="7" t="e">
        <f>-53.07 + (304.89 * (CH60)) + (90.79 *Crescimento!#REF!) - (3.13 * Crescimento!#REF!*Crescimento!#REF!)</f>
        <v>#REF!</v>
      </c>
      <c r="CJ60" s="1"/>
      <c r="CK60" s="6" t="e">
        <f>(CL59+(Crescimento!#REF!-(CL59*0.64))/0.8)/1000</f>
        <v>#REF!</v>
      </c>
      <c r="CL60" s="7" t="e">
        <f>-53.07 + (304.89 * (CK60)) + (90.79 *Crescimento!#REF!) - (3.13 * Crescimento!#REF!*Crescimento!#REF!)</f>
        <v>#REF!</v>
      </c>
      <c r="CN60" s="6" t="e">
        <f>(CO59+(Crescimento!#REF!-(CO59*0.64))/0.8)/1000</f>
        <v>#REF!</v>
      </c>
      <c r="CO60" s="7" t="e">
        <f>-53.07 + (304.89 * (CN60)) + (90.79 *Crescimento!#REF!) - (3.13 * Crescimento!#REF!*Crescimento!#REF!)</f>
        <v>#REF!</v>
      </c>
      <c r="CQ60" s="6" t="e">
        <f>(CR59+(Crescimento!#REF!-(CR59*0.64))/0.8)/1000</f>
        <v>#REF!</v>
      </c>
      <c r="CR60" s="7" t="e">
        <f>-53.07 + (304.89 * (CQ60)) + (90.79 *Crescimento!#REF!) - (3.13 * Crescimento!#REF!*Crescimento!#REF!)</f>
        <v>#REF!</v>
      </c>
    </row>
    <row r="61" spans="2:96" x14ac:dyDescent="0.25">
      <c r="B61" s="6">
        <f>(C60+(Crescimento!$Q$27-(C60*0.64))/0.8)/1000</f>
        <v>1.1187993738011861</v>
      </c>
      <c r="C61" s="8">
        <f>-53.07 + (304.89 * (B61)) + (90.79 *Crescimento!$Q$20) - (3.13 * Crescimento!$Q$20*Crescimento!$Q$20)</f>
        <v>757.4287040082213</v>
      </c>
      <c r="D61" s="1"/>
      <c r="E61" s="6" t="e">
        <f>(F60+(Crescimento!#REF!-(F60*0.64))/0.8)/1000</f>
        <v>#REF!</v>
      </c>
      <c r="F61" s="7" t="e">
        <f>-53.07 + (304.89 * (E61)) + (90.79 *Crescimento!#REF!) - (3.13 * Crescimento!#REF!*Crescimento!#REF!)</f>
        <v>#REF!</v>
      </c>
      <c r="H61" s="6" t="e">
        <f>(I60+(Crescimento!#REF!-(I60*0.64))/0.8)/1000</f>
        <v>#REF!</v>
      </c>
      <c r="I61" s="7" t="e">
        <f>-53.07 + (304.89 * (H61)) + (90.79 *Crescimento!#REF!) - (3.13 * Crescimento!#REF!*Crescimento!#REF!)</f>
        <v>#REF!</v>
      </c>
      <c r="K61" s="6" t="e">
        <f>(L60+(Crescimento!#REF!-(L60*0.64))/0.8)/1000</f>
        <v>#REF!</v>
      </c>
      <c r="L61" s="7" t="e">
        <f>-53.07 + (304.89 * (K61)) + (90.79 *Crescimento!#REF!) - (3.13 * Crescimento!#REF!*Crescimento!#REF!)</f>
        <v>#REF!</v>
      </c>
      <c r="N61" s="6" t="e">
        <f>(O60+(Crescimento!#REF!-(O60*0.64))/0.8)/1000</f>
        <v>#REF!</v>
      </c>
      <c r="O61" s="7" t="e">
        <f>-53.07 + (304.89 * (N61)) + (90.79 *Crescimento!#REF!) - (3.13 * Crescimento!#REF!*Crescimento!#REF!)</f>
        <v>#REF!</v>
      </c>
      <c r="P61" s="1"/>
      <c r="Q61" s="6" t="e">
        <f>(R60+(Crescimento!#REF!-(R60*0.64))/0.8)/1000</f>
        <v>#REF!</v>
      </c>
      <c r="R61" s="7" t="e">
        <f>-53.07 + (304.89 * (Q61)) + (90.79 *Crescimento!#REF!) - (3.13 * Crescimento!#REF!*Crescimento!#REF!)</f>
        <v>#REF!</v>
      </c>
      <c r="T61" s="6" t="e">
        <f>(U60+(Crescimento!#REF!-(U60*0.64))/0.8)/1000</f>
        <v>#REF!</v>
      </c>
      <c r="U61" s="7" t="e">
        <f>-53.07 + (304.89 * (T61)) + (90.79 *Crescimento!#REF!) - (3.13 * Crescimento!#REF!*Crescimento!#REF!)</f>
        <v>#REF!</v>
      </c>
      <c r="W61" s="6" t="e">
        <f>(X60+(Crescimento!#REF!-(X60*0.64))/0.8)/1000</f>
        <v>#REF!</v>
      </c>
      <c r="X61" s="7" t="e">
        <f>-53.07 + (304.89 * (W61)) + (90.79 *Crescimento!#REF!) - (3.13 * Crescimento!#REF!*Crescimento!#REF!)</f>
        <v>#REF!</v>
      </c>
      <c r="Z61" s="6" t="e">
        <f>(AA60+(Crescimento!#REF!-(AA60*0.64))/0.8)/1000</f>
        <v>#REF!</v>
      </c>
      <c r="AA61" s="7" t="e">
        <f>-53.07 + (304.89 * (Z61)) + (90.79 *Crescimento!#REF!) - (3.13 * Crescimento!#REF!*Crescimento!#REF!)</f>
        <v>#REF!</v>
      </c>
      <c r="AB61" s="1"/>
      <c r="AC61" s="6" t="e">
        <f>(AD60+(Crescimento!#REF!-(AD60*0.64))/0.8)/1000</f>
        <v>#REF!</v>
      </c>
      <c r="AD61" s="7" t="e">
        <f>-53.07 + (304.89 * (AC61)) + (90.79 *Crescimento!#REF!) - (3.13 * Crescimento!#REF!*Crescimento!#REF!)</f>
        <v>#REF!</v>
      </c>
      <c r="AF61" s="6" t="e">
        <f>(AG60+(Crescimento!#REF!-(AG60*0.64))/0.8)/1000</f>
        <v>#REF!</v>
      </c>
      <c r="AG61" s="7" t="e">
        <f>-53.07 + (304.89 * (AF61)) + (90.79 *Crescimento!#REF!) - (3.13 * Crescimento!#REF!*Crescimento!#REF!)</f>
        <v>#REF!</v>
      </c>
      <c r="AI61" s="6" t="e">
        <f>(AJ60+(Crescimento!#REF!-(AJ60*0.64))/0.8)/1000</f>
        <v>#REF!</v>
      </c>
      <c r="AJ61" s="7" t="e">
        <f>-53.07 + (304.89 * (AI61)) + (90.79 *Crescimento!#REF!) - (3.13 * Crescimento!#REF!*Crescimento!#REF!)</f>
        <v>#REF!</v>
      </c>
      <c r="AL61" s="6" t="e">
        <f>(AM60+(Crescimento!#REF!-(AM60*0.64))/0.8)/1000</f>
        <v>#REF!</v>
      </c>
      <c r="AM61" s="7" t="e">
        <f>-53.07 + (304.89 * (AL61)) + (90.79 *Crescimento!#REF!) - (3.13 * Crescimento!#REF!*Crescimento!#REF!)</f>
        <v>#REF!</v>
      </c>
      <c r="AN61" s="1"/>
      <c r="AO61" s="6" t="e">
        <f>(AP60+(Crescimento!#REF!-(AP60*0.64))/0.8)/1000</f>
        <v>#REF!</v>
      </c>
      <c r="AP61" s="7" t="e">
        <f>-53.07 + (304.89 * (AO61)) + (90.79 *Crescimento!#REF!) - (3.13 * Crescimento!#REF!*Crescimento!#REF!)</f>
        <v>#REF!</v>
      </c>
      <c r="AR61" s="6" t="e">
        <f>(AS60+(Crescimento!#REF!-(AS60*0.64))/0.8)/1000</f>
        <v>#REF!</v>
      </c>
      <c r="AS61" s="7" t="e">
        <f>-53.07 + (304.89 * (AR61)) + (90.79 *Crescimento!#REF!) - (3.13 * Crescimento!#REF!*Crescimento!#REF!)</f>
        <v>#REF!</v>
      </c>
      <c r="AU61" s="6" t="e">
        <f>(AV60+(Crescimento!#REF!-(AV60*0.64))/0.8)/1000</f>
        <v>#REF!</v>
      </c>
      <c r="AV61" s="7" t="e">
        <f>-53.07 + (304.89 * (AU61)) + (90.79 *Crescimento!#REF!) - (3.13 * Crescimento!#REF!*Crescimento!#REF!)</f>
        <v>#REF!</v>
      </c>
      <c r="AX61" s="6" t="e">
        <f>(AY60+(Crescimento!#REF!-(AY60*0.64))/0.8)/1000</f>
        <v>#REF!</v>
      </c>
      <c r="AY61" s="7" t="e">
        <f>-53.07 + (304.89 * (AX61)) + (90.79 *Crescimento!#REF!) - (3.13 * Crescimento!#REF!*Crescimento!#REF!)</f>
        <v>#REF!</v>
      </c>
      <c r="AZ61" s="1"/>
      <c r="BA61" s="6" t="e">
        <f>(BB60+(Crescimento!#REF!-(BB60*0.64))/0.8)/1000</f>
        <v>#REF!</v>
      </c>
      <c r="BB61" s="7" t="e">
        <f>-53.07 + (304.89 * (BA61)) + (90.79 *Crescimento!#REF!) - (3.13 * Crescimento!#REF!*Crescimento!#REF!)</f>
        <v>#REF!</v>
      </c>
      <c r="BD61" s="6" t="e">
        <f>(BE60+(Crescimento!#REF!-(BE60*0.64))/0.8)/1000</f>
        <v>#REF!</v>
      </c>
      <c r="BE61" s="7" t="e">
        <f>-53.07 + (304.89 * (BD61)) + (90.79 *Crescimento!#REF!) - (3.13 * Crescimento!#REF!*Crescimento!#REF!)</f>
        <v>#REF!</v>
      </c>
      <c r="BG61" s="6" t="e">
        <f>(BH60+(Crescimento!#REF!-(BH60*0.64))/0.8)/1000</f>
        <v>#REF!</v>
      </c>
      <c r="BH61" s="7" t="e">
        <f>-53.07 + (304.89 * (BG61)) + (90.79 *Crescimento!#REF!) - (3.13 * Crescimento!#REF!*Crescimento!#REF!)</f>
        <v>#REF!</v>
      </c>
      <c r="BJ61" s="6" t="e">
        <f>(BK60+(Crescimento!#REF!-(BK60*0.64))/0.8)/1000</f>
        <v>#REF!</v>
      </c>
      <c r="BK61" s="7" t="e">
        <f>-53.07 + (304.89 * (BJ61)) + (90.79 *Crescimento!#REF!) - (3.13 * Crescimento!#REF!*Crescimento!#REF!)</f>
        <v>#REF!</v>
      </c>
      <c r="BL61" s="1"/>
      <c r="BM61" s="6" t="e">
        <f>(BN60+(Crescimento!#REF!-(BN60*0.64))/0.8)/1000</f>
        <v>#REF!</v>
      </c>
      <c r="BN61" s="7" t="e">
        <f>-53.07 + (304.89 * (BM61)) + (90.79 *Crescimento!#REF!) - (3.13 * Crescimento!#REF!*Crescimento!#REF!)</f>
        <v>#REF!</v>
      </c>
      <c r="BP61" s="6" t="e">
        <f>(BQ60+(Crescimento!#REF!-(BQ60*0.64))/0.8)/1000</f>
        <v>#REF!</v>
      </c>
      <c r="BQ61" s="7" t="e">
        <f>-53.07 + (304.89 * (BP61)) + (90.79 *Crescimento!#REF!) - (3.13 * Crescimento!#REF!*Crescimento!#REF!)</f>
        <v>#REF!</v>
      </c>
      <c r="BS61" s="6" t="e">
        <f>(BT60+(Crescimento!#REF!-(BT60*0.64))/0.8)/1000</f>
        <v>#REF!</v>
      </c>
      <c r="BT61" s="7" t="e">
        <f>-53.07 + (304.89 * (BS61)) + (90.79 *Crescimento!#REF!) - (3.13 * Crescimento!#REF!*Crescimento!#REF!)</f>
        <v>#REF!</v>
      </c>
      <c r="BV61" s="6" t="e">
        <f>(BW60+(Crescimento!#REF!-(BW60*0.64))/0.8)/1000</f>
        <v>#REF!</v>
      </c>
      <c r="BW61" s="7" t="e">
        <f>-53.07 + (304.89 * (BV61)) + (90.79 *Crescimento!#REF!) - (3.13 * Crescimento!#REF!*Crescimento!#REF!)</f>
        <v>#REF!</v>
      </c>
      <c r="BX61" s="1"/>
      <c r="BY61" s="6" t="e">
        <f>(BZ60+(Crescimento!#REF!-(BZ60*0.64))/0.8)/1000</f>
        <v>#REF!</v>
      </c>
      <c r="BZ61" s="7" t="e">
        <f>-53.07 + (304.89 * (BY61)) + (90.79 *Crescimento!#REF!) - (3.13 * Crescimento!#REF!*Crescimento!#REF!)</f>
        <v>#REF!</v>
      </c>
      <c r="CB61" s="6" t="e">
        <f>(CC60+(Crescimento!#REF!-(CC60*0.64))/0.8)/1000</f>
        <v>#REF!</v>
      </c>
      <c r="CC61" s="7" t="e">
        <f>-53.07 + (304.89 * (CB61)) + (90.79 *Crescimento!#REF!) - (3.13 * Crescimento!#REF!*Crescimento!#REF!)</f>
        <v>#REF!</v>
      </c>
      <c r="CE61" s="6" t="e">
        <f>(CF60+(Crescimento!#REF!-(CF60*0.64))/0.8)/1000</f>
        <v>#REF!</v>
      </c>
      <c r="CF61" s="7" t="e">
        <f>-53.07 + (304.89 * (CE61)) + (90.79 *Crescimento!#REF!) - (3.13 * Crescimento!#REF!*Crescimento!#REF!)</f>
        <v>#REF!</v>
      </c>
      <c r="CH61" s="6" t="e">
        <f>(CI60+(Crescimento!#REF!-(CI60*0.64))/0.8)/1000</f>
        <v>#REF!</v>
      </c>
      <c r="CI61" s="7" t="e">
        <f>-53.07 + (304.89 * (CH61)) + (90.79 *Crescimento!#REF!) - (3.13 * Crescimento!#REF!*Crescimento!#REF!)</f>
        <v>#REF!</v>
      </c>
      <c r="CJ61" s="1"/>
      <c r="CK61" s="6" t="e">
        <f>(CL60+(Crescimento!#REF!-(CL60*0.64))/0.8)/1000</f>
        <v>#REF!</v>
      </c>
      <c r="CL61" s="7" t="e">
        <f>-53.07 + (304.89 * (CK61)) + (90.79 *Crescimento!#REF!) - (3.13 * Crescimento!#REF!*Crescimento!#REF!)</f>
        <v>#REF!</v>
      </c>
      <c r="CN61" s="6" t="e">
        <f>(CO60+(Crescimento!#REF!-(CO60*0.64))/0.8)/1000</f>
        <v>#REF!</v>
      </c>
      <c r="CO61" s="7" t="e">
        <f>-53.07 + (304.89 * (CN61)) + (90.79 *Crescimento!#REF!) - (3.13 * Crescimento!#REF!*Crescimento!#REF!)</f>
        <v>#REF!</v>
      </c>
      <c r="CQ61" s="6" t="e">
        <f>(CR60+(Crescimento!#REF!-(CR60*0.64))/0.8)/1000</f>
        <v>#REF!</v>
      </c>
      <c r="CR61" s="7" t="e">
        <f>-53.07 + (304.89 * (CQ61)) + (90.79 *Crescimento!#REF!) - (3.13 * Crescimento!#REF!*Crescimento!#REF!)</f>
        <v>#REF!</v>
      </c>
    </row>
    <row r="62" spans="2:96" x14ac:dyDescent="0.25">
      <c r="B62" s="6">
        <f>(C61+(Crescimento!$Q$27-(C61*0.64))/0.8)/1000</f>
        <v>1.1187993738011861</v>
      </c>
      <c r="C62" s="8">
        <f>-53.07 + (304.89 * (B62)) + (90.79 *Crescimento!$Q$20) - (3.13 * Crescimento!$Q$20*Crescimento!$Q$20)</f>
        <v>757.4287040082213</v>
      </c>
      <c r="D62" s="1"/>
      <c r="E62" s="6" t="e">
        <f>(F61+(Crescimento!#REF!-(F61*0.64))/0.8)/1000</f>
        <v>#REF!</v>
      </c>
      <c r="F62" s="7" t="e">
        <f>-53.07 + (304.89 * (E62)) + (90.79 *Crescimento!#REF!) - (3.13 * Crescimento!#REF!*Crescimento!#REF!)</f>
        <v>#REF!</v>
      </c>
      <c r="H62" s="6" t="e">
        <f>(I61+(Crescimento!#REF!-(I61*0.64))/0.8)/1000</f>
        <v>#REF!</v>
      </c>
      <c r="I62" s="7" t="e">
        <f>-53.07 + (304.89 * (H62)) + (90.79 *Crescimento!#REF!) - (3.13 * Crescimento!#REF!*Crescimento!#REF!)</f>
        <v>#REF!</v>
      </c>
      <c r="K62" s="6" t="e">
        <f>(L61+(Crescimento!#REF!-(L61*0.64))/0.8)/1000</f>
        <v>#REF!</v>
      </c>
      <c r="L62" s="7" t="e">
        <f>-53.07 + (304.89 * (K62)) + (90.79 *Crescimento!#REF!) - (3.13 * Crescimento!#REF!*Crescimento!#REF!)</f>
        <v>#REF!</v>
      </c>
      <c r="N62" s="6" t="e">
        <f>(O61+(Crescimento!#REF!-(O61*0.64))/0.8)/1000</f>
        <v>#REF!</v>
      </c>
      <c r="O62" s="7" t="e">
        <f>-53.07 + (304.89 * (N62)) + (90.79 *Crescimento!#REF!) - (3.13 * Crescimento!#REF!*Crescimento!#REF!)</f>
        <v>#REF!</v>
      </c>
      <c r="P62" s="1"/>
      <c r="Q62" s="6" t="e">
        <f>(R61+(Crescimento!#REF!-(R61*0.64))/0.8)/1000</f>
        <v>#REF!</v>
      </c>
      <c r="R62" s="7" t="e">
        <f>-53.07 + (304.89 * (Q62)) + (90.79 *Crescimento!#REF!) - (3.13 * Crescimento!#REF!*Crescimento!#REF!)</f>
        <v>#REF!</v>
      </c>
      <c r="T62" s="6" t="e">
        <f>(U61+(Crescimento!#REF!-(U61*0.64))/0.8)/1000</f>
        <v>#REF!</v>
      </c>
      <c r="U62" s="7" t="e">
        <f>-53.07 + (304.89 * (T62)) + (90.79 *Crescimento!#REF!) - (3.13 * Crescimento!#REF!*Crescimento!#REF!)</f>
        <v>#REF!</v>
      </c>
      <c r="W62" s="6" t="e">
        <f>(X61+(Crescimento!#REF!-(X61*0.64))/0.8)/1000</f>
        <v>#REF!</v>
      </c>
      <c r="X62" s="7" t="e">
        <f>-53.07 + (304.89 * (W62)) + (90.79 *Crescimento!#REF!) - (3.13 * Crescimento!#REF!*Crescimento!#REF!)</f>
        <v>#REF!</v>
      </c>
      <c r="Z62" s="6" t="e">
        <f>(AA61+(Crescimento!#REF!-(AA61*0.64))/0.8)/1000</f>
        <v>#REF!</v>
      </c>
      <c r="AA62" s="7" t="e">
        <f>-53.07 + (304.89 * (Z62)) + (90.79 *Crescimento!#REF!) - (3.13 * Crescimento!#REF!*Crescimento!#REF!)</f>
        <v>#REF!</v>
      </c>
      <c r="AB62" s="1"/>
      <c r="AC62" s="6" t="e">
        <f>(AD61+(Crescimento!#REF!-(AD61*0.64))/0.8)/1000</f>
        <v>#REF!</v>
      </c>
      <c r="AD62" s="7" t="e">
        <f>-53.07 + (304.89 * (AC62)) + (90.79 *Crescimento!#REF!) - (3.13 * Crescimento!#REF!*Crescimento!#REF!)</f>
        <v>#REF!</v>
      </c>
      <c r="AF62" s="6" t="e">
        <f>(AG61+(Crescimento!#REF!-(AG61*0.64))/0.8)/1000</f>
        <v>#REF!</v>
      </c>
      <c r="AG62" s="7" t="e">
        <f>-53.07 + (304.89 * (AF62)) + (90.79 *Crescimento!#REF!) - (3.13 * Crescimento!#REF!*Crescimento!#REF!)</f>
        <v>#REF!</v>
      </c>
      <c r="AI62" s="6" t="e">
        <f>(AJ61+(Crescimento!#REF!-(AJ61*0.64))/0.8)/1000</f>
        <v>#REF!</v>
      </c>
      <c r="AJ62" s="7" t="e">
        <f>-53.07 + (304.89 * (AI62)) + (90.79 *Crescimento!#REF!) - (3.13 * Crescimento!#REF!*Crescimento!#REF!)</f>
        <v>#REF!</v>
      </c>
      <c r="AL62" s="6" t="e">
        <f>(AM61+(Crescimento!#REF!-(AM61*0.64))/0.8)/1000</f>
        <v>#REF!</v>
      </c>
      <c r="AM62" s="7" t="e">
        <f>-53.07 + (304.89 * (AL62)) + (90.79 *Crescimento!#REF!) - (3.13 * Crescimento!#REF!*Crescimento!#REF!)</f>
        <v>#REF!</v>
      </c>
      <c r="AN62" s="1"/>
      <c r="AO62" s="6" t="e">
        <f>(AP61+(Crescimento!#REF!-(AP61*0.64))/0.8)/1000</f>
        <v>#REF!</v>
      </c>
      <c r="AP62" s="7" t="e">
        <f>-53.07 + (304.89 * (AO62)) + (90.79 *Crescimento!#REF!) - (3.13 * Crescimento!#REF!*Crescimento!#REF!)</f>
        <v>#REF!</v>
      </c>
      <c r="AR62" s="6" t="e">
        <f>(AS61+(Crescimento!#REF!-(AS61*0.64))/0.8)/1000</f>
        <v>#REF!</v>
      </c>
      <c r="AS62" s="7" t="e">
        <f>-53.07 + (304.89 * (AR62)) + (90.79 *Crescimento!#REF!) - (3.13 * Crescimento!#REF!*Crescimento!#REF!)</f>
        <v>#REF!</v>
      </c>
      <c r="AU62" s="6" t="e">
        <f>(AV61+(Crescimento!#REF!-(AV61*0.64))/0.8)/1000</f>
        <v>#REF!</v>
      </c>
      <c r="AV62" s="7" t="e">
        <f>-53.07 + (304.89 * (AU62)) + (90.79 *Crescimento!#REF!) - (3.13 * Crescimento!#REF!*Crescimento!#REF!)</f>
        <v>#REF!</v>
      </c>
      <c r="AX62" s="6" t="e">
        <f>(AY61+(Crescimento!#REF!-(AY61*0.64))/0.8)/1000</f>
        <v>#REF!</v>
      </c>
      <c r="AY62" s="7" t="e">
        <f>-53.07 + (304.89 * (AX62)) + (90.79 *Crescimento!#REF!) - (3.13 * Crescimento!#REF!*Crescimento!#REF!)</f>
        <v>#REF!</v>
      </c>
      <c r="AZ62" s="1"/>
      <c r="BA62" s="6" t="e">
        <f>(BB61+(Crescimento!#REF!-(BB61*0.64))/0.8)/1000</f>
        <v>#REF!</v>
      </c>
      <c r="BB62" s="7" t="e">
        <f>-53.07 + (304.89 * (BA62)) + (90.79 *Crescimento!#REF!) - (3.13 * Crescimento!#REF!*Crescimento!#REF!)</f>
        <v>#REF!</v>
      </c>
      <c r="BD62" s="6" t="e">
        <f>(BE61+(Crescimento!#REF!-(BE61*0.64))/0.8)/1000</f>
        <v>#REF!</v>
      </c>
      <c r="BE62" s="7" t="e">
        <f>-53.07 + (304.89 * (BD62)) + (90.79 *Crescimento!#REF!) - (3.13 * Crescimento!#REF!*Crescimento!#REF!)</f>
        <v>#REF!</v>
      </c>
      <c r="BG62" s="6" t="e">
        <f>(BH61+(Crescimento!#REF!-(BH61*0.64))/0.8)/1000</f>
        <v>#REF!</v>
      </c>
      <c r="BH62" s="7" t="e">
        <f>-53.07 + (304.89 * (BG62)) + (90.79 *Crescimento!#REF!) - (3.13 * Crescimento!#REF!*Crescimento!#REF!)</f>
        <v>#REF!</v>
      </c>
      <c r="BJ62" s="6" t="e">
        <f>(BK61+(Crescimento!#REF!-(BK61*0.64))/0.8)/1000</f>
        <v>#REF!</v>
      </c>
      <c r="BK62" s="7" t="e">
        <f>-53.07 + (304.89 * (BJ62)) + (90.79 *Crescimento!#REF!) - (3.13 * Crescimento!#REF!*Crescimento!#REF!)</f>
        <v>#REF!</v>
      </c>
      <c r="BL62" s="1"/>
      <c r="BM62" s="6" t="e">
        <f>(BN61+(Crescimento!#REF!-(BN61*0.64))/0.8)/1000</f>
        <v>#REF!</v>
      </c>
      <c r="BN62" s="7" t="e">
        <f>-53.07 + (304.89 * (BM62)) + (90.79 *Crescimento!#REF!) - (3.13 * Crescimento!#REF!*Crescimento!#REF!)</f>
        <v>#REF!</v>
      </c>
      <c r="BP62" s="6" t="e">
        <f>(BQ61+(Crescimento!#REF!-(BQ61*0.64))/0.8)/1000</f>
        <v>#REF!</v>
      </c>
      <c r="BQ62" s="7" t="e">
        <f>-53.07 + (304.89 * (BP62)) + (90.79 *Crescimento!#REF!) - (3.13 * Crescimento!#REF!*Crescimento!#REF!)</f>
        <v>#REF!</v>
      </c>
      <c r="BS62" s="6" t="e">
        <f>(BT61+(Crescimento!#REF!-(BT61*0.64))/0.8)/1000</f>
        <v>#REF!</v>
      </c>
      <c r="BT62" s="7" t="e">
        <f>-53.07 + (304.89 * (BS62)) + (90.79 *Crescimento!#REF!) - (3.13 * Crescimento!#REF!*Crescimento!#REF!)</f>
        <v>#REF!</v>
      </c>
      <c r="BV62" s="6" t="e">
        <f>(BW61+(Crescimento!#REF!-(BW61*0.64))/0.8)/1000</f>
        <v>#REF!</v>
      </c>
      <c r="BW62" s="7" t="e">
        <f>-53.07 + (304.89 * (BV62)) + (90.79 *Crescimento!#REF!) - (3.13 * Crescimento!#REF!*Crescimento!#REF!)</f>
        <v>#REF!</v>
      </c>
      <c r="BX62" s="1"/>
      <c r="BY62" s="6" t="e">
        <f>(BZ61+(Crescimento!#REF!-(BZ61*0.64))/0.8)/1000</f>
        <v>#REF!</v>
      </c>
      <c r="BZ62" s="7" t="e">
        <f>-53.07 + (304.89 * (BY62)) + (90.79 *Crescimento!#REF!) - (3.13 * Crescimento!#REF!*Crescimento!#REF!)</f>
        <v>#REF!</v>
      </c>
      <c r="CB62" s="6" t="e">
        <f>(CC61+(Crescimento!#REF!-(CC61*0.64))/0.8)/1000</f>
        <v>#REF!</v>
      </c>
      <c r="CC62" s="7" t="e">
        <f>-53.07 + (304.89 * (CB62)) + (90.79 *Crescimento!#REF!) - (3.13 * Crescimento!#REF!*Crescimento!#REF!)</f>
        <v>#REF!</v>
      </c>
      <c r="CE62" s="6" t="e">
        <f>(CF61+(Crescimento!#REF!-(CF61*0.64))/0.8)/1000</f>
        <v>#REF!</v>
      </c>
      <c r="CF62" s="7" t="e">
        <f>-53.07 + (304.89 * (CE62)) + (90.79 *Crescimento!#REF!) - (3.13 * Crescimento!#REF!*Crescimento!#REF!)</f>
        <v>#REF!</v>
      </c>
      <c r="CH62" s="6" t="e">
        <f>(CI61+(Crescimento!#REF!-(CI61*0.64))/0.8)/1000</f>
        <v>#REF!</v>
      </c>
      <c r="CI62" s="7" t="e">
        <f>-53.07 + (304.89 * (CH62)) + (90.79 *Crescimento!#REF!) - (3.13 * Crescimento!#REF!*Crescimento!#REF!)</f>
        <v>#REF!</v>
      </c>
      <c r="CJ62" s="1"/>
      <c r="CK62" s="6" t="e">
        <f>(CL61+(Crescimento!#REF!-(CL61*0.64))/0.8)/1000</f>
        <v>#REF!</v>
      </c>
      <c r="CL62" s="7" t="e">
        <f>-53.07 + (304.89 * (CK62)) + (90.79 *Crescimento!#REF!) - (3.13 * Crescimento!#REF!*Crescimento!#REF!)</f>
        <v>#REF!</v>
      </c>
      <c r="CN62" s="6" t="e">
        <f>(CO61+(Crescimento!#REF!-(CO61*0.64))/0.8)/1000</f>
        <v>#REF!</v>
      </c>
      <c r="CO62" s="7" t="e">
        <f>-53.07 + (304.89 * (CN62)) + (90.79 *Crescimento!#REF!) - (3.13 * Crescimento!#REF!*Crescimento!#REF!)</f>
        <v>#REF!</v>
      </c>
      <c r="CQ62" s="6" t="e">
        <f>(CR61+(Crescimento!#REF!-(CR61*0.64))/0.8)/1000</f>
        <v>#REF!</v>
      </c>
      <c r="CR62" s="7" t="e">
        <f>-53.07 + (304.89 * (CQ62)) + (90.79 *Crescimento!#REF!) - (3.13 * Crescimento!#REF!*Crescimento!#REF!)</f>
        <v>#REF!</v>
      </c>
    </row>
    <row r="63" spans="2:96" x14ac:dyDescent="0.25">
      <c r="B63" s="6">
        <f>(C62+(Crescimento!$Q$27-(C62*0.64))/0.8)/1000</f>
        <v>1.1187993738011861</v>
      </c>
      <c r="C63" s="8">
        <f>-53.07 + (304.89 * (B63)) + (90.79 *Crescimento!$Q$20) - (3.13 * Crescimento!$Q$20*Crescimento!$Q$20)</f>
        <v>757.4287040082213</v>
      </c>
      <c r="D63" s="1"/>
      <c r="E63" s="6" t="e">
        <f>(F62+(Crescimento!#REF!-(F62*0.64))/0.8)/1000</f>
        <v>#REF!</v>
      </c>
      <c r="F63" s="7" t="e">
        <f>-53.07 + (304.89 * (E63)) + (90.79 *Crescimento!#REF!) - (3.13 * Crescimento!#REF!*Crescimento!#REF!)</f>
        <v>#REF!</v>
      </c>
      <c r="H63" s="6" t="e">
        <f>(I62+(Crescimento!#REF!-(I62*0.64))/0.8)/1000</f>
        <v>#REF!</v>
      </c>
      <c r="I63" s="7" t="e">
        <f>-53.07 + (304.89 * (H63)) + (90.79 *Crescimento!#REF!) - (3.13 * Crescimento!#REF!*Crescimento!#REF!)</f>
        <v>#REF!</v>
      </c>
      <c r="K63" s="6" t="e">
        <f>(L62+(Crescimento!#REF!-(L62*0.64))/0.8)/1000</f>
        <v>#REF!</v>
      </c>
      <c r="L63" s="7" t="e">
        <f>-53.07 + (304.89 * (K63)) + (90.79 *Crescimento!#REF!) - (3.13 * Crescimento!#REF!*Crescimento!#REF!)</f>
        <v>#REF!</v>
      </c>
      <c r="N63" s="6" t="e">
        <f>(O62+(Crescimento!#REF!-(O62*0.64))/0.8)/1000</f>
        <v>#REF!</v>
      </c>
      <c r="O63" s="7" t="e">
        <f>-53.07 + (304.89 * (N63)) + (90.79 *Crescimento!#REF!) - (3.13 * Crescimento!#REF!*Crescimento!#REF!)</f>
        <v>#REF!</v>
      </c>
      <c r="P63" s="1"/>
      <c r="Q63" s="6" t="e">
        <f>(R62+(Crescimento!#REF!-(R62*0.64))/0.8)/1000</f>
        <v>#REF!</v>
      </c>
      <c r="R63" s="7" t="e">
        <f>-53.07 + (304.89 * (Q63)) + (90.79 *Crescimento!#REF!) - (3.13 * Crescimento!#REF!*Crescimento!#REF!)</f>
        <v>#REF!</v>
      </c>
      <c r="T63" s="6" t="e">
        <f>(U62+(Crescimento!#REF!-(U62*0.64))/0.8)/1000</f>
        <v>#REF!</v>
      </c>
      <c r="U63" s="7" t="e">
        <f>-53.07 + (304.89 * (T63)) + (90.79 *Crescimento!#REF!) - (3.13 * Crescimento!#REF!*Crescimento!#REF!)</f>
        <v>#REF!</v>
      </c>
      <c r="W63" s="6" t="e">
        <f>(X62+(Crescimento!#REF!-(X62*0.64))/0.8)/1000</f>
        <v>#REF!</v>
      </c>
      <c r="X63" s="7" t="e">
        <f>-53.07 + (304.89 * (W63)) + (90.79 *Crescimento!#REF!) - (3.13 * Crescimento!#REF!*Crescimento!#REF!)</f>
        <v>#REF!</v>
      </c>
      <c r="Z63" s="6" t="e">
        <f>(AA62+(Crescimento!#REF!-(AA62*0.64))/0.8)/1000</f>
        <v>#REF!</v>
      </c>
      <c r="AA63" s="7" t="e">
        <f>-53.07 + (304.89 * (Z63)) + (90.79 *Crescimento!#REF!) - (3.13 * Crescimento!#REF!*Crescimento!#REF!)</f>
        <v>#REF!</v>
      </c>
      <c r="AB63" s="1"/>
      <c r="AC63" s="6" t="e">
        <f>(AD62+(Crescimento!#REF!-(AD62*0.64))/0.8)/1000</f>
        <v>#REF!</v>
      </c>
      <c r="AD63" s="7" t="e">
        <f>-53.07 + (304.89 * (AC63)) + (90.79 *Crescimento!#REF!) - (3.13 * Crescimento!#REF!*Crescimento!#REF!)</f>
        <v>#REF!</v>
      </c>
      <c r="AF63" s="6" t="e">
        <f>(AG62+(Crescimento!#REF!-(AG62*0.64))/0.8)/1000</f>
        <v>#REF!</v>
      </c>
      <c r="AG63" s="7" t="e">
        <f>-53.07 + (304.89 * (AF63)) + (90.79 *Crescimento!#REF!) - (3.13 * Crescimento!#REF!*Crescimento!#REF!)</f>
        <v>#REF!</v>
      </c>
      <c r="AI63" s="6" t="e">
        <f>(AJ62+(Crescimento!#REF!-(AJ62*0.64))/0.8)/1000</f>
        <v>#REF!</v>
      </c>
      <c r="AJ63" s="7" t="e">
        <f>-53.07 + (304.89 * (AI63)) + (90.79 *Crescimento!#REF!) - (3.13 * Crescimento!#REF!*Crescimento!#REF!)</f>
        <v>#REF!</v>
      </c>
      <c r="AL63" s="6" t="e">
        <f>(AM62+(Crescimento!#REF!-(AM62*0.64))/0.8)/1000</f>
        <v>#REF!</v>
      </c>
      <c r="AM63" s="7" t="e">
        <f>-53.07 + (304.89 * (AL63)) + (90.79 *Crescimento!#REF!) - (3.13 * Crescimento!#REF!*Crescimento!#REF!)</f>
        <v>#REF!</v>
      </c>
      <c r="AN63" s="1"/>
      <c r="AO63" s="6" t="e">
        <f>(AP62+(Crescimento!#REF!-(AP62*0.64))/0.8)/1000</f>
        <v>#REF!</v>
      </c>
      <c r="AP63" s="7" t="e">
        <f>-53.07 + (304.89 * (AO63)) + (90.79 *Crescimento!#REF!) - (3.13 * Crescimento!#REF!*Crescimento!#REF!)</f>
        <v>#REF!</v>
      </c>
      <c r="AR63" s="6" t="e">
        <f>(AS62+(Crescimento!#REF!-(AS62*0.64))/0.8)/1000</f>
        <v>#REF!</v>
      </c>
      <c r="AS63" s="7" t="e">
        <f>-53.07 + (304.89 * (AR63)) + (90.79 *Crescimento!#REF!) - (3.13 * Crescimento!#REF!*Crescimento!#REF!)</f>
        <v>#REF!</v>
      </c>
      <c r="AU63" s="6" t="e">
        <f>(AV62+(Crescimento!#REF!-(AV62*0.64))/0.8)/1000</f>
        <v>#REF!</v>
      </c>
      <c r="AV63" s="7" t="e">
        <f>-53.07 + (304.89 * (AU63)) + (90.79 *Crescimento!#REF!) - (3.13 * Crescimento!#REF!*Crescimento!#REF!)</f>
        <v>#REF!</v>
      </c>
      <c r="AX63" s="6" t="e">
        <f>(AY62+(Crescimento!#REF!-(AY62*0.64))/0.8)/1000</f>
        <v>#REF!</v>
      </c>
      <c r="AY63" s="7" t="e">
        <f>-53.07 + (304.89 * (AX63)) + (90.79 *Crescimento!#REF!) - (3.13 * Crescimento!#REF!*Crescimento!#REF!)</f>
        <v>#REF!</v>
      </c>
      <c r="AZ63" s="1"/>
      <c r="BA63" s="6" t="e">
        <f>(BB62+(Crescimento!#REF!-(BB62*0.64))/0.8)/1000</f>
        <v>#REF!</v>
      </c>
      <c r="BB63" s="7" t="e">
        <f>-53.07 + (304.89 * (BA63)) + (90.79 *Crescimento!#REF!) - (3.13 * Crescimento!#REF!*Crescimento!#REF!)</f>
        <v>#REF!</v>
      </c>
      <c r="BD63" s="6" t="e">
        <f>(BE62+(Crescimento!#REF!-(BE62*0.64))/0.8)/1000</f>
        <v>#REF!</v>
      </c>
      <c r="BE63" s="7" t="e">
        <f>-53.07 + (304.89 * (BD63)) + (90.79 *Crescimento!#REF!) - (3.13 * Crescimento!#REF!*Crescimento!#REF!)</f>
        <v>#REF!</v>
      </c>
      <c r="BG63" s="6" t="e">
        <f>(BH62+(Crescimento!#REF!-(BH62*0.64))/0.8)/1000</f>
        <v>#REF!</v>
      </c>
      <c r="BH63" s="7" t="e">
        <f>-53.07 + (304.89 * (BG63)) + (90.79 *Crescimento!#REF!) - (3.13 * Crescimento!#REF!*Crescimento!#REF!)</f>
        <v>#REF!</v>
      </c>
      <c r="BJ63" s="6" t="e">
        <f>(BK62+(Crescimento!#REF!-(BK62*0.64))/0.8)/1000</f>
        <v>#REF!</v>
      </c>
      <c r="BK63" s="7" t="e">
        <f>-53.07 + (304.89 * (BJ63)) + (90.79 *Crescimento!#REF!) - (3.13 * Crescimento!#REF!*Crescimento!#REF!)</f>
        <v>#REF!</v>
      </c>
      <c r="BL63" s="1"/>
      <c r="BM63" s="6" t="e">
        <f>(BN62+(Crescimento!#REF!-(BN62*0.64))/0.8)/1000</f>
        <v>#REF!</v>
      </c>
      <c r="BN63" s="7" t="e">
        <f>-53.07 + (304.89 * (BM63)) + (90.79 *Crescimento!#REF!) - (3.13 * Crescimento!#REF!*Crescimento!#REF!)</f>
        <v>#REF!</v>
      </c>
      <c r="BP63" s="6" t="e">
        <f>(BQ62+(Crescimento!#REF!-(BQ62*0.64))/0.8)/1000</f>
        <v>#REF!</v>
      </c>
      <c r="BQ63" s="7" t="e">
        <f>-53.07 + (304.89 * (BP63)) + (90.79 *Crescimento!#REF!) - (3.13 * Crescimento!#REF!*Crescimento!#REF!)</f>
        <v>#REF!</v>
      </c>
      <c r="BS63" s="6" t="e">
        <f>(BT62+(Crescimento!#REF!-(BT62*0.64))/0.8)/1000</f>
        <v>#REF!</v>
      </c>
      <c r="BT63" s="7" t="e">
        <f>-53.07 + (304.89 * (BS63)) + (90.79 *Crescimento!#REF!) - (3.13 * Crescimento!#REF!*Crescimento!#REF!)</f>
        <v>#REF!</v>
      </c>
      <c r="BV63" s="6" t="e">
        <f>(BW62+(Crescimento!#REF!-(BW62*0.64))/0.8)/1000</f>
        <v>#REF!</v>
      </c>
      <c r="BW63" s="7" t="e">
        <f>-53.07 + (304.89 * (BV63)) + (90.79 *Crescimento!#REF!) - (3.13 * Crescimento!#REF!*Crescimento!#REF!)</f>
        <v>#REF!</v>
      </c>
      <c r="BX63" s="1"/>
      <c r="BY63" s="6" t="e">
        <f>(BZ62+(Crescimento!#REF!-(BZ62*0.64))/0.8)/1000</f>
        <v>#REF!</v>
      </c>
      <c r="BZ63" s="7" t="e">
        <f>-53.07 + (304.89 * (BY63)) + (90.79 *Crescimento!#REF!) - (3.13 * Crescimento!#REF!*Crescimento!#REF!)</f>
        <v>#REF!</v>
      </c>
      <c r="CB63" s="6" t="e">
        <f>(CC62+(Crescimento!#REF!-(CC62*0.64))/0.8)/1000</f>
        <v>#REF!</v>
      </c>
      <c r="CC63" s="7" t="e">
        <f>-53.07 + (304.89 * (CB63)) + (90.79 *Crescimento!#REF!) - (3.13 * Crescimento!#REF!*Crescimento!#REF!)</f>
        <v>#REF!</v>
      </c>
      <c r="CE63" s="6" t="e">
        <f>(CF62+(Crescimento!#REF!-(CF62*0.64))/0.8)/1000</f>
        <v>#REF!</v>
      </c>
      <c r="CF63" s="7" t="e">
        <f>-53.07 + (304.89 * (CE63)) + (90.79 *Crescimento!#REF!) - (3.13 * Crescimento!#REF!*Crescimento!#REF!)</f>
        <v>#REF!</v>
      </c>
      <c r="CH63" s="6" t="e">
        <f>(CI62+(Crescimento!#REF!-(CI62*0.64))/0.8)/1000</f>
        <v>#REF!</v>
      </c>
      <c r="CI63" s="7" t="e">
        <f>-53.07 + (304.89 * (CH63)) + (90.79 *Crescimento!#REF!) - (3.13 * Crescimento!#REF!*Crescimento!#REF!)</f>
        <v>#REF!</v>
      </c>
      <c r="CJ63" s="1"/>
      <c r="CK63" s="6" t="e">
        <f>(CL62+(Crescimento!#REF!-(CL62*0.64))/0.8)/1000</f>
        <v>#REF!</v>
      </c>
      <c r="CL63" s="7" t="e">
        <f>-53.07 + (304.89 * (CK63)) + (90.79 *Crescimento!#REF!) - (3.13 * Crescimento!#REF!*Crescimento!#REF!)</f>
        <v>#REF!</v>
      </c>
      <c r="CN63" s="6" t="e">
        <f>(CO62+(Crescimento!#REF!-(CO62*0.64))/0.8)/1000</f>
        <v>#REF!</v>
      </c>
      <c r="CO63" s="7" t="e">
        <f>-53.07 + (304.89 * (CN63)) + (90.79 *Crescimento!#REF!) - (3.13 * Crescimento!#REF!*Crescimento!#REF!)</f>
        <v>#REF!</v>
      </c>
      <c r="CQ63" s="6" t="e">
        <f>(CR62+(Crescimento!#REF!-(CR62*0.64))/0.8)/1000</f>
        <v>#REF!</v>
      </c>
      <c r="CR63" s="7" t="e">
        <f>-53.07 + (304.89 * (CQ63)) + (90.79 *Crescimento!#REF!) - (3.13 * Crescimento!#REF!*Crescimento!#REF!)</f>
        <v>#REF!</v>
      </c>
    </row>
    <row r="64" spans="2:96" x14ac:dyDescent="0.25">
      <c r="B64" s="6">
        <f>(C63+(Crescimento!$Q$27-(C63*0.64))/0.8)/1000</f>
        <v>1.1187993738011861</v>
      </c>
      <c r="C64" s="8">
        <f>-53.07 + (304.89 * (B64)) + (90.79 *Crescimento!$Q$20) - (3.13 * Crescimento!$Q$20*Crescimento!$Q$20)</f>
        <v>757.4287040082213</v>
      </c>
      <c r="D64" s="1"/>
      <c r="E64" s="6" t="e">
        <f>(F63+(Crescimento!#REF!-(F63*0.64))/0.8)/1000</f>
        <v>#REF!</v>
      </c>
      <c r="F64" s="7" t="e">
        <f>-53.07 + (304.89 * (E64)) + (90.79 *Crescimento!#REF!) - (3.13 * Crescimento!#REF!*Crescimento!#REF!)</f>
        <v>#REF!</v>
      </c>
      <c r="H64" s="6" t="e">
        <f>(I63+(Crescimento!#REF!-(I63*0.64))/0.8)/1000</f>
        <v>#REF!</v>
      </c>
      <c r="I64" s="7" t="e">
        <f>-53.07 + (304.89 * (H64)) + (90.79 *Crescimento!#REF!) - (3.13 * Crescimento!#REF!*Crescimento!#REF!)</f>
        <v>#REF!</v>
      </c>
      <c r="K64" s="6" t="e">
        <f>(L63+(Crescimento!#REF!-(L63*0.64))/0.8)/1000</f>
        <v>#REF!</v>
      </c>
      <c r="L64" s="7" t="e">
        <f>-53.07 + (304.89 * (K64)) + (90.79 *Crescimento!#REF!) - (3.13 * Crescimento!#REF!*Crescimento!#REF!)</f>
        <v>#REF!</v>
      </c>
      <c r="N64" s="6" t="e">
        <f>(O63+(Crescimento!#REF!-(O63*0.64))/0.8)/1000</f>
        <v>#REF!</v>
      </c>
      <c r="O64" s="7" t="e">
        <f>-53.07 + (304.89 * (N64)) + (90.79 *Crescimento!#REF!) - (3.13 * Crescimento!#REF!*Crescimento!#REF!)</f>
        <v>#REF!</v>
      </c>
      <c r="P64" s="1"/>
      <c r="Q64" s="6" t="e">
        <f>(R63+(Crescimento!#REF!-(R63*0.64))/0.8)/1000</f>
        <v>#REF!</v>
      </c>
      <c r="R64" s="7" t="e">
        <f>-53.07 + (304.89 * (Q64)) + (90.79 *Crescimento!#REF!) - (3.13 * Crescimento!#REF!*Crescimento!#REF!)</f>
        <v>#REF!</v>
      </c>
      <c r="T64" s="6" t="e">
        <f>(U63+(Crescimento!#REF!-(U63*0.64))/0.8)/1000</f>
        <v>#REF!</v>
      </c>
      <c r="U64" s="7" t="e">
        <f>-53.07 + (304.89 * (T64)) + (90.79 *Crescimento!#REF!) - (3.13 * Crescimento!#REF!*Crescimento!#REF!)</f>
        <v>#REF!</v>
      </c>
      <c r="W64" s="6" t="e">
        <f>(X63+(Crescimento!#REF!-(X63*0.64))/0.8)/1000</f>
        <v>#REF!</v>
      </c>
      <c r="X64" s="7" t="e">
        <f>-53.07 + (304.89 * (W64)) + (90.79 *Crescimento!#REF!) - (3.13 * Crescimento!#REF!*Crescimento!#REF!)</f>
        <v>#REF!</v>
      </c>
      <c r="Z64" s="6" t="e">
        <f>(AA63+(Crescimento!#REF!-(AA63*0.64))/0.8)/1000</f>
        <v>#REF!</v>
      </c>
      <c r="AA64" s="7" t="e">
        <f>-53.07 + (304.89 * (Z64)) + (90.79 *Crescimento!#REF!) - (3.13 * Crescimento!#REF!*Crescimento!#REF!)</f>
        <v>#REF!</v>
      </c>
      <c r="AB64" s="1"/>
      <c r="AC64" s="6" t="e">
        <f>(AD63+(Crescimento!#REF!-(AD63*0.64))/0.8)/1000</f>
        <v>#REF!</v>
      </c>
      <c r="AD64" s="7" t="e">
        <f>-53.07 + (304.89 * (AC64)) + (90.79 *Crescimento!#REF!) - (3.13 * Crescimento!#REF!*Crescimento!#REF!)</f>
        <v>#REF!</v>
      </c>
      <c r="AF64" s="6" t="e">
        <f>(AG63+(Crescimento!#REF!-(AG63*0.64))/0.8)/1000</f>
        <v>#REF!</v>
      </c>
      <c r="AG64" s="7" t="e">
        <f>-53.07 + (304.89 * (AF64)) + (90.79 *Crescimento!#REF!) - (3.13 * Crescimento!#REF!*Crescimento!#REF!)</f>
        <v>#REF!</v>
      </c>
      <c r="AI64" s="6" t="e">
        <f>(AJ63+(Crescimento!#REF!-(AJ63*0.64))/0.8)/1000</f>
        <v>#REF!</v>
      </c>
      <c r="AJ64" s="7" t="e">
        <f>-53.07 + (304.89 * (AI64)) + (90.79 *Crescimento!#REF!) - (3.13 * Crescimento!#REF!*Crescimento!#REF!)</f>
        <v>#REF!</v>
      </c>
      <c r="AL64" s="6" t="e">
        <f>(AM63+(Crescimento!#REF!-(AM63*0.64))/0.8)/1000</f>
        <v>#REF!</v>
      </c>
      <c r="AM64" s="7" t="e">
        <f>-53.07 + (304.89 * (AL64)) + (90.79 *Crescimento!#REF!) - (3.13 * Crescimento!#REF!*Crescimento!#REF!)</f>
        <v>#REF!</v>
      </c>
      <c r="AN64" s="1"/>
      <c r="AO64" s="6" t="e">
        <f>(AP63+(Crescimento!#REF!-(AP63*0.64))/0.8)/1000</f>
        <v>#REF!</v>
      </c>
      <c r="AP64" s="7" t="e">
        <f>-53.07 + (304.89 * (AO64)) + (90.79 *Crescimento!#REF!) - (3.13 * Crescimento!#REF!*Crescimento!#REF!)</f>
        <v>#REF!</v>
      </c>
      <c r="AR64" s="6" t="e">
        <f>(AS63+(Crescimento!#REF!-(AS63*0.64))/0.8)/1000</f>
        <v>#REF!</v>
      </c>
      <c r="AS64" s="7" t="e">
        <f>-53.07 + (304.89 * (AR64)) + (90.79 *Crescimento!#REF!) - (3.13 * Crescimento!#REF!*Crescimento!#REF!)</f>
        <v>#REF!</v>
      </c>
      <c r="AU64" s="6" t="e">
        <f>(AV63+(Crescimento!#REF!-(AV63*0.64))/0.8)/1000</f>
        <v>#REF!</v>
      </c>
      <c r="AV64" s="7" t="e">
        <f>-53.07 + (304.89 * (AU64)) + (90.79 *Crescimento!#REF!) - (3.13 * Crescimento!#REF!*Crescimento!#REF!)</f>
        <v>#REF!</v>
      </c>
      <c r="AX64" s="6" t="e">
        <f>(AY63+(Crescimento!#REF!-(AY63*0.64))/0.8)/1000</f>
        <v>#REF!</v>
      </c>
      <c r="AY64" s="7" t="e">
        <f>-53.07 + (304.89 * (AX64)) + (90.79 *Crescimento!#REF!) - (3.13 * Crescimento!#REF!*Crescimento!#REF!)</f>
        <v>#REF!</v>
      </c>
      <c r="AZ64" s="1"/>
      <c r="BA64" s="6" t="e">
        <f>(BB63+(Crescimento!#REF!-(BB63*0.64))/0.8)/1000</f>
        <v>#REF!</v>
      </c>
      <c r="BB64" s="7" t="e">
        <f>-53.07 + (304.89 * (BA64)) + (90.79 *Crescimento!#REF!) - (3.13 * Crescimento!#REF!*Crescimento!#REF!)</f>
        <v>#REF!</v>
      </c>
      <c r="BD64" s="6" t="e">
        <f>(BE63+(Crescimento!#REF!-(BE63*0.64))/0.8)/1000</f>
        <v>#REF!</v>
      </c>
      <c r="BE64" s="7" t="e">
        <f>-53.07 + (304.89 * (BD64)) + (90.79 *Crescimento!#REF!) - (3.13 * Crescimento!#REF!*Crescimento!#REF!)</f>
        <v>#REF!</v>
      </c>
      <c r="BG64" s="6" t="e">
        <f>(BH63+(Crescimento!#REF!-(BH63*0.64))/0.8)/1000</f>
        <v>#REF!</v>
      </c>
      <c r="BH64" s="7" t="e">
        <f>-53.07 + (304.89 * (BG64)) + (90.79 *Crescimento!#REF!) - (3.13 * Crescimento!#REF!*Crescimento!#REF!)</f>
        <v>#REF!</v>
      </c>
      <c r="BJ64" s="6" t="e">
        <f>(BK63+(Crescimento!#REF!-(BK63*0.64))/0.8)/1000</f>
        <v>#REF!</v>
      </c>
      <c r="BK64" s="7" t="e">
        <f>-53.07 + (304.89 * (BJ64)) + (90.79 *Crescimento!#REF!) - (3.13 * Crescimento!#REF!*Crescimento!#REF!)</f>
        <v>#REF!</v>
      </c>
      <c r="BL64" s="1"/>
      <c r="BM64" s="6" t="e">
        <f>(BN63+(Crescimento!#REF!-(BN63*0.64))/0.8)/1000</f>
        <v>#REF!</v>
      </c>
      <c r="BN64" s="7" t="e">
        <f>-53.07 + (304.89 * (BM64)) + (90.79 *Crescimento!#REF!) - (3.13 * Crescimento!#REF!*Crescimento!#REF!)</f>
        <v>#REF!</v>
      </c>
      <c r="BP64" s="6" t="e">
        <f>(BQ63+(Crescimento!#REF!-(BQ63*0.64))/0.8)/1000</f>
        <v>#REF!</v>
      </c>
      <c r="BQ64" s="7" t="e">
        <f>-53.07 + (304.89 * (BP64)) + (90.79 *Crescimento!#REF!) - (3.13 * Crescimento!#REF!*Crescimento!#REF!)</f>
        <v>#REF!</v>
      </c>
      <c r="BS64" s="6" t="e">
        <f>(BT63+(Crescimento!#REF!-(BT63*0.64))/0.8)/1000</f>
        <v>#REF!</v>
      </c>
      <c r="BT64" s="7" t="e">
        <f>-53.07 + (304.89 * (BS64)) + (90.79 *Crescimento!#REF!) - (3.13 * Crescimento!#REF!*Crescimento!#REF!)</f>
        <v>#REF!</v>
      </c>
      <c r="BV64" s="6" t="e">
        <f>(BW63+(Crescimento!#REF!-(BW63*0.64))/0.8)/1000</f>
        <v>#REF!</v>
      </c>
      <c r="BW64" s="7" t="e">
        <f>-53.07 + (304.89 * (BV64)) + (90.79 *Crescimento!#REF!) - (3.13 * Crescimento!#REF!*Crescimento!#REF!)</f>
        <v>#REF!</v>
      </c>
      <c r="BX64" s="1"/>
      <c r="BY64" s="6" t="e">
        <f>(BZ63+(Crescimento!#REF!-(BZ63*0.64))/0.8)/1000</f>
        <v>#REF!</v>
      </c>
      <c r="BZ64" s="7" t="e">
        <f>-53.07 + (304.89 * (BY64)) + (90.79 *Crescimento!#REF!) - (3.13 * Crescimento!#REF!*Crescimento!#REF!)</f>
        <v>#REF!</v>
      </c>
      <c r="CB64" s="6" t="e">
        <f>(CC63+(Crescimento!#REF!-(CC63*0.64))/0.8)/1000</f>
        <v>#REF!</v>
      </c>
      <c r="CC64" s="7" t="e">
        <f>-53.07 + (304.89 * (CB64)) + (90.79 *Crescimento!#REF!) - (3.13 * Crescimento!#REF!*Crescimento!#REF!)</f>
        <v>#REF!</v>
      </c>
      <c r="CE64" s="6" t="e">
        <f>(CF63+(Crescimento!#REF!-(CF63*0.64))/0.8)/1000</f>
        <v>#REF!</v>
      </c>
      <c r="CF64" s="7" t="e">
        <f>-53.07 + (304.89 * (CE64)) + (90.79 *Crescimento!#REF!) - (3.13 * Crescimento!#REF!*Crescimento!#REF!)</f>
        <v>#REF!</v>
      </c>
      <c r="CH64" s="6" t="e">
        <f>(CI63+(Crescimento!#REF!-(CI63*0.64))/0.8)/1000</f>
        <v>#REF!</v>
      </c>
      <c r="CI64" s="7" t="e">
        <f>-53.07 + (304.89 * (CH64)) + (90.79 *Crescimento!#REF!) - (3.13 * Crescimento!#REF!*Crescimento!#REF!)</f>
        <v>#REF!</v>
      </c>
      <c r="CJ64" s="1"/>
      <c r="CK64" s="6" t="e">
        <f>(CL63+(Crescimento!#REF!-(CL63*0.64))/0.8)/1000</f>
        <v>#REF!</v>
      </c>
      <c r="CL64" s="7" t="e">
        <f>-53.07 + (304.89 * (CK64)) + (90.79 *Crescimento!#REF!) - (3.13 * Crescimento!#REF!*Crescimento!#REF!)</f>
        <v>#REF!</v>
      </c>
      <c r="CN64" s="6" t="e">
        <f>(CO63+(Crescimento!#REF!-(CO63*0.64))/0.8)/1000</f>
        <v>#REF!</v>
      </c>
      <c r="CO64" s="7" t="e">
        <f>-53.07 + (304.89 * (CN64)) + (90.79 *Crescimento!#REF!) - (3.13 * Crescimento!#REF!*Crescimento!#REF!)</f>
        <v>#REF!</v>
      </c>
      <c r="CQ64" s="6" t="e">
        <f>(CR63+(Crescimento!#REF!-(CR63*0.64))/0.8)/1000</f>
        <v>#REF!</v>
      </c>
      <c r="CR64" s="7" t="e">
        <f>-53.07 + (304.89 * (CQ64)) + (90.79 *Crescimento!#REF!) - (3.13 * Crescimento!#REF!*Crescimento!#REF!)</f>
        <v>#REF!</v>
      </c>
    </row>
    <row r="65" spans="2:96" x14ac:dyDescent="0.25">
      <c r="B65" s="6">
        <f>(C64+(Crescimento!$Q$27-(C64*0.64))/0.8)/1000</f>
        <v>1.1187993738011861</v>
      </c>
      <c r="C65" s="8">
        <f>-53.07 + (304.89 * (B65)) + (90.79 *Crescimento!$Q$20) - (3.13 * Crescimento!$Q$20*Crescimento!$Q$20)</f>
        <v>757.4287040082213</v>
      </c>
      <c r="D65" s="1"/>
      <c r="E65" s="6" t="e">
        <f>(F64+(Crescimento!#REF!-(F64*0.64))/0.8)/1000</f>
        <v>#REF!</v>
      </c>
      <c r="F65" s="7" t="e">
        <f>-53.07 + (304.89 * (E65)) + (90.79 *Crescimento!#REF!) - (3.13 * Crescimento!#REF!*Crescimento!#REF!)</f>
        <v>#REF!</v>
      </c>
      <c r="H65" s="6" t="e">
        <f>(I64+(Crescimento!#REF!-(I64*0.64))/0.8)/1000</f>
        <v>#REF!</v>
      </c>
      <c r="I65" s="7" t="e">
        <f>-53.07 + (304.89 * (H65)) + (90.79 *Crescimento!#REF!) - (3.13 * Crescimento!#REF!*Crescimento!#REF!)</f>
        <v>#REF!</v>
      </c>
      <c r="K65" s="6" t="e">
        <f>(L64+(Crescimento!#REF!-(L64*0.64))/0.8)/1000</f>
        <v>#REF!</v>
      </c>
      <c r="L65" s="7" t="e">
        <f>-53.07 + (304.89 * (K65)) + (90.79 *Crescimento!#REF!) - (3.13 * Crescimento!#REF!*Crescimento!#REF!)</f>
        <v>#REF!</v>
      </c>
      <c r="N65" s="6" t="e">
        <f>(O64+(Crescimento!#REF!-(O64*0.64))/0.8)/1000</f>
        <v>#REF!</v>
      </c>
      <c r="O65" s="7" t="e">
        <f>-53.07 + (304.89 * (N65)) + (90.79 *Crescimento!#REF!) - (3.13 * Crescimento!#REF!*Crescimento!#REF!)</f>
        <v>#REF!</v>
      </c>
      <c r="P65" s="1"/>
      <c r="Q65" s="6" t="e">
        <f>(R64+(Crescimento!#REF!-(R64*0.64))/0.8)/1000</f>
        <v>#REF!</v>
      </c>
      <c r="R65" s="7" t="e">
        <f>-53.07 + (304.89 * (Q65)) + (90.79 *Crescimento!#REF!) - (3.13 * Crescimento!#REF!*Crescimento!#REF!)</f>
        <v>#REF!</v>
      </c>
      <c r="T65" s="6" t="e">
        <f>(U64+(Crescimento!#REF!-(U64*0.64))/0.8)/1000</f>
        <v>#REF!</v>
      </c>
      <c r="U65" s="7" t="e">
        <f>-53.07 + (304.89 * (T65)) + (90.79 *Crescimento!#REF!) - (3.13 * Crescimento!#REF!*Crescimento!#REF!)</f>
        <v>#REF!</v>
      </c>
      <c r="W65" s="6" t="e">
        <f>(X64+(Crescimento!#REF!-(X64*0.64))/0.8)/1000</f>
        <v>#REF!</v>
      </c>
      <c r="X65" s="7" t="e">
        <f>-53.07 + (304.89 * (W65)) + (90.79 *Crescimento!#REF!) - (3.13 * Crescimento!#REF!*Crescimento!#REF!)</f>
        <v>#REF!</v>
      </c>
      <c r="Z65" s="6" t="e">
        <f>(AA64+(Crescimento!#REF!-(AA64*0.64))/0.8)/1000</f>
        <v>#REF!</v>
      </c>
      <c r="AA65" s="7" t="e">
        <f>-53.07 + (304.89 * (Z65)) + (90.79 *Crescimento!#REF!) - (3.13 * Crescimento!#REF!*Crescimento!#REF!)</f>
        <v>#REF!</v>
      </c>
      <c r="AB65" s="1"/>
      <c r="AC65" s="6" t="e">
        <f>(AD64+(Crescimento!#REF!-(AD64*0.64))/0.8)/1000</f>
        <v>#REF!</v>
      </c>
      <c r="AD65" s="7" t="e">
        <f>-53.07 + (304.89 * (AC65)) + (90.79 *Crescimento!#REF!) - (3.13 * Crescimento!#REF!*Crescimento!#REF!)</f>
        <v>#REF!</v>
      </c>
      <c r="AF65" s="6" t="e">
        <f>(AG64+(Crescimento!#REF!-(AG64*0.64))/0.8)/1000</f>
        <v>#REF!</v>
      </c>
      <c r="AG65" s="7" t="e">
        <f>-53.07 + (304.89 * (AF65)) + (90.79 *Crescimento!#REF!) - (3.13 * Crescimento!#REF!*Crescimento!#REF!)</f>
        <v>#REF!</v>
      </c>
      <c r="AI65" s="6" t="e">
        <f>(AJ64+(Crescimento!#REF!-(AJ64*0.64))/0.8)/1000</f>
        <v>#REF!</v>
      </c>
      <c r="AJ65" s="7" t="e">
        <f>-53.07 + (304.89 * (AI65)) + (90.79 *Crescimento!#REF!) - (3.13 * Crescimento!#REF!*Crescimento!#REF!)</f>
        <v>#REF!</v>
      </c>
      <c r="AL65" s="6" t="e">
        <f>(AM64+(Crescimento!#REF!-(AM64*0.64))/0.8)/1000</f>
        <v>#REF!</v>
      </c>
      <c r="AM65" s="7" t="e">
        <f>-53.07 + (304.89 * (AL65)) + (90.79 *Crescimento!#REF!) - (3.13 * Crescimento!#REF!*Crescimento!#REF!)</f>
        <v>#REF!</v>
      </c>
      <c r="AN65" s="1"/>
      <c r="AO65" s="6" t="e">
        <f>(AP64+(Crescimento!#REF!-(AP64*0.64))/0.8)/1000</f>
        <v>#REF!</v>
      </c>
      <c r="AP65" s="7" t="e">
        <f>-53.07 + (304.89 * (AO65)) + (90.79 *Crescimento!#REF!) - (3.13 * Crescimento!#REF!*Crescimento!#REF!)</f>
        <v>#REF!</v>
      </c>
      <c r="AR65" s="6" t="e">
        <f>(AS64+(Crescimento!#REF!-(AS64*0.64))/0.8)/1000</f>
        <v>#REF!</v>
      </c>
      <c r="AS65" s="7" t="e">
        <f>-53.07 + (304.89 * (AR65)) + (90.79 *Crescimento!#REF!) - (3.13 * Crescimento!#REF!*Crescimento!#REF!)</f>
        <v>#REF!</v>
      </c>
      <c r="AU65" s="6" t="e">
        <f>(AV64+(Crescimento!#REF!-(AV64*0.64))/0.8)/1000</f>
        <v>#REF!</v>
      </c>
      <c r="AV65" s="7" t="e">
        <f>-53.07 + (304.89 * (AU65)) + (90.79 *Crescimento!#REF!) - (3.13 * Crescimento!#REF!*Crescimento!#REF!)</f>
        <v>#REF!</v>
      </c>
      <c r="AX65" s="6" t="e">
        <f>(AY64+(Crescimento!#REF!-(AY64*0.64))/0.8)/1000</f>
        <v>#REF!</v>
      </c>
      <c r="AY65" s="7" t="e">
        <f>-53.07 + (304.89 * (AX65)) + (90.79 *Crescimento!#REF!) - (3.13 * Crescimento!#REF!*Crescimento!#REF!)</f>
        <v>#REF!</v>
      </c>
      <c r="AZ65" s="1"/>
      <c r="BA65" s="6" t="e">
        <f>(BB64+(Crescimento!#REF!-(BB64*0.64))/0.8)/1000</f>
        <v>#REF!</v>
      </c>
      <c r="BB65" s="7" t="e">
        <f>-53.07 + (304.89 * (BA65)) + (90.79 *Crescimento!#REF!) - (3.13 * Crescimento!#REF!*Crescimento!#REF!)</f>
        <v>#REF!</v>
      </c>
      <c r="BD65" s="6" t="e">
        <f>(BE64+(Crescimento!#REF!-(BE64*0.64))/0.8)/1000</f>
        <v>#REF!</v>
      </c>
      <c r="BE65" s="7" t="e">
        <f>-53.07 + (304.89 * (BD65)) + (90.79 *Crescimento!#REF!) - (3.13 * Crescimento!#REF!*Crescimento!#REF!)</f>
        <v>#REF!</v>
      </c>
      <c r="BG65" s="6" t="e">
        <f>(BH64+(Crescimento!#REF!-(BH64*0.64))/0.8)/1000</f>
        <v>#REF!</v>
      </c>
      <c r="BH65" s="7" t="e">
        <f>-53.07 + (304.89 * (BG65)) + (90.79 *Crescimento!#REF!) - (3.13 * Crescimento!#REF!*Crescimento!#REF!)</f>
        <v>#REF!</v>
      </c>
      <c r="BJ65" s="6" t="e">
        <f>(BK64+(Crescimento!#REF!-(BK64*0.64))/0.8)/1000</f>
        <v>#REF!</v>
      </c>
      <c r="BK65" s="7" t="e">
        <f>-53.07 + (304.89 * (BJ65)) + (90.79 *Crescimento!#REF!) - (3.13 * Crescimento!#REF!*Crescimento!#REF!)</f>
        <v>#REF!</v>
      </c>
      <c r="BL65" s="1"/>
      <c r="BM65" s="6" t="e">
        <f>(BN64+(Crescimento!#REF!-(BN64*0.64))/0.8)/1000</f>
        <v>#REF!</v>
      </c>
      <c r="BN65" s="7" t="e">
        <f>-53.07 + (304.89 * (BM65)) + (90.79 *Crescimento!#REF!) - (3.13 * Crescimento!#REF!*Crescimento!#REF!)</f>
        <v>#REF!</v>
      </c>
      <c r="BP65" s="6" t="e">
        <f>(BQ64+(Crescimento!#REF!-(BQ64*0.64))/0.8)/1000</f>
        <v>#REF!</v>
      </c>
      <c r="BQ65" s="7" t="e">
        <f>-53.07 + (304.89 * (BP65)) + (90.79 *Crescimento!#REF!) - (3.13 * Crescimento!#REF!*Crescimento!#REF!)</f>
        <v>#REF!</v>
      </c>
      <c r="BS65" s="6" t="e">
        <f>(BT64+(Crescimento!#REF!-(BT64*0.64))/0.8)/1000</f>
        <v>#REF!</v>
      </c>
      <c r="BT65" s="7" t="e">
        <f>-53.07 + (304.89 * (BS65)) + (90.79 *Crescimento!#REF!) - (3.13 * Crescimento!#REF!*Crescimento!#REF!)</f>
        <v>#REF!</v>
      </c>
      <c r="BV65" s="6" t="e">
        <f>(BW64+(Crescimento!#REF!-(BW64*0.64))/0.8)/1000</f>
        <v>#REF!</v>
      </c>
      <c r="BW65" s="7" t="e">
        <f>-53.07 + (304.89 * (BV65)) + (90.79 *Crescimento!#REF!) - (3.13 * Crescimento!#REF!*Crescimento!#REF!)</f>
        <v>#REF!</v>
      </c>
      <c r="BX65" s="1"/>
      <c r="BY65" s="6" t="e">
        <f>(BZ64+(Crescimento!#REF!-(BZ64*0.64))/0.8)/1000</f>
        <v>#REF!</v>
      </c>
      <c r="BZ65" s="7" t="e">
        <f>-53.07 + (304.89 * (BY65)) + (90.79 *Crescimento!#REF!) - (3.13 * Crescimento!#REF!*Crescimento!#REF!)</f>
        <v>#REF!</v>
      </c>
      <c r="CB65" s="6" t="e">
        <f>(CC64+(Crescimento!#REF!-(CC64*0.64))/0.8)/1000</f>
        <v>#REF!</v>
      </c>
      <c r="CC65" s="7" t="e">
        <f>-53.07 + (304.89 * (CB65)) + (90.79 *Crescimento!#REF!) - (3.13 * Crescimento!#REF!*Crescimento!#REF!)</f>
        <v>#REF!</v>
      </c>
      <c r="CE65" s="6" t="e">
        <f>(CF64+(Crescimento!#REF!-(CF64*0.64))/0.8)/1000</f>
        <v>#REF!</v>
      </c>
      <c r="CF65" s="7" t="e">
        <f>-53.07 + (304.89 * (CE65)) + (90.79 *Crescimento!#REF!) - (3.13 * Crescimento!#REF!*Crescimento!#REF!)</f>
        <v>#REF!</v>
      </c>
      <c r="CH65" s="6" t="e">
        <f>(CI64+(Crescimento!#REF!-(CI64*0.64))/0.8)/1000</f>
        <v>#REF!</v>
      </c>
      <c r="CI65" s="7" t="e">
        <f>-53.07 + (304.89 * (CH65)) + (90.79 *Crescimento!#REF!) - (3.13 * Crescimento!#REF!*Crescimento!#REF!)</f>
        <v>#REF!</v>
      </c>
      <c r="CJ65" s="1"/>
      <c r="CK65" s="6" t="e">
        <f>(CL64+(Crescimento!#REF!-(CL64*0.64))/0.8)/1000</f>
        <v>#REF!</v>
      </c>
      <c r="CL65" s="7" t="e">
        <f>-53.07 + (304.89 * (CK65)) + (90.79 *Crescimento!#REF!) - (3.13 * Crescimento!#REF!*Crescimento!#REF!)</f>
        <v>#REF!</v>
      </c>
      <c r="CN65" s="6" t="e">
        <f>(CO64+(Crescimento!#REF!-(CO64*0.64))/0.8)/1000</f>
        <v>#REF!</v>
      </c>
      <c r="CO65" s="7" t="e">
        <f>-53.07 + (304.89 * (CN65)) + (90.79 *Crescimento!#REF!) - (3.13 * Crescimento!#REF!*Crescimento!#REF!)</f>
        <v>#REF!</v>
      </c>
      <c r="CQ65" s="6" t="e">
        <f>(CR64+(Crescimento!#REF!-(CR64*0.64))/0.8)/1000</f>
        <v>#REF!</v>
      </c>
      <c r="CR65" s="7" t="e">
        <f>-53.07 + (304.89 * (CQ65)) + (90.79 *Crescimento!#REF!) - (3.13 * Crescimento!#REF!*Crescimento!#REF!)</f>
        <v>#REF!</v>
      </c>
    </row>
    <row r="66" spans="2:96" x14ac:dyDescent="0.25">
      <c r="B66" s="6">
        <f>(C65+(Crescimento!$Q$27-(C65*0.64))/0.8)/1000</f>
        <v>1.1187993738011861</v>
      </c>
      <c r="C66" s="8">
        <f>-53.07 + (304.89 * (B66)) + (90.79 *Crescimento!$Q$20) - (3.13 * Crescimento!$Q$20*Crescimento!$Q$20)</f>
        <v>757.4287040082213</v>
      </c>
      <c r="D66" s="1"/>
      <c r="E66" s="6" t="e">
        <f>(F65+(Crescimento!#REF!-(F65*0.64))/0.8)/1000</f>
        <v>#REF!</v>
      </c>
      <c r="F66" s="7" t="e">
        <f>-53.07 + (304.89 * (E66)) + (90.79 *Crescimento!#REF!) - (3.13 * Crescimento!#REF!*Crescimento!#REF!)</f>
        <v>#REF!</v>
      </c>
      <c r="H66" s="6" t="e">
        <f>(I65+(Crescimento!#REF!-(I65*0.64))/0.8)/1000</f>
        <v>#REF!</v>
      </c>
      <c r="I66" s="7" t="e">
        <f>-53.07 + (304.89 * (H66)) + (90.79 *Crescimento!#REF!) - (3.13 * Crescimento!#REF!*Crescimento!#REF!)</f>
        <v>#REF!</v>
      </c>
      <c r="K66" s="6" t="e">
        <f>(L65+(Crescimento!#REF!-(L65*0.64))/0.8)/1000</f>
        <v>#REF!</v>
      </c>
      <c r="L66" s="7" t="e">
        <f>-53.07 + (304.89 * (K66)) + (90.79 *Crescimento!#REF!) - (3.13 * Crescimento!#REF!*Crescimento!#REF!)</f>
        <v>#REF!</v>
      </c>
      <c r="N66" s="6" t="e">
        <f>(O65+(Crescimento!#REF!-(O65*0.64))/0.8)/1000</f>
        <v>#REF!</v>
      </c>
      <c r="O66" s="7" t="e">
        <f>-53.07 + (304.89 * (N66)) + (90.79 *Crescimento!#REF!) - (3.13 * Crescimento!#REF!*Crescimento!#REF!)</f>
        <v>#REF!</v>
      </c>
      <c r="P66" s="1"/>
      <c r="Q66" s="6" t="e">
        <f>(R65+(Crescimento!#REF!-(R65*0.64))/0.8)/1000</f>
        <v>#REF!</v>
      </c>
      <c r="R66" s="7" t="e">
        <f>-53.07 + (304.89 * (Q66)) + (90.79 *Crescimento!#REF!) - (3.13 * Crescimento!#REF!*Crescimento!#REF!)</f>
        <v>#REF!</v>
      </c>
      <c r="T66" s="6" t="e">
        <f>(U65+(Crescimento!#REF!-(U65*0.64))/0.8)/1000</f>
        <v>#REF!</v>
      </c>
      <c r="U66" s="7" t="e">
        <f>-53.07 + (304.89 * (T66)) + (90.79 *Crescimento!#REF!) - (3.13 * Crescimento!#REF!*Crescimento!#REF!)</f>
        <v>#REF!</v>
      </c>
      <c r="W66" s="6" t="e">
        <f>(X65+(Crescimento!#REF!-(X65*0.64))/0.8)/1000</f>
        <v>#REF!</v>
      </c>
      <c r="X66" s="7" t="e">
        <f>-53.07 + (304.89 * (W66)) + (90.79 *Crescimento!#REF!) - (3.13 * Crescimento!#REF!*Crescimento!#REF!)</f>
        <v>#REF!</v>
      </c>
      <c r="Z66" s="6" t="e">
        <f>(AA65+(Crescimento!#REF!-(AA65*0.64))/0.8)/1000</f>
        <v>#REF!</v>
      </c>
      <c r="AA66" s="7" t="e">
        <f>-53.07 + (304.89 * (Z66)) + (90.79 *Crescimento!#REF!) - (3.13 * Crescimento!#REF!*Crescimento!#REF!)</f>
        <v>#REF!</v>
      </c>
      <c r="AB66" s="1"/>
      <c r="AC66" s="6" t="e">
        <f>(AD65+(Crescimento!#REF!-(AD65*0.64))/0.8)/1000</f>
        <v>#REF!</v>
      </c>
      <c r="AD66" s="7" t="e">
        <f>-53.07 + (304.89 * (AC66)) + (90.79 *Crescimento!#REF!) - (3.13 * Crescimento!#REF!*Crescimento!#REF!)</f>
        <v>#REF!</v>
      </c>
      <c r="AF66" s="6" t="e">
        <f>(AG65+(Crescimento!#REF!-(AG65*0.64))/0.8)/1000</f>
        <v>#REF!</v>
      </c>
      <c r="AG66" s="7" t="e">
        <f>-53.07 + (304.89 * (AF66)) + (90.79 *Crescimento!#REF!) - (3.13 * Crescimento!#REF!*Crescimento!#REF!)</f>
        <v>#REF!</v>
      </c>
      <c r="AI66" s="6" t="e">
        <f>(AJ65+(Crescimento!#REF!-(AJ65*0.64))/0.8)/1000</f>
        <v>#REF!</v>
      </c>
      <c r="AJ66" s="7" t="e">
        <f>-53.07 + (304.89 * (AI66)) + (90.79 *Crescimento!#REF!) - (3.13 * Crescimento!#REF!*Crescimento!#REF!)</f>
        <v>#REF!</v>
      </c>
      <c r="AL66" s="6" t="e">
        <f>(AM65+(Crescimento!#REF!-(AM65*0.64))/0.8)/1000</f>
        <v>#REF!</v>
      </c>
      <c r="AM66" s="7" t="e">
        <f>-53.07 + (304.89 * (AL66)) + (90.79 *Crescimento!#REF!) - (3.13 * Crescimento!#REF!*Crescimento!#REF!)</f>
        <v>#REF!</v>
      </c>
      <c r="AN66" s="1"/>
      <c r="AO66" s="6" t="e">
        <f>(AP65+(Crescimento!#REF!-(AP65*0.64))/0.8)/1000</f>
        <v>#REF!</v>
      </c>
      <c r="AP66" s="7" t="e">
        <f>-53.07 + (304.89 * (AO66)) + (90.79 *Crescimento!#REF!) - (3.13 * Crescimento!#REF!*Crescimento!#REF!)</f>
        <v>#REF!</v>
      </c>
      <c r="AR66" s="6" t="e">
        <f>(AS65+(Crescimento!#REF!-(AS65*0.64))/0.8)/1000</f>
        <v>#REF!</v>
      </c>
      <c r="AS66" s="7" t="e">
        <f>-53.07 + (304.89 * (AR66)) + (90.79 *Crescimento!#REF!) - (3.13 * Crescimento!#REF!*Crescimento!#REF!)</f>
        <v>#REF!</v>
      </c>
      <c r="AU66" s="6" t="e">
        <f>(AV65+(Crescimento!#REF!-(AV65*0.64))/0.8)/1000</f>
        <v>#REF!</v>
      </c>
      <c r="AV66" s="7" t="e">
        <f>-53.07 + (304.89 * (AU66)) + (90.79 *Crescimento!#REF!) - (3.13 * Crescimento!#REF!*Crescimento!#REF!)</f>
        <v>#REF!</v>
      </c>
      <c r="AX66" s="6" t="e">
        <f>(AY65+(Crescimento!#REF!-(AY65*0.64))/0.8)/1000</f>
        <v>#REF!</v>
      </c>
      <c r="AY66" s="7" t="e">
        <f>-53.07 + (304.89 * (AX66)) + (90.79 *Crescimento!#REF!) - (3.13 * Crescimento!#REF!*Crescimento!#REF!)</f>
        <v>#REF!</v>
      </c>
      <c r="AZ66" s="1"/>
      <c r="BA66" s="6" t="e">
        <f>(BB65+(Crescimento!#REF!-(BB65*0.64))/0.8)/1000</f>
        <v>#REF!</v>
      </c>
      <c r="BB66" s="7" t="e">
        <f>-53.07 + (304.89 * (BA66)) + (90.79 *Crescimento!#REF!) - (3.13 * Crescimento!#REF!*Crescimento!#REF!)</f>
        <v>#REF!</v>
      </c>
      <c r="BD66" s="6" t="e">
        <f>(BE65+(Crescimento!#REF!-(BE65*0.64))/0.8)/1000</f>
        <v>#REF!</v>
      </c>
      <c r="BE66" s="7" t="e">
        <f>-53.07 + (304.89 * (BD66)) + (90.79 *Crescimento!#REF!) - (3.13 * Crescimento!#REF!*Crescimento!#REF!)</f>
        <v>#REF!</v>
      </c>
      <c r="BG66" s="6" t="e">
        <f>(BH65+(Crescimento!#REF!-(BH65*0.64))/0.8)/1000</f>
        <v>#REF!</v>
      </c>
      <c r="BH66" s="7" t="e">
        <f>-53.07 + (304.89 * (BG66)) + (90.79 *Crescimento!#REF!) - (3.13 * Crescimento!#REF!*Crescimento!#REF!)</f>
        <v>#REF!</v>
      </c>
      <c r="BJ66" s="6" t="e">
        <f>(BK65+(Crescimento!#REF!-(BK65*0.64))/0.8)/1000</f>
        <v>#REF!</v>
      </c>
      <c r="BK66" s="7" t="e">
        <f>-53.07 + (304.89 * (BJ66)) + (90.79 *Crescimento!#REF!) - (3.13 * Crescimento!#REF!*Crescimento!#REF!)</f>
        <v>#REF!</v>
      </c>
      <c r="BL66" s="1"/>
      <c r="BM66" s="6" t="e">
        <f>(BN65+(Crescimento!#REF!-(BN65*0.64))/0.8)/1000</f>
        <v>#REF!</v>
      </c>
      <c r="BN66" s="7" t="e">
        <f>-53.07 + (304.89 * (BM66)) + (90.79 *Crescimento!#REF!) - (3.13 * Crescimento!#REF!*Crescimento!#REF!)</f>
        <v>#REF!</v>
      </c>
      <c r="BP66" s="6" t="e">
        <f>(BQ65+(Crescimento!#REF!-(BQ65*0.64))/0.8)/1000</f>
        <v>#REF!</v>
      </c>
      <c r="BQ66" s="7" t="e">
        <f>-53.07 + (304.89 * (BP66)) + (90.79 *Crescimento!#REF!) - (3.13 * Crescimento!#REF!*Crescimento!#REF!)</f>
        <v>#REF!</v>
      </c>
      <c r="BS66" s="6" t="e">
        <f>(BT65+(Crescimento!#REF!-(BT65*0.64))/0.8)/1000</f>
        <v>#REF!</v>
      </c>
      <c r="BT66" s="7" t="e">
        <f>-53.07 + (304.89 * (BS66)) + (90.79 *Crescimento!#REF!) - (3.13 * Crescimento!#REF!*Crescimento!#REF!)</f>
        <v>#REF!</v>
      </c>
      <c r="BV66" s="6" t="e">
        <f>(BW65+(Crescimento!#REF!-(BW65*0.64))/0.8)/1000</f>
        <v>#REF!</v>
      </c>
      <c r="BW66" s="7" t="e">
        <f>-53.07 + (304.89 * (BV66)) + (90.79 *Crescimento!#REF!) - (3.13 * Crescimento!#REF!*Crescimento!#REF!)</f>
        <v>#REF!</v>
      </c>
      <c r="BX66" s="1"/>
      <c r="BY66" s="6" t="e">
        <f>(BZ65+(Crescimento!#REF!-(BZ65*0.64))/0.8)/1000</f>
        <v>#REF!</v>
      </c>
      <c r="BZ66" s="7" t="e">
        <f>-53.07 + (304.89 * (BY66)) + (90.79 *Crescimento!#REF!) - (3.13 * Crescimento!#REF!*Crescimento!#REF!)</f>
        <v>#REF!</v>
      </c>
      <c r="CB66" s="6" t="e">
        <f>(CC65+(Crescimento!#REF!-(CC65*0.64))/0.8)/1000</f>
        <v>#REF!</v>
      </c>
      <c r="CC66" s="7" t="e">
        <f>-53.07 + (304.89 * (CB66)) + (90.79 *Crescimento!#REF!) - (3.13 * Crescimento!#REF!*Crescimento!#REF!)</f>
        <v>#REF!</v>
      </c>
      <c r="CE66" s="6" t="e">
        <f>(CF65+(Crescimento!#REF!-(CF65*0.64))/0.8)/1000</f>
        <v>#REF!</v>
      </c>
      <c r="CF66" s="7" t="e">
        <f>-53.07 + (304.89 * (CE66)) + (90.79 *Crescimento!#REF!) - (3.13 * Crescimento!#REF!*Crescimento!#REF!)</f>
        <v>#REF!</v>
      </c>
      <c r="CH66" s="6" t="e">
        <f>(CI65+(Crescimento!#REF!-(CI65*0.64))/0.8)/1000</f>
        <v>#REF!</v>
      </c>
      <c r="CI66" s="7" t="e">
        <f>-53.07 + (304.89 * (CH66)) + (90.79 *Crescimento!#REF!) - (3.13 * Crescimento!#REF!*Crescimento!#REF!)</f>
        <v>#REF!</v>
      </c>
      <c r="CJ66" s="1"/>
      <c r="CK66" s="6" t="e">
        <f>(CL65+(Crescimento!#REF!-(CL65*0.64))/0.8)/1000</f>
        <v>#REF!</v>
      </c>
      <c r="CL66" s="7" t="e">
        <f>-53.07 + (304.89 * (CK66)) + (90.79 *Crescimento!#REF!) - (3.13 * Crescimento!#REF!*Crescimento!#REF!)</f>
        <v>#REF!</v>
      </c>
      <c r="CN66" s="6" t="e">
        <f>(CO65+(Crescimento!#REF!-(CO65*0.64))/0.8)/1000</f>
        <v>#REF!</v>
      </c>
      <c r="CO66" s="7" t="e">
        <f>-53.07 + (304.89 * (CN66)) + (90.79 *Crescimento!#REF!) - (3.13 * Crescimento!#REF!*Crescimento!#REF!)</f>
        <v>#REF!</v>
      </c>
      <c r="CQ66" s="6" t="e">
        <f>(CR65+(Crescimento!#REF!-(CR65*0.64))/0.8)/1000</f>
        <v>#REF!</v>
      </c>
      <c r="CR66" s="7" t="e">
        <f>-53.07 + (304.89 * (CQ66)) + (90.79 *Crescimento!#REF!) - (3.13 * Crescimento!#REF!*Crescimento!#REF!)</f>
        <v>#REF!</v>
      </c>
    </row>
    <row r="67" spans="2:96" x14ac:dyDescent="0.25">
      <c r="B67" s="6">
        <f>(C66+(Crescimento!$Q$27-(C66*0.64))/0.8)/1000</f>
        <v>1.1187993738011861</v>
      </c>
      <c r="C67" s="8">
        <f>-53.07 + (304.89 * (B67)) + (90.79 *Crescimento!$Q$20) - (3.13 * Crescimento!$Q$20*Crescimento!$Q$20)</f>
        <v>757.4287040082213</v>
      </c>
      <c r="D67" s="1"/>
      <c r="E67" s="6" t="e">
        <f>(F66+(Crescimento!#REF!-(F66*0.64))/0.8)/1000</f>
        <v>#REF!</v>
      </c>
      <c r="F67" s="7" t="e">
        <f>-53.07 + (304.89 * (E67)) + (90.79 *Crescimento!#REF!) - (3.13 * Crescimento!#REF!*Crescimento!#REF!)</f>
        <v>#REF!</v>
      </c>
      <c r="H67" s="6" t="e">
        <f>(I66+(Crescimento!#REF!-(I66*0.64))/0.8)/1000</f>
        <v>#REF!</v>
      </c>
      <c r="I67" s="7" t="e">
        <f>-53.07 + (304.89 * (H67)) + (90.79 *Crescimento!#REF!) - (3.13 * Crescimento!#REF!*Crescimento!#REF!)</f>
        <v>#REF!</v>
      </c>
      <c r="K67" s="6" t="e">
        <f>(L66+(Crescimento!#REF!-(L66*0.64))/0.8)/1000</f>
        <v>#REF!</v>
      </c>
      <c r="L67" s="7" t="e">
        <f>-53.07 + (304.89 * (K67)) + (90.79 *Crescimento!#REF!) - (3.13 * Crescimento!#REF!*Crescimento!#REF!)</f>
        <v>#REF!</v>
      </c>
      <c r="N67" s="6" t="e">
        <f>(O66+(Crescimento!#REF!-(O66*0.64))/0.8)/1000</f>
        <v>#REF!</v>
      </c>
      <c r="O67" s="7" t="e">
        <f>-53.07 + (304.89 * (N67)) + (90.79 *Crescimento!#REF!) - (3.13 * Crescimento!#REF!*Crescimento!#REF!)</f>
        <v>#REF!</v>
      </c>
      <c r="P67" s="1"/>
      <c r="Q67" s="6" t="e">
        <f>(R66+(Crescimento!#REF!-(R66*0.64))/0.8)/1000</f>
        <v>#REF!</v>
      </c>
      <c r="R67" s="7" t="e">
        <f>-53.07 + (304.89 * (Q67)) + (90.79 *Crescimento!#REF!) - (3.13 * Crescimento!#REF!*Crescimento!#REF!)</f>
        <v>#REF!</v>
      </c>
      <c r="T67" s="6" t="e">
        <f>(U66+(Crescimento!#REF!-(U66*0.64))/0.8)/1000</f>
        <v>#REF!</v>
      </c>
      <c r="U67" s="7" t="e">
        <f>-53.07 + (304.89 * (T67)) + (90.79 *Crescimento!#REF!) - (3.13 * Crescimento!#REF!*Crescimento!#REF!)</f>
        <v>#REF!</v>
      </c>
      <c r="W67" s="6" t="e">
        <f>(X66+(Crescimento!#REF!-(X66*0.64))/0.8)/1000</f>
        <v>#REF!</v>
      </c>
      <c r="X67" s="7" t="e">
        <f>-53.07 + (304.89 * (W67)) + (90.79 *Crescimento!#REF!) - (3.13 * Crescimento!#REF!*Crescimento!#REF!)</f>
        <v>#REF!</v>
      </c>
      <c r="Z67" s="6" t="e">
        <f>(AA66+(Crescimento!#REF!-(AA66*0.64))/0.8)/1000</f>
        <v>#REF!</v>
      </c>
      <c r="AA67" s="7" t="e">
        <f>-53.07 + (304.89 * (Z67)) + (90.79 *Crescimento!#REF!) - (3.13 * Crescimento!#REF!*Crescimento!#REF!)</f>
        <v>#REF!</v>
      </c>
      <c r="AB67" s="1"/>
      <c r="AC67" s="6" t="e">
        <f>(AD66+(Crescimento!#REF!-(AD66*0.64))/0.8)/1000</f>
        <v>#REF!</v>
      </c>
      <c r="AD67" s="7" t="e">
        <f>-53.07 + (304.89 * (AC67)) + (90.79 *Crescimento!#REF!) - (3.13 * Crescimento!#REF!*Crescimento!#REF!)</f>
        <v>#REF!</v>
      </c>
      <c r="AF67" s="6" t="e">
        <f>(AG66+(Crescimento!#REF!-(AG66*0.64))/0.8)/1000</f>
        <v>#REF!</v>
      </c>
      <c r="AG67" s="7" t="e">
        <f>-53.07 + (304.89 * (AF67)) + (90.79 *Crescimento!#REF!) - (3.13 * Crescimento!#REF!*Crescimento!#REF!)</f>
        <v>#REF!</v>
      </c>
      <c r="AI67" s="6" t="e">
        <f>(AJ66+(Crescimento!#REF!-(AJ66*0.64))/0.8)/1000</f>
        <v>#REF!</v>
      </c>
      <c r="AJ67" s="7" t="e">
        <f>-53.07 + (304.89 * (AI67)) + (90.79 *Crescimento!#REF!) - (3.13 * Crescimento!#REF!*Crescimento!#REF!)</f>
        <v>#REF!</v>
      </c>
      <c r="AL67" s="6" t="e">
        <f>(AM66+(Crescimento!#REF!-(AM66*0.64))/0.8)/1000</f>
        <v>#REF!</v>
      </c>
      <c r="AM67" s="7" t="e">
        <f>-53.07 + (304.89 * (AL67)) + (90.79 *Crescimento!#REF!) - (3.13 * Crescimento!#REF!*Crescimento!#REF!)</f>
        <v>#REF!</v>
      </c>
      <c r="AN67" s="1"/>
      <c r="AO67" s="6" t="e">
        <f>(AP66+(Crescimento!#REF!-(AP66*0.64))/0.8)/1000</f>
        <v>#REF!</v>
      </c>
      <c r="AP67" s="7" t="e">
        <f>-53.07 + (304.89 * (AO67)) + (90.79 *Crescimento!#REF!) - (3.13 * Crescimento!#REF!*Crescimento!#REF!)</f>
        <v>#REF!</v>
      </c>
      <c r="AR67" s="6" t="e">
        <f>(AS66+(Crescimento!#REF!-(AS66*0.64))/0.8)/1000</f>
        <v>#REF!</v>
      </c>
      <c r="AS67" s="7" t="e">
        <f>-53.07 + (304.89 * (AR67)) + (90.79 *Crescimento!#REF!) - (3.13 * Crescimento!#REF!*Crescimento!#REF!)</f>
        <v>#REF!</v>
      </c>
      <c r="AU67" s="6" t="e">
        <f>(AV66+(Crescimento!#REF!-(AV66*0.64))/0.8)/1000</f>
        <v>#REF!</v>
      </c>
      <c r="AV67" s="7" t="e">
        <f>-53.07 + (304.89 * (AU67)) + (90.79 *Crescimento!#REF!) - (3.13 * Crescimento!#REF!*Crescimento!#REF!)</f>
        <v>#REF!</v>
      </c>
      <c r="AX67" s="6" t="e">
        <f>(AY66+(Crescimento!#REF!-(AY66*0.64))/0.8)/1000</f>
        <v>#REF!</v>
      </c>
      <c r="AY67" s="7" t="e">
        <f>-53.07 + (304.89 * (AX67)) + (90.79 *Crescimento!#REF!) - (3.13 * Crescimento!#REF!*Crescimento!#REF!)</f>
        <v>#REF!</v>
      </c>
      <c r="AZ67" s="1"/>
      <c r="BA67" s="6" t="e">
        <f>(BB66+(Crescimento!#REF!-(BB66*0.64))/0.8)/1000</f>
        <v>#REF!</v>
      </c>
      <c r="BB67" s="7" t="e">
        <f>-53.07 + (304.89 * (BA67)) + (90.79 *Crescimento!#REF!) - (3.13 * Crescimento!#REF!*Crescimento!#REF!)</f>
        <v>#REF!</v>
      </c>
      <c r="BD67" s="6" t="e">
        <f>(BE66+(Crescimento!#REF!-(BE66*0.64))/0.8)/1000</f>
        <v>#REF!</v>
      </c>
      <c r="BE67" s="7" t="e">
        <f>-53.07 + (304.89 * (BD67)) + (90.79 *Crescimento!#REF!) - (3.13 * Crescimento!#REF!*Crescimento!#REF!)</f>
        <v>#REF!</v>
      </c>
      <c r="BG67" s="6" t="e">
        <f>(BH66+(Crescimento!#REF!-(BH66*0.64))/0.8)/1000</f>
        <v>#REF!</v>
      </c>
      <c r="BH67" s="7" t="e">
        <f>-53.07 + (304.89 * (BG67)) + (90.79 *Crescimento!#REF!) - (3.13 * Crescimento!#REF!*Crescimento!#REF!)</f>
        <v>#REF!</v>
      </c>
      <c r="BJ67" s="6" t="e">
        <f>(BK66+(Crescimento!#REF!-(BK66*0.64))/0.8)/1000</f>
        <v>#REF!</v>
      </c>
      <c r="BK67" s="7" t="e">
        <f>-53.07 + (304.89 * (BJ67)) + (90.79 *Crescimento!#REF!) - (3.13 * Crescimento!#REF!*Crescimento!#REF!)</f>
        <v>#REF!</v>
      </c>
      <c r="BL67" s="1"/>
      <c r="BM67" s="6" t="e">
        <f>(BN66+(Crescimento!#REF!-(BN66*0.64))/0.8)/1000</f>
        <v>#REF!</v>
      </c>
      <c r="BN67" s="7" t="e">
        <f>-53.07 + (304.89 * (BM67)) + (90.79 *Crescimento!#REF!) - (3.13 * Crescimento!#REF!*Crescimento!#REF!)</f>
        <v>#REF!</v>
      </c>
      <c r="BP67" s="6" t="e">
        <f>(BQ66+(Crescimento!#REF!-(BQ66*0.64))/0.8)/1000</f>
        <v>#REF!</v>
      </c>
      <c r="BQ67" s="7" t="e">
        <f>-53.07 + (304.89 * (BP67)) + (90.79 *Crescimento!#REF!) - (3.13 * Crescimento!#REF!*Crescimento!#REF!)</f>
        <v>#REF!</v>
      </c>
      <c r="BS67" s="6" t="e">
        <f>(BT66+(Crescimento!#REF!-(BT66*0.64))/0.8)/1000</f>
        <v>#REF!</v>
      </c>
      <c r="BT67" s="7" t="e">
        <f>-53.07 + (304.89 * (BS67)) + (90.79 *Crescimento!#REF!) - (3.13 * Crescimento!#REF!*Crescimento!#REF!)</f>
        <v>#REF!</v>
      </c>
      <c r="BV67" s="6" t="e">
        <f>(BW66+(Crescimento!#REF!-(BW66*0.64))/0.8)/1000</f>
        <v>#REF!</v>
      </c>
      <c r="BW67" s="7" t="e">
        <f>-53.07 + (304.89 * (BV67)) + (90.79 *Crescimento!#REF!) - (3.13 * Crescimento!#REF!*Crescimento!#REF!)</f>
        <v>#REF!</v>
      </c>
      <c r="BX67" s="1"/>
      <c r="BY67" s="6" t="e">
        <f>(BZ66+(Crescimento!#REF!-(BZ66*0.64))/0.8)/1000</f>
        <v>#REF!</v>
      </c>
      <c r="BZ67" s="7" t="e">
        <f>-53.07 + (304.89 * (BY67)) + (90.79 *Crescimento!#REF!) - (3.13 * Crescimento!#REF!*Crescimento!#REF!)</f>
        <v>#REF!</v>
      </c>
      <c r="CB67" s="6" t="e">
        <f>(CC66+(Crescimento!#REF!-(CC66*0.64))/0.8)/1000</f>
        <v>#REF!</v>
      </c>
      <c r="CC67" s="7" t="e">
        <f>-53.07 + (304.89 * (CB67)) + (90.79 *Crescimento!#REF!) - (3.13 * Crescimento!#REF!*Crescimento!#REF!)</f>
        <v>#REF!</v>
      </c>
      <c r="CE67" s="6" t="e">
        <f>(CF66+(Crescimento!#REF!-(CF66*0.64))/0.8)/1000</f>
        <v>#REF!</v>
      </c>
      <c r="CF67" s="7" t="e">
        <f>-53.07 + (304.89 * (CE67)) + (90.79 *Crescimento!#REF!) - (3.13 * Crescimento!#REF!*Crescimento!#REF!)</f>
        <v>#REF!</v>
      </c>
      <c r="CH67" s="6" t="e">
        <f>(CI66+(Crescimento!#REF!-(CI66*0.64))/0.8)/1000</f>
        <v>#REF!</v>
      </c>
      <c r="CI67" s="7" t="e">
        <f>-53.07 + (304.89 * (CH67)) + (90.79 *Crescimento!#REF!) - (3.13 * Crescimento!#REF!*Crescimento!#REF!)</f>
        <v>#REF!</v>
      </c>
      <c r="CJ67" s="1"/>
      <c r="CK67" s="6" t="e">
        <f>(CL66+(Crescimento!#REF!-(CL66*0.64))/0.8)/1000</f>
        <v>#REF!</v>
      </c>
      <c r="CL67" s="7" t="e">
        <f>-53.07 + (304.89 * (CK67)) + (90.79 *Crescimento!#REF!) - (3.13 * Crescimento!#REF!*Crescimento!#REF!)</f>
        <v>#REF!</v>
      </c>
      <c r="CN67" s="6" t="e">
        <f>(CO66+(Crescimento!#REF!-(CO66*0.64))/0.8)/1000</f>
        <v>#REF!</v>
      </c>
      <c r="CO67" s="7" t="e">
        <f>-53.07 + (304.89 * (CN67)) + (90.79 *Crescimento!#REF!) - (3.13 * Crescimento!#REF!*Crescimento!#REF!)</f>
        <v>#REF!</v>
      </c>
      <c r="CQ67" s="6" t="e">
        <f>(CR66+(Crescimento!#REF!-(CR66*0.64))/0.8)/1000</f>
        <v>#REF!</v>
      </c>
      <c r="CR67" s="7" t="e">
        <f>-53.07 + (304.89 * (CQ67)) + (90.79 *Crescimento!#REF!) - (3.13 * Crescimento!#REF!*Crescimento!#REF!)</f>
        <v>#REF!</v>
      </c>
    </row>
    <row r="68" spans="2:96" x14ac:dyDescent="0.25">
      <c r="B68" s="6">
        <f>(C67+(Crescimento!$Q$27-(C67*0.64))/0.8)/1000</f>
        <v>1.1187993738011861</v>
      </c>
      <c r="C68" s="8">
        <f>-53.07 + (304.89 * (B68)) + (90.79 *Crescimento!$Q$20) - (3.13 * Crescimento!$Q$20*Crescimento!$Q$20)</f>
        <v>757.4287040082213</v>
      </c>
      <c r="D68" s="1"/>
      <c r="E68" s="6" t="e">
        <f>(F67+(Crescimento!#REF!-(F67*0.64))/0.8)/1000</f>
        <v>#REF!</v>
      </c>
      <c r="F68" s="7" t="e">
        <f>-53.07 + (304.89 * (E68)) + (90.79 *Crescimento!#REF!) - (3.13 * Crescimento!#REF!*Crescimento!#REF!)</f>
        <v>#REF!</v>
      </c>
      <c r="H68" s="6" t="e">
        <f>(I67+(Crescimento!#REF!-(I67*0.64))/0.8)/1000</f>
        <v>#REF!</v>
      </c>
      <c r="I68" s="7" t="e">
        <f>-53.07 + (304.89 * (H68)) + (90.79 *Crescimento!#REF!) - (3.13 * Crescimento!#REF!*Crescimento!#REF!)</f>
        <v>#REF!</v>
      </c>
      <c r="K68" s="6" t="e">
        <f>(L67+(Crescimento!#REF!-(L67*0.64))/0.8)/1000</f>
        <v>#REF!</v>
      </c>
      <c r="L68" s="7" t="e">
        <f>-53.07 + (304.89 * (K68)) + (90.79 *Crescimento!#REF!) - (3.13 * Crescimento!#REF!*Crescimento!#REF!)</f>
        <v>#REF!</v>
      </c>
      <c r="N68" s="6" t="e">
        <f>(O67+(Crescimento!#REF!-(O67*0.64))/0.8)/1000</f>
        <v>#REF!</v>
      </c>
      <c r="O68" s="7" t="e">
        <f>-53.07 + (304.89 * (N68)) + (90.79 *Crescimento!#REF!) - (3.13 * Crescimento!#REF!*Crescimento!#REF!)</f>
        <v>#REF!</v>
      </c>
      <c r="P68" s="1"/>
      <c r="Q68" s="6" t="e">
        <f>(R67+(Crescimento!#REF!-(R67*0.64))/0.8)/1000</f>
        <v>#REF!</v>
      </c>
      <c r="R68" s="7" t="e">
        <f>-53.07 + (304.89 * (Q68)) + (90.79 *Crescimento!#REF!) - (3.13 * Crescimento!#REF!*Crescimento!#REF!)</f>
        <v>#REF!</v>
      </c>
      <c r="T68" s="6" t="e">
        <f>(U67+(Crescimento!#REF!-(U67*0.64))/0.8)/1000</f>
        <v>#REF!</v>
      </c>
      <c r="U68" s="7" t="e">
        <f>-53.07 + (304.89 * (T68)) + (90.79 *Crescimento!#REF!) - (3.13 * Crescimento!#REF!*Crescimento!#REF!)</f>
        <v>#REF!</v>
      </c>
      <c r="W68" s="6" t="e">
        <f>(X67+(Crescimento!#REF!-(X67*0.64))/0.8)/1000</f>
        <v>#REF!</v>
      </c>
      <c r="X68" s="7" t="e">
        <f>-53.07 + (304.89 * (W68)) + (90.79 *Crescimento!#REF!) - (3.13 * Crescimento!#REF!*Crescimento!#REF!)</f>
        <v>#REF!</v>
      </c>
      <c r="Z68" s="6" t="e">
        <f>(AA67+(Crescimento!#REF!-(AA67*0.64))/0.8)/1000</f>
        <v>#REF!</v>
      </c>
      <c r="AA68" s="7" t="e">
        <f>-53.07 + (304.89 * (Z68)) + (90.79 *Crescimento!#REF!) - (3.13 * Crescimento!#REF!*Crescimento!#REF!)</f>
        <v>#REF!</v>
      </c>
      <c r="AB68" s="1"/>
      <c r="AC68" s="6" t="e">
        <f>(AD67+(Crescimento!#REF!-(AD67*0.64))/0.8)/1000</f>
        <v>#REF!</v>
      </c>
      <c r="AD68" s="7" t="e">
        <f>-53.07 + (304.89 * (AC68)) + (90.79 *Crescimento!#REF!) - (3.13 * Crescimento!#REF!*Crescimento!#REF!)</f>
        <v>#REF!</v>
      </c>
      <c r="AF68" s="6" t="e">
        <f>(AG67+(Crescimento!#REF!-(AG67*0.64))/0.8)/1000</f>
        <v>#REF!</v>
      </c>
      <c r="AG68" s="7" t="e">
        <f>-53.07 + (304.89 * (AF68)) + (90.79 *Crescimento!#REF!) - (3.13 * Crescimento!#REF!*Crescimento!#REF!)</f>
        <v>#REF!</v>
      </c>
      <c r="AI68" s="6" t="e">
        <f>(AJ67+(Crescimento!#REF!-(AJ67*0.64))/0.8)/1000</f>
        <v>#REF!</v>
      </c>
      <c r="AJ68" s="7" t="e">
        <f>-53.07 + (304.89 * (AI68)) + (90.79 *Crescimento!#REF!) - (3.13 * Crescimento!#REF!*Crescimento!#REF!)</f>
        <v>#REF!</v>
      </c>
      <c r="AL68" s="6" t="e">
        <f>(AM67+(Crescimento!#REF!-(AM67*0.64))/0.8)/1000</f>
        <v>#REF!</v>
      </c>
      <c r="AM68" s="7" t="e">
        <f>-53.07 + (304.89 * (AL68)) + (90.79 *Crescimento!#REF!) - (3.13 * Crescimento!#REF!*Crescimento!#REF!)</f>
        <v>#REF!</v>
      </c>
      <c r="AN68" s="1"/>
      <c r="AO68" s="6" t="e">
        <f>(AP67+(Crescimento!#REF!-(AP67*0.64))/0.8)/1000</f>
        <v>#REF!</v>
      </c>
      <c r="AP68" s="7" t="e">
        <f>-53.07 + (304.89 * (AO68)) + (90.79 *Crescimento!#REF!) - (3.13 * Crescimento!#REF!*Crescimento!#REF!)</f>
        <v>#REF!</v>
      </c>
      <c r="AR68" s="6" t="e">
        <f>(AS67+(Crescimento!#REF!-(AS67*0.64))/0.8)/1000</f>
        <v>#REF!</v>
      </c>
      <c r="AS68" s="7" t="e">
        <f>-53.07 + (304.89 * (AR68)) + (90.79 *Crescimento!#REF!) - (3.13 * Crescimento!#REF!*Crescimento!#REF!)</f>
        <v>#REF!</v>
      </c>
      <c r="AU68" s="6" t="e">
        <f>(AV67+(Crescimento!#REF!-(AV67*0.64))/0.8)/1000</f>
        <v>#REF!</v>
      </c>
      <c r="AV68" s="7" t="e">
        <f>-53.07 + (304.89 * (AU68)) + (90.79 *Crescimento!#REF!) - (3.13 * Crescimento!#REF!*Crescimento!#REF!)</f>
        <v>#REF!</v>
      </c>
      <c r="AX68" s="6" t="e">
        <f>(AY67+(Crescimento!#REF!-(AY67*0.64))/0.8)/1000</f>
        <v>#REF!</v>
      </c>
      <c r="AY68" s="7" t="e">
        <f>-53.07 + (304.89 * (AX68)) + (90.79 *Crescimento!#REF!) - (3.13 * Crescimento!#REF!*Crescimento!#REF!)</f>
        <v>#REF!</v>
      </c>
      <c r="AZ68" s="1"/>
      <c r="BA68" s="6" t="e">
        <f>(BB67+(Crescimento!#REF!-(BB67*0.64))/0.8)/1000</f>
        <v>#REF!</v>
      </c>
      <c r="BB68" s="7" t="e">
        <f>-53.07 + (304.89 * (BA68)) + (90.79 *Crescimento!#REF!) - (3.13 * Crescimento!#REF!*Crescimento!#REF!)</f>
        <v>#REF!</v>
      </c>
      <c r="BD68" s="6" t="e">
        <f>(BE67+(Crescimento!#REF!-(BE67*0.64))/0.8)/1000</f>
        <v>#REF!</v>
      </c>
      <c r="BE68" s="7" t="e">
        <f>-53.07 + (304.89 * (BD68)) + (90.79 *Crescimento!#REF!) - (3.13 * Crescimento!#REF!*Crescimento!#REF!)</f>
        <v>#REF!</v>
      </c>
      <c r="BG68" s="6" t="e">
        <f>(BH67+(Crescimento!#REF!-(BH67*0.64))/0.8)/1000</f>
        <v>#REF!</v>
      </c>
      <c r="BH68" s="7" t="e">
        <f>-53.07 + (304.89 * (BG68)) + (90.79 *Crescimento!#REF!) - (3.13 * Crescimento!#REF!*Crescimento!#REF!)</f>
        <v>#REF!</v>
      </c>
      <c r="BJ68" s="6" t="e">
        <f>(BK67+(Crescimento!#REF!-(BK67*0.64))/0.8)/1000</f>
        <v>#REF!</v>
      </c>
      <c r="BK68" s="7" t="e">
        <f>-53.07 + (304.89 * (BJ68)) + (90.79 *Crescimento!#REF!) - (3.13 * Crescimento!#REF!*Crescimento!#REF!)</f>
        <v>#REF!</v>
      </c>
      <c r="BL68" s="1"/>
      <c r="BM68" s="6" t="e">
        <f>(BN67+(Crescimento!#REF!-(BN67*0.64))/0.8)/1000</f>
        <v>#REF!</v>
      </c>
      <c r="BN68" s="7" t="e">
        <f>-53.07 + (304.89 * (BM68)) + (90.79 *Crescimento!#REF!) - (3.13 * Crescimento!#REF!*Crescimento!#REF!)</f>
        <v>#REF!</v>
      </c>
      <c r="BP68" s="6" t="e">
        <f>(BQ67+(Crescimento!#REF!-(BQ67*0.64))/0.8)/1000</f>
        <v>#REF!</v>
      </c>
      <c r="BQ68" s="7" t="e">
        <f>-53.07 + (304.89 * (BP68)) + (90.79 *Crescimento!#REF!) - (3.13 * Crescimento!#REF!*Crescimento!#REF!)</f>
        <v>#REF!</v>
      </c>
      <c r="BS68" s="6" t="e">
        <f>(BT67+(Crescimento!#REF!-(BT67*0.64))/0.8)/1000</f>
        <v>#REF!</v>
      </c>
      <c r="BT68" s="7" t="e">
        <f>-53.07 + (304.89 * (BS68)) + (90.79 *Crescimento!#REF!) - (3.13 * Crescimento!#REF!*Crescimento!#REF!)</f>
        <v>#REF!</v>
      </c>
      <c r="BV68" s="6" t="e">
        <f>(BW67+(Crescimento!#REF!-(BW67*0.64))/0.8)/1000</f>
        <v>#REF!</v>
      </c>
      <c r="BW68" s="7" t="e">
        <f>-53.07 + (304.89 * (BV68)) + (90.79 *Crescimento!#REF!) - (3.13 * Crescimento!#REF!*Crescimento!#REF!)</f>
        <v>#REF!</v>
      </c>
      <c r="BX68" s="1"/>
      <c r="BY68" s="6" t="e">
        <f>(BZ67+(Crescimento!#REF!-(BZ67*0.64))/0.8)/1000</f>
        <v>#REF!</v>
      </c>
      <c r="BZ68" s="7" t="e">
        <f>-53.07 + (304.89 * (BY68)) + (90.79 *Crescimento!#REF!) - (3.13 * Crescimento!#REF!*Crescimento!#REF!)</f>
        <v>#REF!</v>
      </c>
      <c r="CB68" s="6" t="e">
        <f>(CC67+(Crescimento!#REF!-(CC67*0.64))/0.8)/1000</f>
        <v>#REF!</v>
      </c>
      <c r="CC68" s="7" t="e">
        <f>-53.07 + (304.89 * (CB68)) + (90.79 *Crescimento!#REF!) - (3.13 * Crescimento!#REF!*Crescimento!#REF!)</f>
        <v>#REF!</v>
      </c>
      <c r="CE68" s="6" t="e">
        <f>(CF67+(Crescimento!#REF!-(CF67*0.64))/0.8)/1000</f>
        <v>#REF!</v>
      </c>
      <c r="CF68" s="7" t="e">
        <f>-53.07 + (304.89 * (CE68)) + (90.79 *Crescimento!#REF!) - (3.13 * Crescimento!#REF!*Crescimento!#REF!)</f>
        <v>#REF!</v>
      </c>
      <c r="CH68" s="6" t="e">
        <f>(CI67+(Crescimento!#REF!-(CI67*0.64))/0.8)/1000</f>
        <v>#REF!</v>
      </c>
      <c r="CI68" s="7" t="e">
        <f>-53.07 + (304.89 * (CH68)) + (90.79 *Crescimento!#REF!) - (3.13 * Crescimento!#REF!*Crescimento!#REF!)</f>
        <v>#REF!</v>
      </c>
      <c r="CJ68" s="1"/>
      <c r="CK68" s="6" t="e">
        <f>(CL67+(Crescimento!#REF!-(CL67*0.64))/0.8)/1000</f>
        <v>#REF!</v>
      </c>
      <c r="CL68" s="7" t="e">
        <f>-53.07 + (304.89 * (CK68)) + (90.79 *Crescimento!#REF!) - (3.13 * Crescimento!#REF!*Crescimento!#REF!)</f>
        <v>#REF!</v>
      </c>
      <c r="CN68" s="6" t="e">
        <f>(CO67+(Crescimento!#REF!-(CO67*0.64))/0.8)/1000</f>
        <v>#REF!</v>
      </c>
      <c r="CO68" s="7" t="e">
        <f>-53.07 + (304.89 * (CN68)) + (90.79 *Crescimento!#REF!) - (3.13 * Crescimento!#REF!*Crescimento!#REF!)</f>
        <v>#REF!</v>
      </c>
      <c r="CQ68" s="6" t="e">
        <f>(CR67+(Crescimento!#REF!-(CR67*0.64))/0.8)/1000</f>
        <v>#REF!</v>
      </c>
      <c r="CR68" s="7" t="e">
        <f>-53.07 + (304.89 * (CQ68)) + (90.79 *Crescimento!#REF!) - (3.13 * Crescimento!#REF!*Crescimento!#REF!)</f>
        <v>#REF!</v>
      </c>
    </row>
    <row r="69" spans="2:96" x14ac:dyDescent="0.25">
      <c r="B69" s="6">
        <f>(C68+(Crescimento!$Q$27-(C68*0.64))/0.8)/1000</f>
        <v>1.1187993738011861</v>
      </c>
      <c r="C69" s="8">
        <f>-53.07 + (304.89 * (B69)) + (90.79 *Crescimento!$Q$20) - (3.13 * Crescimento!$Q$20*Crescimento!$Q$20)</f>
        <v>757.4287040082213</v>
      </c>
      <c r="D69" s="1"/>
      <c r="E69" s="6" t="e">
        <f>(F68+(Crescimento!#REF!-(F68*0.64))/0.8)/1000</f>
        <v>#REF!</v>
      </c>
      <c r="F69" s="7" t="e">
        <f>-53.07 + (304.89 * (E69)) + (90.79 *Crescimento!#REF!) - (3.13 * Crescimento!#REF!*Crescimento!#REF!)</f>
        <v>#REF!</v>
      </c>
      <c r="H69" s="6" t="e">
        <f>(I68+(Crescimento!#REF!-(I68*0.64))/0.8)/1000</f>
        <v>#REF!</v>
      </c>
      <c r="I69" s="7" t="e">
        <f>-53.07 + (304.89 * (H69)) + (90.79 *Crescimento!#REF!) - (3.13 * Crescimento!#REF!*Crescimento!#REF!)</f>
        <v>#REF!</v>
      </c>
      <c r="K69" s="6" t="e">
        <f>(L68+(Crescimento!#REF!-(L68*0.64))/0.8)/1000</f>
        <v>#REF!</v>
      </c>
      <c r="L69" s="7" t="e">
        <f>-53.07 + (304.89 * (K69)) + (90.79 *Crescimento!#REF!) - (3.13 * Crescimento!#REF!*Crescimento!#REF!)</f>
        <v>#REF!</v>
      </c>
      <c r="N69" s="6" t="e">
        <f>(O68+(Crescimento!#REF!-(O68*0.64))/0.8)/1000</f>
        <v>#REF!</v>
      </c>
      <c r="O69" s="7" t="e">
        <f>-53.07 + (304.89 * (N69)) + (90.79 *Crescimento!#REF!) - (3.13 * Crescimento!#REF!*Crescimento!#REF!)</f>
        <v>#REF!</v>
      </c>
      <c r="P69" s="1"/>
      <c r="Q69" s="6" t="e">
        <f>(R68+(Crescimento!#REF!-(R68*0.64))/0.8)/1000</f>
        <v>#REF!</v>
      </c>
      <c r="R69" s="7" t="e">
        <f>-53.07 + (304.89 * (Q69)) + (90.79 *Crescimento!#REF!) - (3.13 * Crescimento!#REF!*Crescimento!#REF!)</f>
        <v>#REF!</v>
      </c>
      <c r="T69" s="6" t="e">
        <f>(U68+(Crescimento!#REF!-(U68*0.64))/0.8)/1000</f>
        <v>#REF!</v>
      </c>
      <c r="U69" s="7" t="e">
        <f>-53.07 + (304.89 * (T69)) + (90.79 *Crescimento!#REF!) - (3.13 * Crescimento!#REF!*Crescimento!#REF!)</f>
        <v>#REF!</v>
      </c>
      <c r="W69" s="6" t="e">
        <f>(X68+(Crescimento!#REF!-(X68*0.64))/0.8)/1000</f>
        <v>#REF!</v>
      </c>
      <c r="X69" s="7" t="e">
        <f>-53.07 + (304.89 * (W69)) + (90.79 *Crescimento!#REF!) - (3.13 * Crescimento!#REF!*Crescimento!#REF!)</f>
        <v>#REF!</v>
      </c>
      <c r="Z69" s="6" t="e">
        <f>(AA68+(Crescimento!#REF!-(AA68*0.64))/0.8)/1000</f>
        <v>#REF!</v>
      </c>
      <c r="AA69" s="7" t="e">
        <f>-53.07 + (304.89 * (Z69)) + (90.79 *Crescimento!#REF!) - (3.13 * Crescimento!#REF!*Crescimento!#REF!)</f>
        <v>#REF!</v>
      </c>
      <c r="AB69" s="1"/>
      <c r="AC69" s="6" t="e">
        <f>(AD68+(Crescimento!#REF!-(AD68*0.64))/0.8)/1000</f>
        <v>#REF!</v>
      </c>
      <c r="AD69" s="7" t="e">
        <f>-53.07 + (304.89 * (AC69)) + (90.79 *Crescimento!#REF!) - (3.13 * Crescimento!#REF!*Crescimento!#REF!)</f>
        <v>#REF!</v>
      </c>
      <c r="AF69" s="6" t="e">
        <f>(AG68+(Crescimento!#REF!-(AG68*0.64))/0.8)/1000</f>
        <v>#REF!</v>
      </c>
      <c r="AG69" s="7" t="e">
        <f>-53.07 + (304.89 * (AF69)) + (90.79 *Crescimento!#REF!) - (3.13 * Crescimento!#REF!*Crescimento!#REF!)</f>
        <v>#REF!</v>
      </c>
      <c r="AI69" s="6" t="e">
        <f>(AJ68+(Crescimento!#REF!-(AJ68*0.64))/0.8)/1000</f>
        <v>#REF!</v>
      </c>
      <c r="AJ69" s="7" t="e">
        <f>-53.07 + (304.89 * (AI69)) + (90.79 *Crescimento!#REF!) - (3.13 * Crescimento!#REF!*Crescimento!#REF!)</f>
        <v>#REF!</v>
      </c>
      <c r="AL69" s="6" t="e">
        <f>(AM68+(Crescimento!#REF!-(AM68*0.64))/0.8)/1000</f>
        <v>#REF!</v>
      </c>
      <c r="AM69" s="7" t="e">
        <f>-53.07 + (304.89 * (AL69)) + (90.79 *Crescimento!#REF!) - (3.13 * Crescimento!#REF!*Crescimento!#REF!)</f>
        <v>#REF!</v>
      </c>
      <c r="AN69" s="1"/>
      <c r="AO69" s="6" t="e">
        <f>(AP68+(Crescimento!#REF!-(AP68*0.64))/0.8)/1000</f>
        <v>#REF!</v>
      </c>
      <c r="AP69" s="7" t="e">
        <f>-53.07 + (304.89 * (AO69)) + (90.79 *Crescimento!#REF!) - (3.13 * Crescimento!#REF!*Crescimento!#REF!)</f>
        <v>#REF!</v>
      </c>
      <c r="AR69" s="6" t="e">
        <f>(AS68+(Crescimento!#REF!-(AS68*0.64))/0.8)/1000</f>
        <v>#REF!</v>
      </c>
      <c r="AS69" s="7" t="e">
        <f>-53.07 + (304.89 * (AR69)) + (90.79 *Crescimento!#REF!) - (3.13 * Crescimento!#REF!*Crescimento!#REF!)</f>
        <v>#REF!</v>
      </c>
      <c r="AU69" s="6" t="e">
        <f>(AV68+(Crescimento!#REF!-(AV68*0.64))/0.8)/1000</f>
        <v>#REF!</v>
      </c>
      <c r="AV69" s="7" t="e">
        <f>-53.07 + (304.89 * (AU69)) + (90.79 *Crescimento!#REF!) - (3.13 * Crescimento!#REF!*Crescimento!#REF!)</f>
        <v>#REF!</v>
      </c>
      <c r="AX69" s="6" t="e">
        <f>(AY68+(Crescimento!#REF!-(AY68*0.64))/0.8)/1000</f>
        <v>#REF!</v>
      </c>
      <c r="AY69" s="7" t="e">
        <f>-53.07 + (304.89 * (AX69)) + (90.79 *Crescimento!#REF!) - (3.13 * Crescimento!#REF!*Crescimento!#REF!)</f>
        <v>#REF!</v>
      </c>
      <c r="AZ69" s="1"/>
      <c r="BA69" s="6" t="e">
        <f>(BB68+(Crescimento!#REF!-(BB68*0.64))/0.8)/1000</f>
        <v>#REF!</v>
      </c>
      <c r="BB69" s="7" t="e">
        <f>-53.07 + (304.89 * (BA69)) + (90.79 *Crescimento!#REF!) - (3.13 * Crescimento!#REF!*Crescimento!#REF!)</f>
        <v>#REF!</v>
      </c>
      <c r="BD69" s="6" t="e">
        <f>(BE68+(Crescimento!#REF!-(BE68*0.64))/0.8)/1000</f>
        <v>#REF!</v>
      </c>
      <c r="BE69" s="7" t="e">
        <f>-53.07 + (304.89 * (BD69)) + (90.79 *Crescimento!#REF!) - (3.13 * Crescimento!#REF!*Crescimento!#REF!)</f>
        <v>#REF!</v>
      </c>
      <c r="BG69" s="6" t="e">
        <f>(BH68+(Crescimento!#REF!-(BH68*0.64))/0.8)/1000</f>
        <v>#REF!</v>
      </c>
      <c r="BH69" s="7" t="e">
        <f>-53.07 + (304.89 * (BG69)) + (90.79 *Crescimento!#REF!) - (3.13 * Crescimento!#REF!*Crescimento!#REF!)</f>
        <v>#REF!</v>
      </c>
      <c r="BJ69" s="6" t="e">
        <f>(BK68+(Crescimento!#REF!-(BK68*0.64))/0.8)/1000</f>
        <v>#REF!</v>
      </c>
      <c r="BK69" s="7" t="e">
        <f>-53.07 + (304.89 * (BJ69)) + (90.79 *Crescimento!#REF!) - (3.13 * Crescimento!#REF!*Crescimento!#REF!)</f>
        <v>#REF!</v>
      </c>
      <c r="BL69" s="1"/>
      <c r="BM69" s="6" t="e">
        <f>(BN68+(Crescimento!#REF!-(BN68*0.64))/0.8)/1000</f>
        <v>#REF!</v>
      </c>
      <c r="BN69" s="7" t="e">
        <f>-53.07 + (304.89 * (BM69)) + (90.79 *Crescimento!#REF!) - (3.13 * Crescimento!#REF!*Crescimento!#REF!)</f>
        <v>#REF!</v>
      </c>
      <c r="BP69" s="6" t="e">
        <f>(BQ68+(Crescimento!#REF!-(BQ68*0.64))/0.8)/1000</f>
        <v>#REF!</v>
      </c>
      <c r="BQ69" s="7" t="e">
        <f>-53.07 + (304.89 * (BP69)) + (90.79 *Crescimento!#REF!) - (3.13 * Crescimento!#REF!*Crescimento!#REF!)</f>
        <v>#REF!</v>
      </c>
      <c r="BS69" s="6" t="e">
        <f>(BT68+(Crescimento!#REF!-(BT68*0.64))/0.8)/1000</f>
        <v>#REF!</v>
      </c>
      <c r="BT69" s="7" t="e">
        <f>-53.07 + (304.89 * (BS69)) + (90.79 *Crescimento!#REF!) - (3.13 * Crescimento!#REF!*Crescimento!#REF!)</f>
        <v>#REF!</v>
      </c>
      <c r="BV69" s="6" t="e">
        <f>(BW68+(Crescimento!#REF!-(BW68*0.64))/0.8)/1000</f>
        <v>#REF!</v>
      </c>
      <c r="BW69" s="7" t="e">
        <f>-53.07 + (304.89 * (BV69)) + (90.79 *Crescimento!#REF!) - (3.13 * Crescimento!#REF!*Crescimento!#REF!)</f>
        <v>#REF!</v>
      </c>
      <c r="BX69" s="1"/>
      <c r="BY69" s="6" t="e">
        <f>(BZ68+(Crescimento!#REF!-(BZ68*0.64))/0.8)/1000</f>
        <v>#REF!</v>
      </c>
      <c r="BZ69" s="7" t="e">
        <f>-53.07 + (304.89 * (BY69)) + (90.79 *Crescimento!#REF!) - (3.13 * Crescimento!#REF!*Crescimento!#REF!)</f>
        <v>#REF!</v>
      </c>
      <c r="CB69" s="6" t="e">
        <f>(CC68+(Crescimento!#REF!-(CC68*0.64))/0.8)/1000</f>
        <v>#REF!</v>
      </c>
      <c r="CC69" s="7" t="e">
        <f>-53.07 + (304.89 * (CB69)) + (90.79 *Crescimento!#REF!) - (3.13 * Crescimento!#REF!*Crescimento!#REF!)</f>
        <v>#REF!</v>
      </c>
      <c r="CE69" s="6" t="e">
        <f>(CF68+(Crescimento!#REF!-(CF68*0.64))/0.8)/1000</f>
        <v>#REF!</v>
      </c>
      <c r="CF69" s="7" t="e">
        <f>-53.07 + (304.89 * (CE69)) + (90.79 *Crescimento!#REF!) - (3.13 * Crescimento!#REF!*Crescimento!#REF!)</f>
        <v>#REF!</v>
      </c>
      <c r="CH69" s="6" t="e">
        <f>(CI68+(Crescimento!#REF!-(CI68*0.64))/0.8)/1000</f>
        <v>#REF!</v>
      </c>
      <c r="CI69" s="7" t="e">
        <f>-53.07 + (304.89 * (CH69)) + (90.79 *Crescimento!#REF!) - (3.13 * Crescimento!#REF!*Crescimento!#REF!)</f>
        <v>#REF!</v>
      </c>
      <c r="CJ69" s="1"/>
      <c r="CK69" s="6" t="e">
        <f>(CL68+(Crescimento!#REF!-(CL68*0.64))/0.8)/1000</f>
        <v>#REF!</v>
      </c>
      <c r="CL69" s="7" t="e">
        <f>-53.07 + (304.89 * (CK69)) + (90.79 *Crescimento!#REF!) - (3.13 * Crescimento!#REF!*Crescimento!#REF!)</f>
        <v>#REF!</v>
      </c>
      <c r="CN69" s="6" t="e">
        <f>(CO68+(Crescimento!#REF!-(CO68*0.64))/0.8)/1000</f>
        <v>#REF!</v>
      </c>
      <c r="CO69" s="7" t="e">
        <f>-53.07 + (304.89 * (CN69)) + (90.79 *Crescimento!#REF!) - (3.13 * Crescimento!#REF!*Crescimento!#REF!)</f>
        <v>#REF!</v>
      </c>
      <c r="CQ69" s="6" t="e">
        <f>(CR68+(Crescimento!#REF!-(CR68*0.64))/0.8)/1000</f>
        <v>#REF!</v>
      </c>
      <c r="CR69" s="7" t="e">
        <f>-53.07 + (304.89 * (CQ69)) + (90.79 *Crescimento!#REF!) - (3.13 * Crescimento!#REF!*Crescimento!#REF!)</f>
        <v>#REF!</v>
      </c>
    </row>
    <row r="70" spans="2:96" x14ac:dyDescent="0.25">
      <c r="B70" s="6">
        <f>(C69+(Crescimento!$Q$27-(C69*0.64))/0.8)/1000</f>
        <v>1.1187993738011861</v>
      </c>
      <c r="C70" s="8">
        <f>-53.07 + (304.89 * (B70)) + (90.79 *Crescimento!$Q$20) - (3.13 * Crescimento!$Q$20*Crescimento!$Q$20)</f>
        <v>757.4287040082213</v>
      </c>
      <c r="D70" s="1"/>
      <c r="E70" s="6" t="e">
        <f>(F69+(Crescimento!#REF!-(F69*0.64))/0.8)/1000</f>
        <v>#REF!</v>
      </c>
      <c r="F70" s="7" t="e">
        <f>-53.07 + (304.89 * (E70)) + (90.79 *Crescimento!#REF!) - (3.13 * Crescimento!#REF!*Crescimento!#REF!)</f>
        <v>#REF!</v>
      </c>
      <c r="H70" s="6" t="e">
        <f>(I69+(Crescimento!#REF!-(I69*0.64))/0.8)/1000</f>
        <v>#REF!</v>
      </c>
      <c r="I70" s="7" t="e">
        <f>-53.07 + (304.89 * (H70)) + (90.79 *Crescimento!#REF!) - (3.13 * Crescimento!#REF!*Crescimento!#REF!)</f>
        <v>#REF!</v>
      </c>
      <c r="K70" s="6" t="e">
        <f>(L69+(Crescimento!#REF!-(L69*0.64))/0.8)/1000</f>
        <v>#REF!</v>
      </c>
      <c r="L70" s="7" t="e">
        <f>-53.07 + (304.89 * (K70)) + (90.79 *Crescimento!#REF!) - (3.13 * Crescimento!#REF!*Crescimento!#REF!)</f>
        <v>#REF!</v>
      </c>
      <c r="N70" s="6" t="e">
        <f>(O69+(Crescimento!#REF!-(O69*0.64))/0.8)/1000</f>
        <v>#REF!</v>
      </c>
      <c r="O70" s="7" t="e">
        <f>-53.07 + (304.89 * (N70)) + (90.79 *Crescimento!#REF!) - (3.13 * Crescimento!#REF!*Crescimento!#REF!)</f>
        <v>#REF!</v>
      </c>
      <c r="P70" s="1"/>
      <c r="Q70" s="6" t="e">
        <f>(R69+(Crescimento!#REF!-(R69*0.64))/0.8)/1000</f>
        <v>#REF!</v>
      </c>
      <c r="R70" s="7" t="e">
        <f>-53.07 + (304.89 * (Q70)) + (90.79 *Crescimento!#REF!) - (3.13 * Crescimento!#REF!*Crescimento!#REF!)</f>
        <v>#REF!</v>
      </c>
      <c r="T70" s="6" t="e">
        <f>(U69+(Crescimento!#REF!-(U69*0.64))/0.8)/1000</f>
        <v>#REF!</v>
      </c>
      <c r="U70" s="7" t="e">
        <f>-53.07 + (304.89 * (T70)) + (90.79 *Crescimento!#REF!) - (3.13 * Crescimento!#REF!*Crescimento!#REF!)</f>
        <v>#REF!</v>
      </c>
      <c r="W70" s="6" t="e">
        <f>(X69+(Crescimento!#REF!-(X69*0.64))/0.8)/1000</f>
        <v>#REF!</v>
      </c>
      <c r="X70" s="7" t="e">
        <f>-53.07 + (304.89 * (W70)) + (90.79 *Crescimento!#REF!) - (3.13 * Crescimento!#REF!*Crescimento!#REF!)</f>
        <v>#REF!</v>
      </c>
      <c r="Z70" s="6" t="e">
        <f>(AA69+(Crescimento!#REF!-(AA69*0.64))/0.8)/1000</f>
        <v>#REF!</v>
      </c>
      <c r="AA70" s="7" t="e">
        <f>-53.07 + (304.89 * (Z70)) + (90.79 *Crescimento!#REF!) - (3.13 * Crescimento!#REF!*Crescimento!#REF!)</f>
        <v>#REF!</v>
      </c>
      <c r="AB70" s="1"/>
      <c r="AC70" s="6" t="e">
        <f>(AD69+(Crescimento!#REF!-(AD69*0.64))/0.8)/1000</f>
        <v>#REF!</v>
      </c>
      <c r="AD70" s="7" t="e">
        <f>-53.07 + (304.89 * (AC70)) + (90.79 *Crescimento!#REF!) - (3.13 * Crescimento!#REF!*Crescimento!#REF!)</f>
        <v>#REF!</v>
      </c>
      <c r="AF70" s="6" t="e">
        <f>(AG69+(Crescimento!#REF!-(AG69*0.64))/0.8)/1000</f>
        <v>#REF!</v>
      </c>
      <c r="AG70" s="7" t="e">
        <f>-53.07 + (304.89 * (AF70)) + (90.79 *Crescimento!#REF!) - (3.13 * Crescimento!#REF!*Crescimento!#REF!)</f>
        <v>#REF!</v>
      </c>
      <c r="AI70" s="6" t="e">
        <f>(AJ69+(Crescimento!#REF!-(AJ69*0.64))/0.8)/1000</f>
        <v>#REF!</v>
      </c>
      <c r="AJ70" s="7" t="e">
        <f>-53.07 + (304.89 * (AI70)) + (90.79 *Crescimento!#REF!) - (3.13 * Crescimento!#REF!*Crescimento!#REF!)</f>
        <v>#REF!</v>
      </c>
      <c r="AL70" s="6" t="e">
        <f>(AM69+(Crescimento!#REF!-(AM69*0.64))/0.8)/1000</f>
        <v>#REF!</v>
      </c>
      <c r="AM70" s="7" t="e">
        <f>-53.07 + (304.89 * (AL70)) + (90.79 *Crescimento!#REF!) - (3.13 * Crescimento!#REF!*Crescimento!#REF!)</f>
        <v>#REF!</v>
      </c>
      <c r="AN70" s="1"/>
      <c r="AO70" s="6" t="e">
        <f>(AP69+(Crescimento!#REF!-(AP69*0.64))/0.8)/1000</f>
        <v>#REF!</v>
      </c>
      <c r="AP70" s="7" t="e">
        <f>-53.07 + (304.89 * (AO70)) + (90.79 *Crescimento!#REF!) - (3.13 * Crescimento!#REF!*Crescimento!#REF!)</f>
        <v>#REF!</v>
      </c>
      <c r="AR70" s="6" t="e">
        <f>(AS69+(Crescimento!#REF!-(AS69*0.64))/0.8)/1000</f>
        <v>#REF!</v>
      </c>
      <c r="AS70" s="7" t="e">
        <f>-53.07 + (304.89 * (AR70)) + (90.79 *Crescimento!#REF!) - (3.13 * Crescimento!#REF!*Crescimento!#REF!)</f>
        <v>#REF!</v>
      </c>
      <c r="AU70" s="6" t="e">
        <f>(AV69+(Crescimento!#REF!-(AV69*0.64))/0.8)/1000</f>
        <v>#REF!</v>
      </c>
      <c r="AV70" s="7" t="e">
        <f>-53.07 + (304.89 * (AU70)) + (90.79 *Crescimento!#REF!) - (3.13 * Crescimento!#REF!*Crescimento!#REF!)</f>
        <v>#REF!</v>
      </c>
      <c r="AX70" s="6" t="e">
        <f>(AY69+(Crescimento!#REF!-(AY69*0.64))/0.8)/1000</f>
        <v>#REF!</v>
      </c>
      <c r="AY70" s="7" t="e">
        <f>-53.07 + (304.89 * (AX70)) + (90.79 *Crescimento!#REF!) - (3.13 * Crescimento!#REF!*Crescimento!#REF!)</f>
        <v>#REF!</v>
      </c>
      <c r="AZ70" s="1"/>
      <c r="BA70" s="6" t="e">
        <f>(BB69+(Crescimento!#REF!-(BB69*0.64))/0.8)/1000</f>
        <v>#REF!</v>
      </c>
      <c r="BB70" s="7" t="e">
        <f>-53.07 + (304.89 * (BA70)) + (90.79 *Crescimento!#REF!) - (3.13 * Crescimento!#REF!*Crescimento!#REF!)</f>
        <v>#REF!</v>
      </c>
      <c r="BD70" s="6" t="e">
        <f>(BE69+(Crescimento!#REF!-(BE69*0.64))/0.8)/1000</f>
        <v>#REF!</v>
      </c>
      <c r="BE70" s="7" t="e">
        <f>-53.07 + (304.89 * (BD70)) + (90.79 *Crescimento!#REF!) - (3.13 * Crescimento!#REF!*Crescimento!#REF!)</f>
        <v>#REF!</v>
      </c>
      <c r="BG70" s="6" t="e">
        <f>(BH69+(Crescimento!#REF!-(BH69*0.64))/0.8)/1000</f>
        <v>#REF!</v>
      </c>
      <c r="BH70" s="7" t="e">
        <f>-53.07 + (304.89 * (BG70)) + (90.79 *Crescimento!#REF!) - (3.13 * Crescimento!#REF!*Crescimento!#REF!)</f>
        <v>#REF!</v>
      </c>
      <c r="BJ70" s="6" t="e">
        <f>(BK69+(Crescimento!#REF!-(BK69*0.64))/0.8)/1000</f>
        <v>#REF!</v>
      </c>
      <c r="BK70" s="7" t="e">
        <f>-53.07 + (304.89 * (BJ70)) + (90.79 *Crescimento!#REF!) - (3.13 * Crescimento!#REF!*Crescimento!#REF!)</f>
        <v>#REF!</v>
      </c>
      <c r="BL70" s="1"/>
      <c r="BM70" s="6" t="e">
        <f>(BN69+(Crescimento!#REF!-(BN69*0.64))/0.8)/1000</f>
        <v>#REF!</v>
      </c>
      <c r="BN70" s="7" t="e">
        <f>-53.07 + (304.89 * (BM70)) + (90.79 *Crescimento!#REF!) - (3.13 * Crescimento!#REF!*Crescimento!#REF!)</f>
        <v>#REF!</v>
      </c>
      <c r="BP70" s="6" t="e">
        <f>(BQ69+(Crescimento!#REF!-(BQ69*0.64))/0.8)/1000</f>
        <v>#REF!</v>
      </c>
      <c r="BQ70" s="7" t="e">
        <f>-53.07 + (304.89 * (BP70)) + (90.79 *Crescimento!#REF!) - (3.13 * Crescimento!#REF!*Crescimento!#REF!)</f>
        <v>#REF!</v>
      </c>
      <c r="BS70" s="6" t="e">
        <f>(BT69+(Crescimento!#REF!-(BT69*0.64))/0.8)/1000</f>
        <v>#REF!</v>
      </c>
      <c r="BT70" s="7" t="e">
        <f>-53.07 + (304.89 * (BS70)) + (90.79 *Crescimento!#REF!) - (3.13 * Crescimento!#REF!*Crescimento!#REF!)</f>
        <v>#REF!</v>
      </c>
      <c r="BV70" s="6" t="e">
        <f>(BW69+(Crescimento!#REF!-(BW69*0.64))/0.8)/1000</f>
        <v>#REF!</v>
      </c>
      <c r="BW70" s="7" t="e">
        <f>-53.07 + (304.89 * (BV70)) + (90.79 *Crescimento!#REF!) - (3.13 * Crescimento!#REF!*Crescimento!#REF!)</f>
        <v>#REF!</v>
      </c>
      <c r="BX70" s="1"/>
      <c r="BY70" s="6" t="e">
        <f>(BZ69+(Crescimento!#REF!-(BZ69*0.64))/0.8)/1000</f>
        <v>#REF!</v>
      </c>
      <c r="BZ70" s="7" t="e">
        <f>-53.07 + (304.89 * (BY70)) + (90.79 *Crescimento!#REF!) - (3.13 * Crescimento!#REF!*Crescimento!#REF!)</f>
        <v>#REF!</v>
      </c>
      <c r="CB70" s="6" t="e">
        <f>(CC69+(Crescimento!#REF!-(CC69*0.64))/0.8)/1000</f>
        <v>#REF!</v>
      </c>
      <c r="CC70" s="7" t="e">
        <f>-53.07 + (304.89 * (CB70)) + (90.79 *Crescimento!#REF!) - (3.13 * Crescimento!#REF!*Crescimento!#REF!)</f>
        <v>#REF!</v>
      </c>
      <c r="CE70" s="6" t="e">
        <f>(CF69+(Crescimento!#REF!-(CF69*0.64))/0.8)/1000</f>
        <v>#REF!</v>
      </c>
      <c r="CF70" s="7" t="e">
        <f>-53.07 + (304.89 * (CE70)) + (90.79 *Crescimento!#REF!) - (3.13 * Crescimento!#REF!*Crescimento!#REF!)</f>
        <v>#REF!</v>
      </c>
      <c r="CH70" s="6" t="e">
        <f>(CI69+(Crescimento!#REF!-(CI69*0.64))/0.8)/1000</f>
        <v>#REF!</v>
      </c>
      <c r="CI70" s="7" t="e">
        <f>-53.07 + (304.89 * (CH70)) + (90.79 *Crescimento!#REF!) - (3.13 * Crescimento!#REF!*Crescimento!#REF!)</f>
        <v>#REF!</v>
      </c>
      <c r="CJ70" s="1"/>
      <c r="CK70" s="6" t="e">
        <f>(CL69+(Crescimento!#REF!-(CL69*0.64))/0.8)/1000</f>
        <v>#REF!</v>
      </c>
      <c r="CL70" s="7" t="e">
        <f>-53.07 + (304.89 * (CK70)) + (90.79 *Crescimento!#REF!) - (3.13 * Crescimento!#REF!*Crescimento!#REF!)</f>
        <v>#REF!</v>
      </c>
      <c r="CN70" s="6" t="e">
        <f>(CO69+(Crescimento!#REF!-(CO69*0.64))/0.8)/1000</f>
        <v>#REF!</v>
      </c>
      <c r="CO70" s="7" t="e">
        <f>-53.07 + (304.89 * (CN70)) + (90.79 *Crescimento!#REF!) - (3.13 * Crescimento!#REF!*Crescimento!#REF!)</f>
        <v>#REF!</v>
      </c>
      <c r="CQ70" s="6" t="e">
        <f>(CR69+(Crescimento!#REF!-(CR69*0.64))/0.8)/1000</f>
        <v>#REF!</v>
      </c>
      <c r="CR70" s="7" t="e">
        <f>-53.07 + (304.89 * (CQ70)) + (90.79 *Crescimento!#REF!) - (3.13 * Crescimento!#REF!*Crescimento!#REF!)</f>
        <v>#REF!</v>
      </c>
    </row>
    <row r="71" spans="2:96" x14ac:dyDescent="0.25">
      <c r="B71" s="6">
        <f>(C70+(Crescimento!$Q$27-(C70*0.64))/0.8)/1000</f>
        <v>1.1187993738011861</v>
      </c>
      <c r="C71" s="8">
        <f>-53.07 + (304.89 * (B71)) + (90.79 *Crescimento!$Q$20) - (3.13 * Crescimento!$Q$20*Crescimento!$Q$20)</f>
        <v>757.4287040082213</v>
      </c>
      <c r="D71" s="1"/>
      <c r="E71" s="6" t="e">
        <f>(F70+(Crescimento!#REF!-(F70*0.64))/0.8)/1000</f>
        <v>#REF!</v>
      </c>
      <c r="F71" s="7" t="e">
        <f>-53.07 + (304.89 * (E71)) + (90.79 *Crescimento!#REF!) - (3.13 * Crescimento!#REF!*Crescimento!#REF!)</f>
        <v>#REF!</v>
      </c>
      <c r="H71" s="6" t="e">
        <f>(I70+(Crescimento!#REF!-(I70*0.64))/0.8)/1000</f>
        <v>#REF!</v>
      </c>
      <c r="I71" s="7" t="e">
        <f>-53.07 + (304.89 * (H71)) + (90.79 *Crescimento!#REF!) - (3.13 * Crescimento!#REF!*Crescimento!#REF!)</f>
        <v>#REF!</v>
      </c>
      <c r="K71" s="6" t="e">
        <f>(L70+(Crescimento!#REF!-(L70*0.64))/0.8)/1000</f>
        <v>#REF!</v>
      </c>
      <c r="L71" s="7" t="e">
        <f>-53.07 + (304.89 * (K71)) + (90.79 *Crescimento!#REF!) - (3.13 * Crescimento!#REF!*Crescimento!#REF!)</f>
        <v>#REF!</v>
      </c>
      <c r="N71" s="6" t="e">
        <f>(O70+(Crescimento!#REF!-(O70*0.64))/0.8)/1000</f>
        <v>#REF!</v>
      </c>
      <c r="O71" s="7" t="e">
        <f>-53.07 + (304.89 * (N71)) + (90.79 *Crescimento!#REF!) - (3.13 * Crescimento!#REF!*Crescimento!#REF!)</f>
        <v>#REF!</v>
      </c>
      <c r="P71" s="1"/>
      <c r="Q71" s="6" t="e">
        <f>(R70+(Crescimento!#REF!-(R70*0.64))/0.8)/1000</f>
        <v>#REF!</v>
      </c>
      <c r="R71" s="7" t="e">
        <f>-53.07 + (304.89 * (Q71)) + (90.79 *Crescimento!#REF!) - (3.13 * Crescimento!#REF!*Crescimento!#REF!)</f>
        <v>#REF!</v>
      </c>
      <c r="T71" s="6" t="e">
        <f>(U70+(Crescimento!#REF!-(U70*0.64))/0.8)/1000</f>
        <v>#REF!</v>
      </c>
      <c r="U71" s="7" t="e">
        <f>-53.07 + (304.89 * (T71)) + (90.79 *Crescimento!#REF!) - (3.13 * Crescimento!#REF!*Crescimento!#REF!)</f>
        <v>#REF!</v>
      </c>
      <c r="W71" s="6" t="e">
        <f>(X70+(Crescimento!#REF!-(X70*0.64))/0.8)/1000</f>
        <v>#REF!</v>
      </c>
      <c r="X71" s="7" t="e">
        <f>-53.07 + (304.89 * (W71)) + (90.79 *Crescimento!#REF!) - (3.13 * Crescimento!#REF!*Crescimento!#REF!)</f>
        <v>#REF!</v>
      </c>
      <c r="Z71" s="6" t="e">
        <f>(AA70+(Crescimento!#REF!-(AA70*0.64))/0.8)/1000</f>
        <v>#REF!</v>
      </c>
      <c r="AA71" s="7" t="e">
        <f>-53.07 + (304.89 * (Z71)) + (90.79 *Crescimento!#REF!) - (3.13 * Crescimento!#REF!*Crescimento!#REF!)</f>
        <v>#REF!</v>
      </c>
      <c r="AB71" s="1"/>
      <c r="AC71" s="6" t="e">
        <f>(AD70+(Crescimento!#REF!-(AD70*0.64))/0.8)/1000</f>
        <v>#REF!</v>
      </c>
      <c r="AD71" s="7" t="e">
        <f>-53.07 + (304.89 * (AC71)) + (90.79 *Crescimento!#REF!) - (3.13 * Crescimento!#REF!*Crescimento!#REF!)</f>
        <v>#REF!</v>
      </c>
      <c r="AF71" s="6" t="e">
        <f>(AG70+(Crescimento!#REF!-(AG70*0.64))/0.8)/1000</f>
        <v>#REF!</v>
      </c>
      <c r="AG71" s="7" t="e">
        <f>-53.07 + (304.89 * (AF71)) + (90.79 *Crescimento!#REF!) - (3.13 * Crescimento!#REF!*Crescimento!#REF!)</f>
        <v>#REF!</v>
      </c>
      <c r="AI71" s="6" t="e">
        <f>(AJ70+(Crescimento!#REF!-(AJ70*0.64))/0.8)/1000</f>
        <v>#REF!</v>
      </c>
      <c r="AJ71" s="7" t="e">
        <f>-53.07 + (304.89 * (AI71)) + (90.79 *Crescimento!#REF!) - (3.13 * Crescimento!#REF!*Crescimento!#REF!)</f>
        <v>#REF!</v>
      </c>
      <c r="AL71" s="6" t="e">
        <f>(AM70+(Crescimento!#REF!-(AM70*0.64))/0.8)/1000</f>
        <v>#REF!</v>
      </c>
      <c r="AM71" s="7" t="e">
        <f>-53.07 + (304.89 * (AL71)) + (90.79 *Crescimento!#REF!) - (3.13 * Crescimento!#REF!*Crescimento!#REF!)</f>
        <v>#REF!</v>
      </c>
      <c r="AN71" s="1"/>
      <c r="AO71" s="6" t="e">
        <f>(AP70+(Crescimento!#REF!-(AP70*0.64))/0.8)/1000</f>
        <v>#REF!</v>
      </c>
      <c r="AP71" s="7" t="e">
        <f>-53.07 + (304.89 * (AO71)) + (90.79 *Crescimento!#REF!) - (3.13 * Crescimento!#REF!*Crescimento!#REF!)</f>
        <v>#REF!</v>
      </c>
      <c r="AR71" s="6" t="e">
        <f>(AS70+(Crescimento!#REF!-(AS70*0.64))/0.8)/1000</f>
        <v>#REF!</v>
      </c>
      <c r="AS71" s="7" t="e">
        <f>-53.07 + (304.89 * (AR71)) + (90.79 *Crescimento!#REF!) - (3.13 * Crescimento!#REF!*Crescimento!#REF!)</f>
        <v>#REF!</v>
      </c>
      <c r="AU71" s="6" t="e">
        <f>(AV70+(Crescimento!#REF!-(AV70*0.64))/0.8)/1000</f>
        <v>#REF!</v>
      </c>
      <c r="AV71" s="7" t="e">
        <f>-53.07 + (304.89 * (AU71)) + (90.79 *Crescimento!#REF!) - (3.13 * Crescimento!#REF!*Crescimento!#REF!)</f>
        <v>#REF!</v>
      </c>
      <c r="AX71" s="6" t="e">
        <f>(AY70+(Crescimento!#REF!-(AY70*0.64))/0.8)/1000</f>
        <v>#REF!</v>
      </c>
      <c r="AY71" s="7" t="e">
        <f>-53.07 + (304.89 * (AX71)) + (90.79 *Crescimento!#REF!) - (3.13 * Crescimento!#REF!*Crescimento!#REF!)</f>
        <v>#REF!</v>
      </c>
      <c r="AZ71" s="1"/>
      <c r="BA71" s="6" t="e">
        <f>(BB70+(Crescimento!#REF!-(BB70*0.64))/0.8)/1000</f>
        <v>#REF!</v>
      </c>
      <c r="BB71" s="7" t="e">
        <f>-53.07 + (304.89 * (BA71)) + (90.79 *Crescimento!#REF!) - (3.13 * Crescimento!#REF!*Crescimento!#REF!)</f>
        <v>#REF!</v>
      </c>
      <c r="BD71" s="6" t="e">
        <f>(BE70+(Crescimento!#REF!-(BE70*0.64))/0.8)/1000</f>
        <v>#REF!</v>
      </c>
      <c r="BE71" s="7" t="e">
        <f>-53.07 + (304.89 * (BD71)) + (90.79 *Crescimento!#REF!) - (3.13 * Crescimento!#REF!*Crescimento!#REF!)</f>
        <v>#REF!</v>
      </c>
      <c r="BG71" s="6" t="e">
        <f>(BH70+(Crescimento!#REF!-(BH70*0.64))/0.8)/1000</f>
        <v>#REF!</v>
      </c>
      <c r="BH71" s="7" t="e">
        <f>-53.07 + (304.89 * (BG71)) + (90.79 *Crescimento!#REF!) - (3.13 * Crescimento!#REF!*Crescimento!#REF!)</f>
        <v>#REF!</v>
      </c>
      <c r="BJ71" s="6" t="e">
        <f>(BK70+(Crescimento!#REF!-(BK70*0.64))/0.8)/1000</f>
        <v>#REF!</v>
      </c>
      <c r="BK71" s="7" t="e">
        <f>-53.07 + (304.89 * (BJ71)) + (90.79 *Crescimento!#REF!) - (3.13 * Crescimento!#REF!*Crescimento!#REF!)</f>
        <v>#REF!</v>
      </c>
      <c r="BL71" s="1"/>
      <c r="BM71" s="6" t="e">
        <f>(BN70+(Crescimento!#REF!-(BN70*0.64))/0.8)/1000</f>
        <v>#REF!</v>
      </c>
      <c r="BN71" s="7" t="e">
        <f>-53.07 + (304.89 * (BM71)) + (90.79 *Crescimento!#REF!) - (3.13 * Crescimento!#REF!*Crescimento!#REF!)</f>
        <v>#REF!</v>
      </c>
      <c r="BP71" s="6" t="e">
        <f>(BQ70+(Crescimento!#REF!-(BQ70*0.64))/0.8)/1000</f>
        <v>#REF!</v>
      </c>
      <c r="BQ71" s="7" t="e">
        <f>-53.07 + (304.89 * (BP71)) + (90.79 *Crescimento!#REF!) - (3.13 * Crescimento!#REF!*Crescimento!#REF!)</f>
        <v>#REF!</v>
      </c>
      <c r="BS71" s="6" t="e">
        <f>(BT70+(Crescimento!#REF!-(BT70*0.64))/0.8)/1000</f>
        <v>#REF!</v>
      </c>
      <c r="BT71" s="7" t="e">
        <f>-53.07 + (304.89 * (BS71)) + (90.79 *Crescimento!#REF!) - (3.13 * Crescimento!#REF!*Crescimento!#REF!)</f>
        <v>#REF!</v>
      </c>
      <c r="BV71" s="6" t="e">
        <f>(BW70+(Crescimento!#REF!-(BW70*0.64))/0.8)/1000</f>
        <v>#REF!</v>
      </c>
      <c r="BW71" s="7" t="e">
        <f>-53.07 + (304.89 * (BV71)) + (90.79 *Crescimento!#REF!) - (3.13 * Crescimento!#REF!*Crescimento!#REF!)</f>
        <v>#REF!</v>
      </c>
      <c r="BX71" s="1"/>
      <c r="BY71" s="6" t="e">
        <f>(BZ70+(Crescimento!#REF!-(BZ70*0.64))/0.8)/1000</f>
        <v>#REF!</v>
      </c>
      <c r="BZ71" s="7" t="e">
        <f>-53.07 + (304.89 * (BY71)) + (90.79 *Crescimento!#REF!) - (3.13 * Crescimento!#REF!*Crescimento!#REF!)</f>
        <v>#REF!</v>
      </c>
      <c r="CB71" s="6" t="e">
        <f>(CC70+(Crescimento!#REF!-(CC70*0.64))/0.8)/1000</f>
        <v>#REF!</v>
      </c>
      <c r="CC71" s="7" t="e">
        <f>-53.07 + (304.89 * (CB71)) + (90.79 *Crescimento!#REF!) - (3.13 * Crescimento!#REF!*Crescimento!#REF!)</f>
        <v>#REF!</v>
      </c>
      <c r="CE71" s="6" t="e">
        <f>(CF70+(Crescimento!#REF!-(CF70*0.64))/0.8)/1000</f>
        <v>#REF!</v>
      </c>
      <c r="CF71" s="7" t="e">
        <f>-53.07 + (304.89 * (CE71)) + (90.79 *Crescimento!#REF!) - (3.13 * Crescimento!#REF!*Crescimento!#REF!)</f>
        <v>#REF!</v>
      </c>
      <c r="CH71" s="6" t="e">
        <f>(CI70+(Crescimento!#REF!-(CI70*0.64))/0.8)/1000</f>
        <v>#REF!</v>
      </c>
      <c r="CI71" s="7" t="e">
        <f>-53.07 + (304.89 * (CH71)) + (90.79 *Crescimento!#REF!) - (3.13 * Crescimento!#REF!*Crescimento!#REF!)</f>
        <v>#REF!</v>
      </c>
      <c r="CJ71" s="1"/>
      <c r="CK71" s="6" t="e">
        <f>(CL70+(Crescimento!#REF!-(CL70*0.64))/0.8)/1000</f>
        <v>#REF!</v>
      </c>
      <c r="CL71" s="7" t="e">
        <f>-53.07 + (304.89 * (CK71)) + (90.79 *Crescimento!#REF!) - (3.13 * Crescimento!#REF!*Crescimento!#REF!)</f>
        <v>#REF!</v>
      </c>
      <c r="CN71" s="6" t="e">
        <f>(CO70+(Crescimento!#REF!-(CO70*0.64))/0.8)/1000</f>
        <v>#REF!</v>
      </c>
      <c r="CO71" s="7" t="e">
        <f>-53.07 + (304.89 * (CN71)) + (90.79 *Crescimento!#REF!) - (3.13 * Crescimento!#REF!*Crescimento!#REF!)</f>
        <v>#REF!</v>
      </c>
      <c r="CQ71" s="6" t="e">
        <f>(CR70+(Crescimento!#REF!-(CR70*0.64))/0.8)/1000</f>
        <v>#REF!</v>
      </c>
      <c r="CR71" s="7" t="e">
        <f>-53.07 + (304.89 * (CQ71)) + (90.79 *Crescimento!#REF!) - (3.13 * Crescimento!#REF!*Crescimento!#REF!)</f>
        <v>#REF!</v>
      </c>
    </row>
    <row r="72" spans="2:96" x14ac:dyDescent="0.25">
      <c r="B72" s="6">
        <f>(C71+(Crescimento!$Q$27-(C71*0.64))/0.8)/1000</f>
        <v>1.1187993738011861</v>
      </c>
      <c r="C72" s="8">
        <f>-53.07 + (304.89 * (B72)) + (90.79 *Crescimento!$Q$20) - (3.13 * Crescimento!$Q$20*Crescimento!$Q$20)</f>
        <v>757.4287040082213</v>
      </c>
      <c r="D72" s="1"/>
      <c r="E72" s="6" t="e">
        <f>(F71+(Crescimento!#REF!-(F71*0.64))/0.8)/1000</f>
        <v>#REF!</v>
      </c>
      <c r="F72" s="7" t="e">
        <f>-53.07 + (304.89 * (E72)) + (90.79 *Crescimento!#REF!) - (3.13 * Crescimento!#REF!*Crescimento!#REF!)</f>
        <v>#REF!</v>
      </c>
      <c r="H72" s="6" t="e">
        <f>(I71+(Crescimento!#REF!-(I71*0.64))/0.8)/1000</f>
        <v>#REF!</v>
      </c>
      <c r="I72" s="7" t="e">
        <f>-53.07 + (304.89 * (H72)) + (90.79 *Crescimento!#REF!) - (3.13 * Crescimento!#REF!*Crescimento!#REF!)</f>
        <v>#REF!</v>
      </c>
      <c r="K72" s="6" t="e">
        <f>(L71+(Crescimento!#REF!-(L71*0.64))/0.8)/1000</f>
        <v>#REF!</v>
      </c>
      <c r="L72" s="7" t="e">
        <f>-53.07 + (304.89 * (K72)) + (90.79 *Crescimento!#REF!) - (3.13 * Crescimento!#REF!*Crescimento!#REF!)</f>
        <v>#REF!</v>
      </c>
      <c r="N72" s="6" t="e">
        <f>(O71+(Crescimento!#REF!-(O71*0.64))/0.8)/1000</f>
        <v>#REF!</v>
      </c>
      <c r="O72" s="7" t="e">
        <f>-53.07 + (304.89 * (N72)) + (90.79 *Crescimento!#REF!) - (3.13 * Crescimento!#REF!*Crescimento!#REF!)</f>
        <v>#REF!</v>
      </c>
      <c r="P72" s="1"/>
      <c r="Q72" s="6" t="e">
        <f>(R71+(Crescimento!#REF!-(R71*0.64))/0.8)/1000</f>
        <v>#REF!</v>
      </c>
      <c r="R72" s="7" t="e">
        <f>-53.07 + (304.89 * (Q72)) + (90.79 *Crescimento!#REF!) - (3.13 * Crescimento!#REF!*Crescimento!#REF!)</f>
        <v>#REF!</v>
      </c>
      <c r="T72" s="6" t="e">
        <f>(U71+(Crescimento!#REF!-(U71*0.64))/0.8)/1000</f>
        <v>#REF!</v>
      </c>
      <c r="U72" s="7" t="e">
        <f>-53.07 + (304.89 * (T72)) + (90.79 *Crescimento!#REF!) - (3.13 * Crescimento!#REF!*Crescimento!#REF!)</f>
        <v>#REF!</v>
      </c>
      <c r="W72" s="6" t="e">
        <f>(X71+(Crescimento!#REF!-(X71*0.64))/0.8)/1000</f>
        <v>#REF!</v>
      </c>
      <c r="X72" s="7" t="e">
        <f>-53.07 + (304.89 * (W72)) + (90.79 *Crescimento!#REF!) - (3.13 * Crescimento!#REF!*Crescimento!#REF!)</f>
        <v>#REF!</v>
      </c>
      <c r="Z72" s="6" t="e">
        <f>(AA71+(Crescimento!#REF!-(AA71*0.64))/0.8)/1000</f>
        <v>#REF!</v>
      </c>
      <c r="AA72" s="7" t="e">
        <f>-53.07 + (304.89 * (Z72)) + (90.79 *Crescimento!#REF!) - (3.13 * Crescimento!#REF!*Crescimento!#REF!)</f>
        <v>#REF!</v>
      </c>
      <c r="AB72" s="1"/>
      <c r="AC72" s="6" t="e">
        <f>(AD71+(Crescimento!#REF!-(AD71*0.64))/0.8)/1000</f>
        <v>#REF!</v>
      </c>
      <c r="AD72" s="7" t="e">
        <f>-53.07 + (304.89 * (AC72)) + (90.79 *Crescimento!#REF!) - (3.13 * Crescimento!#REF!*Crescimento!#REF!)</f>
        <v>#REF!</v>
      </c>
      <c r="AF72" s="6" t="e">
        <f>(AG71+(Crescimento!#REF!-(AG71*0.64))/0.8)/1000</f>
        <v>#REF!</v>
      </c>
      <c r="AG72" s="7" t="e">
        <f>-53.07 + (304.89 * (AF72)) + (90.79 *Crescimento!#REF!) - (3.13 * Crescimento!#REF!*Crescimento!#REF!)</f>
        <v>#REF!</v>
      </c>
      <c r="AI72" s="6" t="e">
        <f>(AJ71+(Crescimento!#REF!-(AJ71*0.64))/0.8)/1000</f>
        <v>#REF!</v>
      </c>
      <c r="AJ72" s="7" t="e">
        <f>-53.07 + (304.89 * (AI72)) + (90.79 *Crescimento!#REF!) - (3.13 * Crescimento!#REF!*Crescimento!#REF!)</f>
        <v>#REF!</v>
      </c>
      <c r="AL72" s="6" t="e">
        <f>(AM71+(Crescimento!#REF!-(AM71*0.64))/0.8)/1000</f>
        <v>#REF!</v>
      </c>
      <c r="AM72" s="7" t="e">
        <f>-53.07 + (304.89 * (AL72)) + (90.79 *Crescimento!#REF!) - (3.13 * Crescimento!#REF!*Crescimento!#REF!)</f>
        <v>#REF!</v>
      </c>
      <c r="AN72" s="1"/>
      <c r="AO72" s="6" t="e">
        <f>(AP71+(Crescimento!#REF!-(AP71*0.64))/0.8)/1000</f>
        <v>#REF!</v>
      </c>
      <c r="AP72" s="7" t="e">
        <f>-53.07 + (304.89 * (AO72)) + (90.79 *Crescimento!#REF!) - (3.13 * Crescimento!#REF!*Crescimento!#REF!)</f>
        <v>#REF!</v>
      </c>
      <c r="AR72" s="6" t="e">
        <f>(AS71+(Crescimento!#REF!-(AS71*0.64))/0.8)/1000</f>
        <v>#REF!</v>
      </c>
      <c r="AS72" s="7" t="e">
        <f>-53.07 + (304.89 * (AR72)) + (90.79 *Crescimento!#REF!) - (3.13 * Crescimento!#REF!*Crescimento!#REF!)</f>
        <v>#REF!</v>
      </c>
      <c r="AU72" s="6" t="e">
        <f>(AV71+(Crescimento!#REF!-(AV71*0.64))/0.8)/1000</f>
        <v>#REF!</v>
      </c>
      <c r="AV72" s="7" t="e">
        <f>-53.07 + (304.89 * (AU72)) + (90.79 *Crescimento!#REF!) - (3.13 * Crescimento!#REF!*Crescimento!#REF!)</f>
        <v>#REF!</v>
      </c>
      <c r="AX72" s="6" t="e">
        <f>(AY71+(Crescimento!#REF!-(AY71*0.64))/0.8)/1000</f>
        <v>#REF!</v>
      </c>
      <c r="AY72" s="7" t="e">
        <f>-53.07 + (304.89 * (AX72)) + (90.79 *Crescimento!#REF!) - (3.13 * Crescimento!#REF!*Crescimento!#REF!)</f>
        <v>#REF!</v>
      </c>
      <c r="AZ72" s="1"/>
      <c r="BA72" s="6" t="e">
        <f>(BB71+(Crescimento!#REF!-(BB71*0.64))/0.8)/1000</f>
        <v>#REF!</v>
      </c>
      <c r="BB72" s="7" t="e">
        <f>-53.07 + (304.89 * (BA72)) + (90.79 *Crescimento!#REF!) - (3.13 * Crescimento!#REF!*Crescimento!#REF!)</f>
        <v>#REF!</v>
      </c>
      <c r="BD72" s="6" t="e">
        <f>(BE71+(Crescimento!#REF!-(BE71*0.64))/0.8)/1000</f>
        <v>#REF!</v>
      </c>
      <c r="BE72" s="7" t="e">
        <f>-53.07 + (304.89 * (BD72)) + (90.79 *Crescimento!#REF!) - (3.13 * Crescimento!#REF!*Crescimento!#REF!)</f>
        <v>#REF!</v>
      </c>
      <c r="BG72" s="6" t="e">
        <f>(BH71+(Crescimento!#REF!-(BH71*0.64))/0.8)/1000</f>
        <v>#REF!</v>
      </c>
      <c r="BH72" s="7" t="e">
        <f>-53.07 + (304.89 * (BG72)) + (90.79 *Crescimento!#REF!) - (3.13 * Crescimento!#REF!*Crescimento!#REF!)</f>
        <v>#REF!</v>
      </c>
      <c r="BJ72" s="6" t="e">
        <f>(BK71+(Crescimento!#REF!-(BK71*0.64))/0.8)/1000</f>
        <v>#REF!</v>
      </c>
      <c r="BK72" s="7" t="e">
        <f>-53.07 + (304.89 * (BJ72)) + (90.79 *Crescimento!#REF!) - (3.13 * Crescimento!#REF!*Crescimento!#REF!)</f>
        <v>#REF!</v>
      </c>
      <c r="BL72" s="1"/>
      <c r="BM72" s="6" t="e">
        <f>(BN71+(Crescimento!#REF!-(BN71*0.64))/0.8)/1000</f>
        <v>#REF!</v>
      </c>
      <c r="BN72" s="7" t="e">
        <f>-53.07 + (304.89 * (BM72)) + (90.79 *Crescimento!#REF!) - (3.13 * Crescimento!#REF!*Crescimento!#REF!)</f>
        <v>#REF!</v>
      </c>
      <c r="BP72" s="6" t="e">
        <f>(BQ71+(Crescimento!#REF!-(BQ71*0.64))/0.8)/1000</f>
        <v>#REF!</v>
      </c>
      <c r="BQ72" s="7" t="e">
        <f>-53.07 + (304.89 * (BP72)) + (90.79 *Crescimento!#REF!) - (3.13 * Crescimento!#REF!*Crescimento!#REF!)</f>
        <v>#REF!</v>
      </c>
      <c r="BS72" s="6" t="e">
        <f>(BT71+(Crescimento!#REF!-(BT71*0.64))/0.8)/1000</f>
        <v>#REF!</v>
      </c>
      <c r="BT72" s="7" t="e">
        <f>-53.07 + (304.89 * (BS72)) + (90.79 *Crescimento!#REF!) - (3.13 * Crescimento!#REF!*Crescimento!#REF!)</f>
        <v>#REF!</v>
      </c>
      <c r="BV72" s="6" t="e">
        <f>(BW71+(Crescimento!#REF!-(BW71*0.64))/0.8)/1000</f>
        <v>#REF!</v>
      </c>
      <c r="BW72" s="7" t="e">
        <f>-53.07 + (304.89 * (BV72)) + (90.79 *Crescimento!#REF!) - (3.13 * Crescimento!#REF!*Crescimento!#REF!)</f>
        <v>#REF!</v>
      </c>
      <c r="BX72" s="1"/>
      <c r="BY72" s="6" t="e">
        <f>(BZ71+(Crescimento!#REF!-(BZ71*0.64))/0.8)/1000</f>
        <v>#REF!</v>
      </c>
      <c r="BZ72" s="7" t="e">
        <f>-53.07 + (304.89 * (BY72)) + (90.79 *Crescimento!#REF!) - (3.13 * Crescimento!#REF!*Crescimento!#REF!)</f>
        <v>#REF!</v>
      </c>
      <c r="CB72" s="6" t="e">
        <f>(CC71+(Crescimento!#REF!-(CC71*0.64))/0.8)/1000</f>
        <v>#REF!</v>
      </c>
      <c r="CC72" s="7" t="e">
        <f>-53.07 + (304.89 * (CB72)) + (90.79 *Crescimento!#REF!) - (3.13 * Crescimento!#REF!*Crescimento!#REF!)</f>
        <v>#REF!</v>
      </c>
      <c r="CE72" s="6" t="e">
        <f>(CF71+(Crescimento!#REF!-(CF71*0.64))/0.8)/1000</f>
        <v>#REF!</v>
      </c>
      <c r="CF72" s="7" t="e">
        <f>-53.07 + (304.89 * (CE72)) + (90.79 *Crescimento!#REF!) - (3.13 * Crescimento!#REF!*Crescimento!#REF!)</f>
        <v>#REF!</v>
      </c>
      <c r="CH72" s="6" t="e">
        <f>(CI71+(Crescimento!#REF!-(CI71*0.64))/0.8)/1000</f>
        <v>#REF!</v>
      </c>
      <c r="CI72" s="7" t="e">
        <f>-53.07 + (304.89 * (CH72)) + (90.79 *Crescimento!#REF!) - (3.13 * Crescimento!#REF!*Crescimento!#REF!)</f>
        <v>#REF!</v>
      </c>
      <c r="CJ72" s="1"/>
      <c r="CK72" s="6" t="e">
        <f>(CL71+(Crescimento!#REF!-(CL71*0.64))/0.8)/1000</f>
        <v>#REF!</v>
      </c>
      <c r="CL72" s="7" t="e">
        <f>-53.07 + (304.89 * (CK72)) + (90.79 *Crescimento!#REF!) - (3.13 * Crescimento!#REF!*Crescimento!#REF!)</f>
        <v>#REF!</v>
      </c>
      <c r="CN72" s="6" t="e">
        <f>(CO71+(Crescimento!#REF!-(CO71*0.64))/0.8)/1000</f>
        <v>#REF!</v>
      </c>
      <c r="CO72" s="7" t="e">
        <f>-53.07 + (304.89 * (CN72)) + (90.79 *Crescimento!#REF!) - (3.13 * Crescimento!#REF!*Crescimento!#REF!)</f>
        <v>#REF!</v>
      </c>
      <c r="CQ72" s="6" t="e">
        <f>(CR71+(Crescimento!#REF!-(CR71*0.64))/0.8)/1000</f>
        <v>#REF!</v>
      </c>
      <c r="CR72" s="7" t="e">
        <f>-53.07 + (304.89 * (CQ72)) + (90.79 *Crescimento!#REF!) - (3.13 * Crescimento!#REF!*Crescimento!#REF!)</f>
        <v>#REF!</v>
      </c>
    </row>
    <row r="73" spans="2:96" x14ac:dyDescent="0.25">
      <c r="B73" s="6">
        <f>(C72+(Crescimento!$Q$27-(C72*0.64))/0.8)/1000</f>
        <v>1.1187993738011861</v>
      </c>
      <c r="C73" s="8">
        <f>-53.07 + (304.89 * (B73)) + (90.79 *Crescimento!$Q$20) - (3.13 * Crescimento!$Q$20*Crescimento!$Q$20)</f>
        <v>757.4287040082213</v>
      </c>
      <c r="D73" s="1"/>
      <c r="E73" s="6" t="e">
        <f>(F72+(Crescimento!#REF!-(F72*0.64))/0.8)/1000</f>
        <v>#REF!</v>
      </c>
      <c r="F73" s="7" t="e">
        <f>-53.07 + (304.89 * (E73)) + (90.79 *Crescimento!#REF!) - (3.13 * Crescimento!#REF!*Crescimento!#REF!)</f>
        <v>#REF!</v>
      </c>
      <c r="H73" s="6" t="e">
        <f>(I72+(Crescimento!#REF!-(I72*0.64))/0.8)/1000</f>
        <v>#REF!</v>
      </c>
      <c r="I73" s="7" t="e">
        <f>-53.07 + (304.89 * (H73)) + (90.79 *Crescimento!#REF!) - (3.13 * Crescimento!#REF!*Crescimento!#REF!)</f>
        <v>#REF!</v>
      </c>
      <c r="K73" s="6" t="e">
        <f>(L72+(Crescimento!#REF!-(L72*0.64))/0.8)/1000</f>
        <v>#REF!</v>
      </c>
      <c r="L73" s="7" t="e">
        <f>-53.07 + (304.89 * (K73)) + (90.79 *Crescimento!#REF!) - (3.13 * Crescimento!#REF!*Crescimento!#REF!)</f>
        <v>#REF!</v>
      </c>
      <c r="N73" s="6" t="e">
        <f>(O72+(Crescimento!#REF!-(O72*0.64))/0.8)/1000</f>
        <v>#REF!</v>
      </c>
      <c r="O73" s="7" t="e">
        <f>-53.07 + (304.89 * (N73)) + (90.79 *Crescimento!#REF!) - (3.13 * Crescimento!#REF!*Crescimento!#REF!)</f>
        <v>#REF!</v>
      </c>
      <c r="P73" s="1"/>
      <c r="Q73" s="6" t="e">
        <f>(R72+(Crescimento!#REF!-(R72*0.64))/0.8)/1000</f>
        <v>#REF!</v>
      </c>
      <c r="R73" s="7" t="e">
        <f>-53.07 + (304.89 * (Q73)) + (90.79 *Crescimento!#REF!) - (3.13 * Crescimento!#REF!*Crescimento!#REF!)</f>
        <v>#REF!</v>
      </c>
      <c r="T73" s="6" t="e">
        <f>(U72+(Crescimento!#REF!-(U72*0.64))/0.8)/1000</f>
        <v>#REF!</v>
      </c>
      <c r="U73" s="7" t="e">
        <f>-53.07 + (304.89 * (T73)) + (90.79 *Crescimento!#REF!) - (3.13 * Crescimento!#REF!*Crescimento!#REF!)</f>
        <v>#REF!</v>
      </c>
      <c r="W73" s="6" t="e">
        <f>(X72+(Crescimento!#REF!-(X72*0.64))/0.8)/1000</f>
        <v>#REF!</v>
      </c>
      <c r="X73" s="7" t="e">
        <f>-53.07 + (304.89 * (W73)) + (90.79 *Crescimento!#REF!) - (3.13 * Crescimento!#REF!*Crescimento!#REF!)</f>
        <v>#REF!</v>
      </c>
      <c r="Z73" s="6" t="e">
        <f>(AA72+(Crescimento!#REF!-(AA72*0.64))/0.8)/1000</f>
        <v>#REF!</v>
      </c>
      <c r="AA73" s="7" t="e">
        <f>-53.07 + (304.89 * (Z73)) + (90.79 *Crescimento!#REF!) - (3.13 * Crescimento!#REF!*Crescimento!#REF!)</f>
        <v>#REF!</v>
      </c>
      <c r="AB73" s="1"/>
      <c r="AC73" s="6" t="e">
        <f>(AD72+(Crescimento!#REF!-(AD72*0.64))/0.8)/1000</f>
        <v>#REF!</v>
      </c>
      <c r="AD73" s="7" t="e">
        <f>-53.07 + (304.89 * (AC73)) + (90.79 *Crescimento!#REF!) - (3.13 * Crescimento!#REF!*Crescimento!#REF!)</f>
        <v>#REF!</v>
      </c>
      <c r="AF73" s="6" t="e">
        <f>(AG72+(Crescimento!#REF!-(AG72*0.64))/0.8)/1000</f>
        <v>#REF!</v>
      </c>
      <c r="AG73" s="7" t="e">
        <f>-53.07 + (304.89 * (AF73)) + (90.79 *Crescimento!#REF!) - (3.13 * Crescimento!#REF!*Crescimento!#REF!)</f>
        <v>#REF!</v>
      </c>
      <c r="AI73" s="6" t="e">
        <f>(AJ72+(Crescimento!#REF!-(AJ72*0.64))/0.8)/1000</f>
        <v>#REF!</v>
      </c>
      <c r="AJ73" s="7" t="e">
        <f>-53.07 + (304.89 * (AI73)) + (90.79 *Crescimento!#REF!) - (3.13 * Crescimento!#REF!*Crescimento!#REF!)</f>
        <v>#REF!</v>
      </c>
      <c r="AL73" s="6" t="e">
        <f>(AM72+(Crescimento!#REF!-(AM72*0.64))/0.8)/1000</f>
        <v>#REF!</v>
      </c>
      <c r="AM73" s="7" t="e">
        <f>-53.07 + (304.89 * (AL73)) + (90.79 *Crescimento!#REF!) - (3.13 * Crescimento!#REF!*Crescimento!#REF!)</f>
        <v>#REF!</v>
      </c>
      <c r="AN73" s="1"/>
      <c r="AO73" s="6" t="e">
        <f>(AP72+(Crescimento!#REF!-(AP72*0.64))/0.8)/1000</f>
        <v>#REF!</v>
      </c>
      <c r="AP73" s="7" t="e">
        <f>-53.07 + (304.89 * (AO73)) + (90.79 *Crescimento!#REF!) - (3.13 * Crescimento!#REF!*Crescimento!#REF!)</f>
        <v>#REF!</v>
      </c>
      <c r="AR73" s="6" t="e">
        <f>(AS72+(Crescimento!#REF!-(AS72*0.64))/0.8)/1000</f>
        <v>#REF!</v>
      </c>
      <c r="AS73" s="7" t="e">
        <f>-53.07 + (304.89 * (AR73)) + (90.79 *Crescimento!#REF!) - (3.13 * Crescimento!#REF!*Crescimento!#REF!)</f>
        <v>#REF!</v>
      </c>
      <c r="AU73" s="6" t="e">
        <f>(AV72+(Crescimento!#REF!-(AV72*0.64))/0.8)/1000</f>
        <v>#REF!</v>
      </c>
      <c r="AV73" s="7" t="e">
        <f>-53.07 + (304.89 * (AU73)) + (90.79 *Crescimento!#REF!) - (3.13 * Crescimento!#REF!*Crescimento!#REF!)</f>
        <v>#REF!</v>
      </c>
      <c r="AX73" s="6" t="e">
        <f>(AY72+(Crescimento!#REF!-(AY72*0.64))/0.8)/1000</f>
        <v>#REF!</v>
      </c>
      <c r="AY73" s="7" t="e">
        <f>-53.07 + (304.89 * (AX73)) + (90.79 *Crescimento!#REF!) - (3.13 * Crescimento!#REF!*Crescimento!#REF!)</f>
        <v>#REF!</v>
      </c>
      <c r="AZ73" s="1"/>
      <c r="BA73" s="6" t="e">
        <f>(BB72+(Crescimento!#REF!-(BB72*0.64))/0.8)/1000</f>
        <v>#REF!</v>
      </c>
      <c r="BB73" s="7" t="e">
        <f>-53.07 + (304.89 * (BA73)) + (90.79 *Crescimento!#REF!) - (3.13 * Crescimento!#REF!*Crescimento!#REF!)</f>
        <v>#REF!</v>
      </c>
      <c r="BD73" s="6" t="e">
        <f>(BE72+(Crescimento!#REF!-(BE72*0.64))/0.8)/1000</f>
        <v>#REF!</v>
      </c>
      <c r="BE73" s="7" t="e">
        <f>-53.07 + (304.89 * (BD73)) + (90.79 *Crescimento!#REF!) - (3.13 * Crescimento!#REF!*Crescimento!#REF!)</f>
        <v>#REF!</v>
      </c>
      <c r="BG73" s="6" t="e">
        <f>(BH72+(Crescimento!#REF!-(BH72*0.64))/0.8)/1000</f>
        <v>#REF!</v>
      </c>
      <c r="BH73" s="7" t="e">
        <f>-53.07 + (304.89 * (BG73)) + (90.79 *Crescimento!#REF!) - (3.13 * Crescimento!#REF!*Crescimento!#REF!)</f>
        <v>#REF!</v>
      </c>
      <c r="BJ73" s="6" t="e">
        <f>(BK72+(Crescimento!#REF!-(BK72*0.64))/0.8)/1000</f>
        <v>#REF!</v>
      </c>
      <c r="BK73" s="7" t="e">
        <f>-53.07 + (304.89 * (BJ73)) + (90.79 *Crescimento!#REF!) - (3.13 * Crescimento!#REF!*Crescimento!#REF!)</f>
        <v>#REF!</v>
      </c>
      <c r="BL73" s="1"/>
      <c r="BM73" s="6" t="e">
        <f>(BN72+(Crescimento!#REF!-(BN72*0.64))/0.8)/1000</f>
        <v>#REF!</v>
      </c>
      <c r="BN73" s="7" t="e">
        <f>-53.07 + (304.89 * (BM73)) + (90.79 *Crescimento!#REF!) - (3.13 * Crescimento!#REF!*Crescimento!#REF!)</f>
        <v>#REF!</v>
      </c>
      <c r="BP73" s="6" t="e">
        <f>(BQ72+(Crescimento!#REF!-(BQ72*0.64))/0.8)/1000</f>
        <v>#REF!</v>
      </c>
      <c r="BQ73" s="7" t="e">
        <f>-53.07 + (304.89 * (BP73)) + (90.79 *Crescimento!#REF!) - (3.13 * Crescimento!#REF!*Crescimento!#REF!)</f>
        <v>#REF!</v>
      </c>
      <c r="BS73" s="6" t="e">
        <f>(BT72+(Crescimento!#REF!-(BT72*0.64))/0.8)/1000</f>
        <v>#REF!</v>
      </c>
      <c r="BT73" s="7" t="e">
        <f>-53.07 + (304.89 * (BS73)) + (90.79 *Crescimento!#REF!) - (3.13 * Crescimento!#REF!*Crescimento!#REF!)</f>
        <v>#REF!</v>
      </c>
      <c r="BV73" s="6" t="e">
        <f>(BW72+(Crescimento!#REF!-(BW72*0.64))/0.8)/1000</f>
        <v>#REF!</v>
      </c>
      <c r="BW73" s="7" t="e">
        <f>-53.07 + (304.89 * (BV73)) + (90.79 *Crescimento!#REF!) - (3.13 * Crescimento!#REF!*Crescimento!#REF!)</f>
        <v>#REF!</v>
      </c>
      <c r="BX73" s="1"/>
      <c r="BY73" s="6" t="e">
        <f>(BZ72+(Crescimento!#REF!-(BZ72*0.64))/0.8)/1000</f>
        <v>#REF!</v>
      </c>
      <c r="BZ73" s="7" t="e">
        <f>-53.07 + (304.89 * (BY73)) + (90.79 *Crescimento!#REF!) - (3.13 * Crescimento!#REF!*Crescimento!#REF!)</f>
        <v>#REF!</v>
      </c>
      <c r="CB73" s="6" t="e">
        <f>(CC72+(Crescimento!#REF!-(CC72*0.64))/0.8)/1000</f>
        <v>#REF!</v>
      </c>
      <c r="CC73" s="7" t="e">
        <f>-53.07 + (304.89 * (CB73)) + (90.79 *Crescimento!#REF!) - (3.13 * Crescimento!#REF!*Crescimento!#REF!)</f>
        <v>#REF!</v>
      </c>
      <c r="CE73" s="6" t="e">
        <f>(CF72+(Crescimento!#REF!-(CF72*0.64))/0.8)/1000</f>
        <v>#REF!</v>
      </c>
      <c r="CF73" s="7" t="e">
        <f>-53.07 + (304.89 * (CE73)) + (90.79 *Crescimento!#REF!) - (3.13 * Crescimento!#REF!*Crescimento!#REF!)</f>
        <v>#REF!</v>
      </c>
      <c r="CH73" s="6" t="e">
        <f>(CI72+(Crescimento!#REF!-(CI72*0.64))/0.8)/1000</f>
        <v>#REF!</v>
      </c>
      <c r="CI73" s="7" t="e">
        <f>-53.07 + (304.89 * (CH73)) + (90.79 *Crescimento!#REF!) - (3.13 * Crescimento!#REF!*Crescimento!#REF!)</f>
        <v>#REF!</v>
      </c>
      <c r="CJ73" s="1"/>
      <c r="CK73" s="6" t="e">
        <f>(CL72+(Crescimento!#REF!-(CL72*0.64))/0.8)/1000</f>
        <v>#REF!</v>
      </c>
      <c r="CL73" s="7" t="e">
        <f>-53.07 + (304.89 * (CK73)) + (90.79 *Crescimento!#REF!) - (3.13 * Crescimento!#REF!*Crescimento!#REF!)</f>
        <v>#REF!</v>
      </c>
      <c r="CN73" s="6" t="e">
        <f>(CO72+(Crescimento!#REF!-(CO72*0.64))/0.8)/1000</f>
        <v>#REF!</v>
      </c>
      <c r="CO73" s="7" t="e">
        <f>-53.07 + (304.89 * (CN73)) + (90.79 *Crescimento!#REF!) - (3.13 * Crescimento!#REF!*Crescimento!#REF!)</f>
        <v>#REF!</v>
      </c>
      <c r="CQ73" s="6" t="e">
        <f>(CR72+(Crescimento!#REF!-(CR72*0.64))/0.8)/1000</f>
        <v>#REF!</v>
      </c>
      <c r="CR73" s="7" t="e">
        <f>-53.07 + (304.89 * (CQ73)) + (90.79 *Crescimento!#REF!) - (3.13 * Crescimento!#REF!*Crescimento!#REF!)</f>
        <v>#REF!</v>
      </c>
    </row>
    <row r="74" spans="2:96" x14ac:dyDescent="0.25">
      <c r="B74" s="6">
        <f>(C73+(Crescimento!$Q$27-(C73*0.64))/0.8)/1000</f>
        <v>1.1187993738011861</v>
      </c>
      <c r="C74" s="8">
        <f>-53.07 + (304.89 * (B74)) + (90.79 *Crescimento!$Q$20) - (3.13 * Crescimento!$Q$20*Crescimento!$Q$20)</f>
        <v>757.4287040082213</v>
      </c>
      <c r="D74" s="1"/>
      <c r="E74" s="6" t="e">
        <f>(F73+(Crescimento!#REF!-(F73*0.64))/0.8)/1000</f>
        <v>#REF!</v>
      </c>
      <c r="F74" s="7" t="e">
        <f>-53.07 + (304.89 * (E74)) + (90.79 *Crescimento!#REF!) - (3.13 * Crescimento!#REF!*Crescimento!#REF!)</f>
        <v>#REF!</v>
      </c>
      <c r="H74" s="6" t="e">
        <f>(I73+(Crescimento!#REF!-(I73*0.64))/0.8)/1000</f>
        <v>#REF!</v>
      </c>
      <c r="I74" s="7" t="e">
        <f>-53.07 + (304.89 * (H74)) + (90.79 *Crescimento!#REF!) - (3.13 * Crescimento!#REF!*Crescimento!#REF!)</f>
        <v>#REF!</v>
      </c>
      <c r="K74" s="6" t="e">
        <f>(L73+(Crescimento!#REF!-(L73*0.64))/0.8)/1000</f>
        <v>#REF!</v>
      </c>
      <c r="L74" s="7" t="e">
        <f>-53.07 + (304.89 * (K74)) + (90.79 *Crescimento!#REF!) - (3.13 * Crescimento!#REF!*Crescimento!#REF!)</f>
        <v>#REF!</v>
      </c>
      <c r="N74" s="6" t="e">
        <f>(O73+(Crescimento!#REF!-(O73*0.64))/0.8)/1000</f>
        <v>#REF!</v>
      </c>
      <c r="O74" s="7" t="e">
        <f>-53.07 + (304.89 * (N74)) + (90.79 *Crescimento!#REF!) - (3.13 * Crescimento!#REF!*Crescimento!#REF!)</f>
        <v>#REF!</v>
      </c>
      <c r="P74" s="1"/>
      <c r="Q74" s="6" t="e">
        <f>(R73+(Crescimento!#REF!-(R73*0.64))/0.8)/1000</f>
        <v>#REF!</v>
      </c>
      <c r="R74" s="7" t="e">
        <f>-53.07 + (304.89 * (Q74)) + (90.79 *Crescimento!#REF!) - (3.13 * Crescimento!#REF!*Crescimento!#REF!)</f>
        <v>#REF!</v>
      </c>
      <c r="T74" s="6" t="e">
        <f>(U73+(Crescimento!#REF!-(U73*0.64))/0.8)/1000</f>
        <v>#REF!</v>
      </c>
      <c r="U74" s="7" t="e">
        <f>-53.07 + (304.89 * (T74)) + (90.79 *Crescimento!#REF!) - (3.13 * Crescimento!#REF!*Crescimento!#REF!)</f>
        <v>#REF!</v>
      </c>
      <c r="W74" s="6" t="e">
        <f>(X73+(Crescimento!#REF!-(X73*0.64))/0.8)/1000</f>
        <v>#REF!</v>
      </c>
      <c r="X74" s="7" t="e">
        <f>-53.07 + (304.89 * (W74)) + (90.79 *Crescimento!#REF!) - (3.13 * Crescimento!#REF!*Crescimento!#REF!)</f>
        <v>#REF!</v>
      </c>
      <c r="Z74" s="6" t="e">
        <f>(AA73+(Crescimento!#REF!-(AA73*0.64))/0.8)/1000</f>
        <v>#REF!</v>
      </c>
      <c r="AA74" s="7" t="e">
        <f>-53.07 + (304.89 * (Z74)) + (90.79 *Crescimento!#REF!) - (3.13 * Crescimento!#REF!*Crescimento!#REF!)</f>
        <v>#REF!</v>
      </c>
      <c r="AB74" s="1"/>
      <c r="AC74" s="6" t="e">
        <f>(AD73+(Crescimento!#REF!-(AD73*0.64))/0.8)/1000</f>
        <v>#REF!</v>
      </c>
      <c r="AD74" s="7" t="e">
        <f>-53.07 + (304.89 * (AC74)) + (90.79 *Crescimento!#REF!) - (3.13 * Crescimento!#REF!*Crescimento!#REF!)</f>
        <v>#REF!</v>
      </c>
      <c r="AF74" s="6" t="e">
        <f>(AG73+(Crescimento!#REF!-(AG73*0.64))/0.8)/1000</f>
        <v>#REF!</v>
      </c>
      <c r="AG74" s="7" t="e">
        <f>-53.07 + (304.89 * (AF74)) + (90.79 *Crescimento!#REF!) - (3.13 * Crescimento!#REF!*Crescimento!#REF!)</f>
        <v>#REF!</v>
      </c>
      <c r="AI74" s="6" t="e">
        <f>(AJ73+(Crescimento!#REF!-(AJ73*0.64))/0.8)/1000</f>
        <v>#REF!</v>
      </c>
      <c r="AJ74" s="7" t="e">
        <f>-53.07 + (304.89 * (AI74)) + (90.79 *Crescimento!#REF!) - (3.13 * Crescimento!#REF!*Crescimento!#REF!)</f>
        <v>#REF!</v>
      </c>
      <c r="AL74" s="6" t="e">
        <f>(AM73+(Crescimento!#REF!-(AM73*0.64))/0.8)/1000</f>
        <v>#REF!</v>
      </c>
      <c r="AM74" s="7" t="e">
        <f>-53.07 + (304.89 * (AL74)) + (90.79 *Crescimento!#REF!) - (3.13 * Crescimento!#REF!*Crescimento!#REF!)</f>
        <v>#REF!</v>
      </c>
      <c r="AN74" s="1"/>
      <c r="AO74" s="6" t="e">
        <f>(AP73+(Crescimento!#REF!-(AP73*0.64))/0.8)/1000</f>
        <v>#REF!</v>
      </c>
      <c r="AP74" s="7" t="e">
        <f>-53.07 + (304.89 * (AO74)) + (90.79 *Crescimento!#REF!) - (3.13 * Crescimento!#REF!*Crescimento!#REF!)</f>
        <v>#REF!</v>
      </c>
      <c r="AR74" s="6" t="e">
        <f>(AS73+(Crescimento!#REF!-(AS73*0.64))/0.8)/1000</f>
        <v>#REF!</v>
      </c>
      <c r="AS74" s="7" t="e">
        <f>-53.07 + (304.89 * (AR74)) + (90.79 *Crescimento!#REF!) - (3.13 * Crescimento!#REF!*Crescimento!#REF!)</f>
        <v>#REF!</v>
      </c>
      <c r="AU74" s="6" t="e">
        <f>(AV73+(Crescimento!#REF!-(AV73*0.64))/0.8)/1000</f>
        <v>#REF!</v>
      </c>
      <c r="AV74" s="7" t="e">
        <f>-53.07 + (304.89 * (AU74)) + (90.79 *Crescimento!#REF!) - (3.13 * Crescimento!#REF!*Crescimento!#REF!)</f>
        <v>#REF!</v>
      </c>
      <c r="AX74" s="6" t="e">
        <f>(AY73+(Crescimento!#REF!-(AY73*0.64))/0.8)/1000</f>
        <v>#REF!</v>
      </c>
      <c r="AY74" s="7" t="e">
        <f>-53.07 + (304.89 * (AX74)) + (90.79 *Crescimento!#REF!) - (3.13 * Crescimento!#REF!*Crescimento!#REF!)</f>
        <v>#REF!</v>
      </c>
      <c r="AZ74" s="1"/>
      <c r="BA74" s="6" t="e">
        <f>(BB73+(Crescimento!#REF!-(BB73*0.64))/0.8)/1000</f>
        <v>#REF!</v>
      </c>
      <c r="BB74" s="7" t="e">
        <f>-53.07 + (304.89 * (BA74)) + (90.79 *Crescimento!#REF!) - (3.13 * Crescimento!#REF!*Crescimento!#REF!)</f>
        <v>#REF!</v>
      </c>
      <c r="BD74" s="6" t="e">
        <f>(BE73+(Crescimento!#REF!-(BE73*0.64))/0.8)/1000</f>
        <v>#REF!</v>
      </c>
      <c r="BE74" s="7" t="e">
        <f>-53.07 + (304.89 * (BD74)) + (90.79 *Crescimento!#REF!) - (3.13 * Crescimento!#REF!*Crescimento!#REF!)</f>
        <v>#REF!</v>
      </c>
      <c r="BG74" s="6" t="e">
        <f>(BH73+(Crescimento!#REF!-(BH73*0.64))/0.8)/1000</f>
        <v>#REF!</v>
      </c>
      <c r="BH74" s="7" t="e">
        <f>-53.07 + (304.89 * (BG74)) + (90.79 *Crescimento!#REF!) - (3.13 * Crescimento!#REF!*Crescimento!#REF!)</f>
        <v>#REF!</v>
      </c>
      <c r="BJ74" s="6" t="e">
        <f>(BK73+(Crescimento!#REF!-(BK73*0.64))/0.8)/1000</f>
        <v>#REF!</v>
      </c>
      <c r="BK74" s="7" t="e">
        <f>-53.07 + (304.89 * (BJ74)) + (90.79 *Crescimento!#REF!) - (3.13 * Crescimento!#REF!*Crescimento!#REF!)</f>
        <v>#REF!</v>
      </c>
      <c r="BL74" s="1"/>
      <c r="BM74" s="6" t="e">
        <f>(BN73+(Crescimento!#REF!-(BN73*0.64))/0.8)/1000</f>
        <v>#REF!</v>
      </c>
      <c r="BN74" s="7" t="e">
        <f>-53.07 + (304.89 * (BM74)) + (90.79 *Crescimento!#REF!) - (3.13 * Crescimento!#REF!*Crescimento!#REF!)</f>
        <v>#REF!</v>
      </c>
      <c r="BP74" s="6" t="e">
        <f>(BQ73+(Crescimento!#REF!-(BQ73*0.64))/0.8)/1000</f>
        <v>#REF!</v>
      </c>
      <c r="BQ74" s="7" t="e">
        <f>-53.07 + (304.89 * (BP74)) + (90.79 *Crescimento!#REF!) - (3.13 * Crescimento!#REF!*Crescimento!#REF!)</f>
        <v>#REF!</v>
      </c>
      <c r="BS74" s="6" t="e">
        <f>(BT73+(Crescimento!#REF!-(BT73*0.64))/0.8)/1000</f>
        <v>#REF!</v>
      </c>
      <c r="BT74" s="7" t="e">
        <f>-53.07 + (304.89 * (BS74)) + (90.79 *Crescimento!#REF!) - (3.13 * Crescimento!#REF!*Crescimento!#REF!)</f>
        <v>#REF!</v>
      </c>
      <c r="BV74" s="6" t="e">
        <f>(BW73+(Crescimento!#REF!-(BW73*0.64))/0.8)/1000</f>
        <v>#REF!</v>
      </c>
      <c r="BW74" s="7" t="e">
        <f>-53.07 + (304.89 * (BV74)) + (90.79 *Crescimento!#REF!) - (3.13 * Crescimento!#REF!*Crescimento!#REF!)</f>
        <v>#REF!</v>
      </c>
      <c r="BX74" s="1"/>
      <c r="BY74" s="6" t="e">
        <f>(BZ73+(Crescimento!#REF!-(BZ73*0.64))/0.8)/1000</f>
        <v>#REF!</v>
      </c>
      <c r="BZ74" s="7" t="e">
        <f>-53.07 + (304.89 * (BY74)) + (90.79 *Crescimento!#REF!) - (3.13 * Crescimento!#REF!*Crescimento!#REF!)</f>
        <v>#REF!</v>
      </c>
      <c r="CB74" s="6" t="e">
        <f>(CC73+(Crescimento!#REF!-(CC73*0.64))/0.8)/1000</f>
        <v>#REF!</v>
      </c>
      <c r="CC74" s="7" t="e">
        <f>-53.07 + (304.89 * (CB74)) + (90.79 *Crescimento!#REF!) - (3.13 * Crescimento!#REF!*Crescimento!#REF!)</f>
        <v>#REF!</v>
      </c>
      <c r="CE74" s="6" t="e">
        <f>(CF73+(Crescimento!#REF!-(CF73*0.64))/0.8)/1000</f>
        <v>#REF!</v>
      </c>
      <c r="CF74" s="7" t="e">
        <f>-53.07 + (304.89 * (CE74)) + (90.79 *Crescimento!#REF!) - (3.13 * Crescimento!#REF!*Crescimento!#REF!)</f>
        <v>#REF!</v>
      </c>
      <c r="CH74" s="6" t="e">
        <f>(CI73+(Crescimento!#REF!-(CI73*0.64))/0.8)/1000</f>
        <v>#REF!</v>
      </c>
      <c r="CI74" s="7" t="e">
        <f>-53.07 + (304.89 * (CH74)) + (90.79 *Crescimento!#REF!) - (3.13 * Crescimento!#REF!*Crescimento!#REF!)</f>
        <v>#REF!</v>
      </c>
      <c r="CJ74" s="1"/>
      <c r="CK74" s="6" t="e">
        <f>(CL73+(Crescimento!#REF!-(CL73*0.64))/0.8)/1000</f>
        <v>#REF!</v>
      </c>
      <c r="CL74" s="7" t="e">
        <f>-53.07 + (304.89 * (CK74)) + (90.79 *Crescimento!#REF!) - (3.13 * Crescimento!#REF!*Crescimento!#REF!)</f>
        <v>#REF!</v>
      </c>
      <c r="CN74" s="6" t="e">
        <f>(CO73+(Crescimento!#REF!-(CO73*0.64))/0.8)/1000</f>
        <v>#REF!</v>
      </c>
      <c r="CO74" s="7" t="e">
        <f>-53.07 + (304.89 * (CN74)) + (90.79 *Crescimento!#REF!) - (3.13 * Crescimento!#REF!*Crescimento!#REF!)</f>
        <v>#REF!</v>
      </c>
      <c r="CQ74" s="6" t="e">
        <f>(CR73+(Crescimento!#REF!-(CR73*0.64))/0.8)/1000</f>
        <v>#REF!</v>
      </c>
      <c r="CR74" s="7" t="e">
        <f>-53.07 + (304.89 * (CQ74)) + (90.79 *Crescimento!#REF!) - (3.13 * Crescimento!#REF!*Crescimento!#REF!)</f>
        <v>#REF!</v>
      </c>
    </row>
    <row r="75" spans="2:96" x14ac:dyDescent="0.25">
      <c r="B75" s="6">
        <f>(C74+(Crescimento!$Q$27-(C74*0.64))/0.8)/1000</f>
        <v>1.1187993738011861</v>
      </c>
      <c r="C75" s="8">
        <f>-53.07 + (304.89 * (B75)) + (90.79 *Crescimento!$Q$20) - (3.13 * Crescimento!$Q$20*Crescimento!$Q$20)</f>
        <v>757.4287040082213</v>
      </c>
      <c r="D75" s="1"/>
      <c r="E75" s="6" t="e">
        <f>(F74+(Crescimento!#REF!-(F74*0.64))/0.8)/1000</f>
        <v>#REF!</v>
      </c>
      <c r="F75" s="7" t="e">
        <f>-53.07 + (304.89 * (E75)) + (90.79 *Crescimento!#REF!) - (3.13 * Crescimento!#REF!*Crescimento!#REF!)</f>
        <v>#REF!</v>
      </c>
      <c r="H75" s="6" t="e">
        <f>(I74+(Crescimento!#REF!-(I74*0.64))/0.8)/1000</f>
        <v>#REF!</v>
      </c>
      <c r="I75" s="7" t="e">
        <f>-53.07 + (304.89 * (H75)) + (90.79 *Crescimento!#REF!) - (3.13 * Crescimento!#REF!*Crescimento!#REF!)</f>
        <v>#REF!</v>
      </c>
      <c r="K75" s="6" t="e">
        <f>(L74+(Crescimento!#REF!-(L74*0.64))/0.8)/1000</f>
        <v>#REF!</v>
      </c>
      <c r="L75" s="7" t="e">
        <f>-53.07 + (304.89 * (K75)) + (90.79 *Crescimento!#REF!) - (3.13 * Crescimento!#REF!*Crescimento!#REF!)</f>
        <v>#REF!</v>
      </c>
      <c r="N75" s="6" t="e">
        <f>(O74+(Crescimento!#REF!-(O74*0.64))/0.8)/1000</f>
        <v>#REF!</v>
      </c>
      <c r="O75" s="7" t="e">
        <f>-53.07 + (304.89 * (N75)) + (90.79 *Crescimento!#REF!) - (3.13 * Crescimento!#REF!*Crescimento!#REF!)</f>
        <v>#REF!</v>
      </c>
      <c r="P75" s="1"/>
      <c r="Q75" s="6" t="e">
        <f>(R74+(Crescimento!#REF!-(R74*0.64))/0.8)/1000</f>
        <v>#REF!</v>
      </c>
      <c r="R75" s="7" t="e">
        <f>-53.07 + (304.89 * (Q75)) + (90.79 *Crescimento!#REF!) - (3.13 * Crescimento!#REF!*Crescimento!#REF!)</f>
        <v>#REF!</v>
      </c>
      <c r="T75" s="6" t="e">
        <f>(U74+(Crescimento!#REF!-(U74*0.64))/0.8)/1000</f>
        <v>#REF!</v>
      </c>
      <c r="U75" s="7" t="e">
        <f>-53.07 + (304.89 * (T75)) + (90.79 *Crescimento!#REF!) - (3.13 * Crescimento!#REF!*Crescimento!#REF!)</f>
        <v>#REF!</v>
      </c>
      <c r="W75" s="6" t="e">
        <f>(X74+(Crescimento!#REF!-(X74*0.64))/0.8)/1000</f>
        <v>#REF!</v>
      </c>
      <c r="X75" s="7" t="e">
        <f>-53.07 + (304.89 * (W75)) + (90.79 *Crescimento!#REF!) - (3.13 * Crescimento!#REF!*Crescimento!#REF!)</f>
        <v>#REF!</v>
      </c>
      <c r="Z75" s="6" t="e">
        <f>(AA74+(Crescimento!#REF!-(AA74*0.64))/0.8)/1000</f>
        <v>#REF!</v>
      </c>
      <c r="AA75" s="7" t="e">
        <f>-53.07 + (304.89 * (Z75)) + (90.79 *Crescimento!#REF!) - (3.13 * Crescimento!#REF!*Crescimento!#REF!)</f>
        <v>#REF!</v>
      </c>
      <c r="AB75" s="1"/>
      <c r="AC75" s="6" t="e">
        <f>(AD74+(Crescimento!#REF!-(AD74*0.64))/0.8)/1000</f>
        <v>#REF!</v>
      </c>
      <c r="AD75" s="7" t="e">
        <f>-53.07 + (304.89 * (AC75)) + (90.79 *Crescimento!#REF!) - (3.13 * Crescimento!#REF!*Crescimento!#REF!)</f>
        <v>#REF!</v>
      </c>
      <c r="AF75" s="6" t="e">
        <f>(AG74+(Crescimento!#REF!-(AG74*0.64))/0.8)/1000</f>
        <v>#REF!</v>
      </c>
      <c r="AG75" s="7" t="e">
        <f>-53.07 + (304.89 * (AF75)) + (90.79 *Crescimento!#REF!) - (3.13 * Crescimento!#REF!*Crescimento!#REF!)</f>
        <v>#REF!</v>
      </c>
      <c r="AI75" s="6" t="e">
        <f>(AJ74+(Crescimento!#REF!-(AJ74*0.64))/0.8)/1000</f>
        <v>#REF!</v>
      </c>
      <c r="AJ75" s="7" t="e">
        <f>-53.07 + (304.89 * (AI75)) + (90.79 *Crescimento!#REF!) - (3.13 * Crescimento!#REF!*Crescimento!#REF!)</f>
        <v>#REF!</v>
      </c>
      <c r="AL75" s="6" t="e">
        <f>(AM74+(Crescimento!#REF!-(AM74*0.64))/0.8)/1000</f>
        <v>#REF!</v>
      </c>
      <c r="AM75" s="7" t="e">
        <f>-53.07 + (304.89 * (AL75)) + (90.79 *Crescimento!#REF!) - (3.13 * Crescimento!#REF!*Crescimento!#REF!)</f>
        <v>#REF!</v>
      </c>
      <c r="AN75" s="1"/>
      <c r="AO75" s="6" t="e">
        <f>(AP74+(Crescimento!#REF!-(AP74*0.64))/0.8)/1000</f>
        <v>#REF!</v>
      </c>
      <c r="AP75" s="7" t="e">
        <f>-53.07 + (304.89 * (AO75)) + (90.79 *Crescimento!#REF!) - (3.13 * Crescimento!#REF!*Crescimento!#REF!)</f>
        <v>#REF!</v>
      </c>
      <c r="AR75" s="6" t="e">
        <f>(AS74+(Crescimento!#REF!-(AS74*0.64))/0.8)/1000</f>
        <v>#REF!</v>
      </c>
      <c r="AS75" s="7" t="e">
        <f>-53.07 + (304.89 * (AR75)) + (90.79 *Crescimento!#REF!) - (3.13 * Crescimento!#REF!*Crescimento!#REF!)</f>
        <v>#REF!</v>
      </c>
      <c r="AU75" s="6" t="e">
        <f>(AV74+(Crescimento!#REF!-(AV74*0.64))/0.8)/1000</f>
        <v>#REF!</v>
      </c>
      <c r="AV75" s="7" t="e">
        <f>-53.07 + (304.89 * (AU75)) + (90.79 *Crescimento!#REF!) - (3.13 * Crescimento!#REF!*Crescimento!#REF!)</f>
        <v>#REF!</v>
      </c>
      <c r="AX75" s="6" t="e">
        <f>(AY74+(Crescimento!#REF!-(AY74*0.64))/0.8)/1000</f>
        <v>#REF!</v>
      </c>
      <c r="AY75" s="7" t="e">
        <f>-53.07 + (304.89 * (AX75)) + (90.79 *Crescimento!#REF!) - (3.13 * Crescimento!#REF!*Crescimento!#REF!)</f>
        <v>#REF!</v>
      </c>
      <c r="AZ75" s="1"/>
      <c r="BA75" s="6" t="e">
        <f>(BB74+(Crescimento!#REF!-(BB74*0.64))/0.8)/1000</f>
        <v>#REF!</v>
      </c>
      <c r="BB75" s="7" t="e">
        <f>-53.07 + (304.89 * (BA75)) + (90.79 *Crescimento!#REF!) - (3.13 * Crescimento!#REF!*Crescimento!#REF!)</f>
        <v>#REF!</v>
      </c>
      <c r="BD75" s="6" t="e">
        <f>(BE74+(Crescimento!#REF!-(BE74*0.64))/0.8)/1000</f>
        <v>#REF!</v>
      </c>
      <c r="BE75" s="7" t="e">
        <f>-53.07 + (304.89 * (BD75)) + (90.79 *Crescimento!#REF!) - (3.13 * Crescimento!#REF!*Crescimento!#REF!)</f>
        <v>#REF!</v>
      </c>
      <c r="BG75" s="6" t="e">
        <f>(BH74+(Crescimento!#REF!-(BH74*0.64))/0.8)/1000</f>
        <v>#REF!</v>
      </c>
      <c r="BH75" s="7" t="e">
        <f>-53.07 + (304.89 * (BG75)) + (90.79 *Crescimento!#REF!) - (3.13 * Crescimento!#REF!*Crescimento!#REF!)</f>
        <v>#REF!</v>
      </c>
      <c r="BJ75" s="6" t="e">
        <f>(BK74+(Crescimento!#REF!-(BK74*0.64))/0.8)/1000</f>
        <v>#REF!</v>
      </c>
      <c r="BK75" s="7" t="e">
        <f>-53.07 + (304.89 * (BJ75)) + (90.79 *Crescimento!#REF!) - (3.13 * Crescimento!#REF!*Crescimento!#REF!)</f>
        <v>#REF!</v>
      </c>
      <c r="BL75" s="1"/>
      <c r="BM75" s="6" t="e">
        <f>(BN74+(Crescimento!#REF!-(BN74*0.64))/0.8)/1000</f>
        <v>#REF!</v>
      </c>
      <c r="BN75" s="7" t="e">
        <f>-53.07 + (304.89 * (BM75)) + (90.79 *Crescimento!#REF!) - (3.13 * Crescimento!#REF!*Crescimento!#REF!)</f>
        <v>#REF!</v>
      </c>
      <c r="BP75" s="6" t="e">
        <f>(BQ74+(Crescimento!#REF!-(BQ74*0.64))/0.8)/1000</f>
        <v>#REF!</v>
      </c>
      <c r="BQ75" s="7" t="e">
        <f>-53.07 + (304.89 * (BP75)) + (90.79 *Crescimento!#REF!) - (3.13 * Crescimento!#REF!*Crescimento!#REF!)</f>
        <v>#REF!</v>
      </c>
      <c r="BS75" s="6" t="e">
        <f>(BT74+(Crescimento!#REF!-(BT74*0.64))/0.8)/1000</f>
        <v>#REF!</v>
      </c>
      <c r="BT75" s="7" t="e">
        <f>-53.07 + (304.89 * (BS75)) + (90.79 *Crescimento!#REF!) - (3.13 * Crescimento!#REF!*Crescimento!#REF!)</f>
        <v>#REF!</v>
      </c>
      <c r="BV75" s="6" t="e">
        <f>(BW74+(Crescimento!#REF!-(BW74*0.64))/0.8)/1000</f>
        <v>#REF!</v>
      </c>
      <c r="BW75" s="7" t="e">
        <f>-53.07 + (304.89 * (BV75)) + (90.79 *Crescimento!#REF!) - (3.13 * Crescimento!#REF!*Crescimento!#REF!)</f>
        <v>#REF!</v>
      </c>
      <c r="BX75" s="1"/>
      <c r="BY75" s="6" t="e">
        <f>(BZ74+(Crescimento!#REF!-(BZ74*0.64))/0.8)/1000</f>
        <v>#REF!</v>
      </c>
      <c r="BZ75" s="7" t="e">
        <f>-53.07 + (304.89 * (BY75)) + (90.79 *Crescimento!#REF!) - (3.13 * Crescimento!#REF!*Crescimento!#REF!)</f>
        <v>#REF!</v>
      </c>
      <c r="CB75" s="6" t="e">
        <f>(CC74+(Crescimento!#REF!-(CC74*0.64))/0.8)/1000</f>
        <v>#REF!</v>
      </c>
      <c r="CC75" s="7" t="e">
        <f>-53.07 + (304.89 * (CB75)) + (90.79 *Crescimento!#REF!) - (3.13 * Crescimento!#REF!*Crescimento!#REF!)</f>
        <v>#REF!</v>
      </c>
      <c r="CE75" s="6" t="e">
        <f>(CF74+(Crescimento!#REF!-(CF74*0.64))/0.8)/1000</f>
        <v>#REF!</v>
      </c>
      <c r="CF75" s="7" t="e">
        <f>-53.07 + (304.89 * (CE75)) + (90.79 *Crescimento!#REF!) - (3.13 * Crescimento!#REF!*Crescimento!#REF!)</f>
        <v>#REF!</v>
      </c>
      <c r="CH75" s="6" t="e">
        <f>(CI74+(Crescimento!#REF!-(CI74*0.64))/0.8)/1000</f>
        <v>#REF!</v>
      </c>
      <c r="CI75" s="7" t="e">
        <f>-53.07 + (304.89 * (CH75)) + (90.79 *Crescimento!#REF!) - (3.13 * Crescimento!#REF!*Crescimento!#REF!)</f>
        <v>#REF!</v>
      </c>
      <c r="CJ75" s="1"/>
      <c r="CK75" s="6" t="e">
        <f>(CL74+(Crescimento!#REF!-(CL74*0.64))/0.8)/1000</f>
        <v>#REF!</v>
      </c>
      <c r="CL75" s="7" t="e">
        <f>-53.07 + (304.89 * (CK75)) + (90.79 *Crescimento!#REF!) - (3.13 * Crescimento!#REF!*Crescimento!#REF!)</f>
        <v>#REF!</v>
      </c>
      <c r="CN75" s="6" t="e">
        <f>(CO74+(Crescimento!#REF!-(CO74*0.64))/0.8)/1000</f>
        <v>#REF!</v>
      </c>
      <c r="CO75" s="7" t="e">
        <f>-53.07 + (304.89 * (CN75)) + (90.79 *Crescimento!#REF!) - (3.13 * Crescimento!#REF!*Crescimento!#REF!)</f>
        <v>#REF!</v>
      </c>
      <c r="CQ75" s="6" t="e">
        <f>(CR74+(Crescimento!#REF!-(CR74*0.64))/0.8)/1000</f>
        <v>#REF!</v>
      </c>
      <c r="CR75" s="7" t="e">
        <f>-53.07 + (304.89 * (CQ75)) + (90.79 *Crescimento!#REF!) - (3.13 * Crescimento!#REF!*Crescimento!#REF!)</f>
        <v>#REF!</v>
      </c>
    </row>
    <row r="76" spans="2:96" x14ac:dyDescent="0.25">
      <c r="B76" s="6">
        <f>(C75+(Crescimento!$Q$27-(C75*0.64))/0.8)/1000</f>
        <v>1.1187993738011861</v>
      </c>
      <c r="C76" s="8">
        <f>-53.07 + (304.89 * (B76)) + (90.79 *Crescimento!$Q$20) - (3.13 * Crescimento!$Q$20*Crescimento!$Q$20)</f>
        <v>757.4287040082213</v>
      </c>
      <c r="D76" s="1"/>
      <c r="E76" s="6" t="e">
        <f>(F75+(Crescimento!#REF!-(F75*0.64))/0.8)/1000</f>
        <v>#REF!</v>
      </c>
      <c r="F76" s="7" t="e">
        <f>-53.07 + (304.89 * (E76)) + (90.79 *Crescimento!#REF!) - (3.13 * Crescimento!#REF!*Crescimento!#REF!)</f>
        <v>#REF!</v>
      </c>
      <c r="H76" s="6" t="e">
        <f>(I75+(Crescimento!#REF!-(I75*0.64))/0.8)/1000</f>
        <v>#REF!</v>
      </c>
      <c r="I76" s="7" t="e">
        <f>-53.07 + (304.89 * (H76)) + (90.79 *Crescimento!#REF!) - (3.13 * Crescimento!#REF!*Crescimento!#REF!)</f>
        <v>#REF!</v>
      </c>
      <c r="K76" s="6" t="e">
        <f>(L75+(Crescimento!#REF!-(L75*0.64))/0.8)/1000</f>
        <v>#REF!</v>
      </c>
      <c r="L76" s="7" t="e">
        <f>-53.07 + (304.89 * (K76)) + (90.79 *Crescimento!#REF!) - (3.13 * Crescimento!#REF!*Crescimento!#REF!)</f>
        <v>#REF!</v>
      </c>
      <c r="N76" s="6" t="e">
        <f>(O75+(Crescimento!#REF!-(O75*0.64))/0.8)/1000</f>
        <v>#REF!</v>
      </c>
      <c r="O76" s="7" t="e">
        <f>-53.07 + (304.89 * (N76)) + (90.79 *Crescimento!#REF!) - (3.13 * Crescimento!#REF!*Crescimento!#REF!)</f>
        <v>#REF!</v>
      </c>
      <c r="P76" s="1"/>
      <c r="Q76" s="6" t="e">
        <f>(R75+(Crescimento!#REF!-(R75*0.64))/0.8)/1000</f>
        <v>#REF!</v>
      </c>
      <c r="R76" s="7" t="e">
        <f>-53.07 + (304.89 * (Q76)) + (90.79 *Crescimento!#REF!) - (3.13 * Crescimento!#REF!*Crescimento!#REF!)</f>
        <v>#REF!</v>
      </c>
      <c r="T76" s="6" t="e">
        <f>(U75+(Crescimento!#REF!-(U75*0.64))/0.8)/1000</f>
        <v>#REF!</v>
      </c>
      <c r="U76" s="7" t="e">
        <f>-53.07 + (304.89 * (T76)) + (90.79 *Crescimento!#REF!) - (3.13 * Crescimento!#REF!*Crescimento!#REF!)</f>
        <v>#REF!</v>
      </c>
      <c r="W76" s="6" t="e">
        <f>(X75+(Crescimento!#REF!-(X75*0.64))/0.8)/1000</f>
        <v>#REF!</v>
      </c>
      <c r="X76" s="7" t="e">
        <f>-53.07 + (304.89 * (W76)) + (90.79 *Crescimento!#REF!) - (3.13 * Crescimento!#REF!*Crescimento!#REF!)</f>
        <v>#REF!</v>
      </c>
      <c r="Z76" s="6" t="e">
        <f>(AA75+(Crescimento!#REF!-(AA75*0.64))/0.8)/1000</f>
        <v>#REF!</v>
      </c>
      <c r="AA76" s="7" t="e">
        <f>-53.07 + (304.89 * (Z76)) + (90.79 *Crescimento!#REF!) - (3.13 * Crescimento!#REF!*Crescimento!#REF!)</f>
        <v>#REF!</v>
      </c>
      <c r="AB76" s="1"/>
      <c r="AC76" s="6" t="e">
        <f>(AD75+(Crescimento!#REF!-(AD75*0.64))/0.8)/1000</f>
        <v>#REF!</v>
      </c>
      <c r="AD76" s="7" t="e">
        <f>-53.07 + (304.89 * (AC76)) + (90.79 *Crescimento!#REF!) - (3.13 * Crescimento!#REF!*Crescimento!#REF!)</f>
        <v>#REF!</v>
      </c>
      <c r="AF76" s="6" t="e">
        <f>(AG75+(Crescimento!#REF!-(AG75*0.64))/0.8)/1000</f>
        <v>#REF!</v>
      </c>
      <c r="AG76" s="7" t="e">
        <f>-53.07 + (304.89 * (AF76)) + (90.79 *Crescimento!#REF!) - (3.13 * Crescimento!#REF!*Crescimento!#REF!)</f>
        <v>#REF!</v>
      </c>
      <c r="AI76" s="6" t="e">
        <f>(AJ75+(Crescimento!#REF!-(AJ75*0.64))/0.8)/1000</f>
        <v>#REF!</v>
      </c>
      <c r="AJ76" s="7" t="e">
        <f>-53.07 + (304.89 * (AI76)) + (90.79 *Crescimento!#REF!) - (3.13 * Crescimento!#REF!*Crescimento!#REF!)</f>
        <v>#REF!</v>
      </c>
      <c r="AL76" s="6" t="e">
        <f>(AM75+(Crescimento!#REF!-(AM75*0.64))/0.8)/1000</f>
        <v>#REF!</v>
      </c>
      <c r="AM76" s="7" t="e">
        <f>-53.07 + (304.89 * (AL76)) + (90.79 *Crescimento!#REF!) - (3.13 * Crescimento!#REF!*Crescimento!#REF!)</f>
        <v>#REF!</v>
      </c>
      <c r="AN76" s="1"/>
      <c r="AO76" s="6" t="e">
        <f>(AP75+(Crescimento!#REF!-(AP75*0.64))/0.8)/1000</f>
        <v>#REF!</v>
      </c>
      <c r="AP76" s="7" t="e">
        <f>-53.07 + (304.89 * (AO76)) + (90.79 *Crescimento!#REF!) - (3.13 * Crescimento!#REF!*Crescimento!#REF!)</f>
        <v>#REF!</v>
      </c>
      <c r="AR76" s="6" t="e">
        <f>(AS75+(Crescimento!#REF!-(AS75*0.64))/0.8)/1000</f>
        <v>#REF!</v>
      </c>
      <c r="AS76" s="7" t="e">
        <f>-53.07 + (304.89 * (AR76)) + (90.79 *Crescimento!#REF!) - (3.13 * Crescimento!#REF!*Crescimento!#REF!)</f>
        <v>#REF!</v>
      </c>
      <c r="AU76" s="6" t="e">
        <f>(AV75+(Crescimento!#REF!-(AV75*0.64))/0.8)/1000</f>
        <v>#REF!</v>
      </c>
      <c r="AV76" s="7" t="e">
        <f>-53.07 + (304.89 * (AU76)) + (90.79 *Crescimento!#REF!) - (3.13 * Crescimento!#REF!*Crescimento!#REF!)</f>
        <v>#REF!</v>
      </c>
      <c r="AX76" s="6" t="e">
        <f>(AY75+(Crescimento!#REF!-(AY75*0.64))/0.8)/1000</f>
        <v>#REF!</v>
      </c>
      <c r="AY76" s="7" t="e">
        <f>-53.07 + (304.89 * (AX76)) + (90.79 *Crescimento!#REF!) - (3.13 * Crescimento!#REF!*Crescimento!#REF!)</f>
        <v>#REF!</v>
      </c>
      <c r="AZ76" s="1"/>
      <c r="BA76" s="6" t="e">
        <f>(BB75+(Crescimento!#REF!-(BB75*0.64))/0.8)/1000</f>
        <v>#REF!</v>
      </c>
      <c r="BB76" s="7" t="e">
        <f>-53.07 + (304.89 * (BA76)) + (90.79 *Crescimento!#REF!) - (3.13 * Crescimento!#REF!*Crescimento!#REF!)</f>
        <v>#REF!</v>
      </c>
      <c r="BD76" s="6" t="e">
        <f>(BE75+(Crescimento!#REF!-(BE75*0.64))/0.8)/1000</f>
        <v>#REF!</v>
      </c>
      <c r="BE76" s="7" t="e">
        <f>-53.07 + (304.89 * (BD76)) + (90.79 *Crescimento!#REF!) - (3.13 * Crescimento!#REF!*Crescimento!#REF!)</f>
        <v>#REF!</v>
      </c>
      <c r="BG76" s="6" t="e">
        <f>(BH75+(Crescimento!#REF!-(BH75*0.64))/0.8)/1000</f>
        <v>#REF!</v>
      </c>
      <c r="BH76" s="7" t="e">
        <f>-53.07 + (304.89 * (BG76)) + (90.79 *Crescimento!#REF!) - (3.13 * Crescimento!#REF!*Crescimento!#REF!)</f>
        <v>#REF!</v>
      </c>
      <c r="BJ76" s="6" t="e">
        <f>(BK75+(Crescimento!#REF!-(BK75*0.64))/0.8)/1000</f>
        <v>#REF!</v>
      </c>
      <c r="BK76" s="7" t="e">
        <f>-53.07 + (304.89 * (BJ76)) + (90.79 *Crescimento!#REF!) - (3.13 * Crescimento!#REF!*Crescimento!#REF!)</f>
        <v>#REF!</v>
      </c>
      <c r="BL76" s="1"/>
      <c r="BM76" s="6" t="e">
        <f>(BN75+(Crescimento!#REF!-(BN75*0.64))/0.8)/1000</f>
        <v>#REF!</v>
      </c>
      <c r="BN76" s="7" t="e">
        <f>-53.07 + (304.89 * (BM76)) + (90.79 *Crescimento!#REF!) - (3.13 * Crescimento!#REF!*Crescimento!#REF!)</f>
        <v>#REF!</v>
      </c>
      <c r="BP76" s="6" t="e">
        <f>(BQ75+(Crescimento!#REF!-(BQ75*0.64))/0.8)/1000</f>
        <v>#REF!</v>
      </c>
      <c r="BQ76" s="7" t="e">
        <f>-53.07 + (304.89 * (BP76)) + (90.79 *Crescimento!#REF!) - (3.13 * Crescimento!#REF!*Crescimento!#REF!)</f>
        <v>#REF!</v>
      </c>
      <c r="BS76" s="6" t="e">
        <f>(BT75+(Crescimento!#REF!-(BT75*0.64))/0.8)/1000</f>
        <v>#REF!</v>
      </c>
      <c r="BT76" s="7" t="e">
        <f>-53.07 + (304.89 * (BS76)) + (90.79 *Crescimento!#REF!) - (3.13 * Crescimento!#REF!*Crescimento!#REF!)</f>
        <v>#REF!</v>
      </c>
      <c r="BV76" s="6" t="e">
        <f>(BW75+(Crescimento!#REF!-(BW75*0.64))/0.8)/1000</f>
        <v>#REF!</v>
      </c>
      <c r="BW76" s="7" t="e">
        <f>-53.07 + (304.89 * (BV76)) + (90.79 *Crescimento!#REF!) - (3.13 * Crescimento!#REF!*Crescimento!#REF!)</f>
        <v>#REF!</v>
      </c>
      <c r="BX76" s="1"/>
      <c r="BY76" s="6" t="e">
        <f>(BZ75+(Crescimento!#REF!-(BZ75*0.64))/0.8)/1000</f>
        <v>#REF!</v>
      </c>
      <c r="BZ76" s="7" t="e">
        <f>-53.07 + (304.89 * (BY76)) + (90.79 *Crescimento!#REF!) - (3.13 * Crescimento!#REF!*Crescimento!#REF!)</f>
        <v>#REF!</v>
      </c>
      <c r="CB76" s="6" t="e">
        <f>(CC75+(Crescimento!#REF!-(CC75*0.64))/0.8)/1000</f>
        <v>#REF!</v>
      </c>
      <c r="CC76" s="7" t="e">
        <f>-53.07 + (304.89 * (CB76)) + (90.79 *Crescimento!#REF!) - (3.13 * Crescimento!#REF!*Crescimento!#REF!)</f>
        <v>#REF!</v>
      </c>
      <c r="CE76" s="6" t="e">
        <f>(CF75+(Crescimento!#REF!-(CF75*0.64))/0.8)/1000</f>
        <v>#REF!</v>
      </c>
      <c r="CF76" s="7" t="e">
        <f>-53.07 + (304.89 * (CE76)) + (90.79 *Crescimento!#REF!) - (3.13 * Crescimento!#REF!*Crescimento!#REF!)</f>
        <v>#REF!</v>
      </c>
      <c r="CH76" s="6" t="e">
        <f>(CI75+(Crescimento!#REF!-(CI75*0.64))/0.8)/1000</f>
        <v>#REF!</v>
      </c>
      <c r="CI76" s="7" t="e">
        <f>-53.07 + (304.89 * (CH76)) + (90.79 *Crescimento!#REF!) - (3.13 * Crescimento!#REF!*Crescimento!#REF!)</f>
        <v>#REF!</v>
      </c>
      <c r="CJ76" s="1"/>
      <c r="CK76" s="6" t="e">
        <f>(CL75+(Crescimento!#REF!-(CL75*0.64))/0.8)/1000</f>
        <v>#REF!</v>
      </c>
      <c r="CL76" s="7" t="e">
        <f>-53.07 + (304.89 * (CK76)) + (90.79 *Crescimento!#REF!) - (3.13 * Crescimento!#REF!*Crescimento!#REF!)</f>
        <v>#REF!</v>
      </c>
      <c r="CN76" s="6" t="e">
        <f>(CO75+(Crescimento!#REF!-(CO75*0.64))/0.8)/1000</f>
        <v>#REF!</v>
      </c>
      <c r="CO76" s="7" t="e">
        <f>-53.07 + (304.89 * (CN76)) + (90.79 *Crescimento!#REF!) - (3.13 * Crescimento!#REF!*Crescimento!#REF!)</f>
        <v>#REF!</v>
      </c>
      <c r="CQ76" s="6" t="e">
        <f>(CR75+(Crescimento!#REF!-(CR75*0.64))/0.8)/1000</f>
        <v>#REF!</v>
      </c>
      <c r="CR76" s="7" t="e">
        <f>-53.07 + (304.89 * (CQ76)) + (90.79 *Crescimento!#REF!) - (3.13 * Crescimento!#REF!*Crescimento!#REF!)</f>
        <v>#REF!</v>
      </c>
    </row>
    <row r="77" spans="2:96" x14ac:dyDescent="0.25">
      <c r="B77" s="6">
        <f>(C76+(Crescimento!$Q$27-(C76*0.64))/0.8)/1000</f>
        <v>1.1187993738011861</v>
      </c>
      <c r="C77" s="8">
        <f>-53.07 + (304.89 * (B77)) + (90.79 *Crescimento!$Q$20) - (3.13 * Crescimento!$Q$20*Crescimento!$Q$20)</f>
        <v>757.4287040082213</v>
      </c>
      <c r="D77" s="1"/>
      <c r="E77" s="6" t="e">
        <f>(F76+(Crescimento!#REF!-(F76*0.64))/0.8)/1000</f>
        <v>#REF!</v>
      </c>
      <c r="F77" s="7" t="e">
        <f>-53.07 + (304.89 * (E77)) + (90.79 *Crescimento!#REF!) - (3.13 * Crescimento!#REF!*Crescimento!#REF!)</f>
        <v>#REF!</v>
      </c>
      <c r="H77" s="6" t="e">
        <f>(I76+(Crescimento!#REF!-(I76*0.64))/0.8)/1000</f>
        <v>#REF!</v>
      </c>
      <c r="I77" s="7" t="e">
        <f>-53.07 + (304.89 * (H77)) + (90.79 *Crescimento!#REF!) - (3.13 * Crescimento!#REF!*Crescimento!#REF!)</f>
        <v>#REF!</v>
      </c>
      <c r="K77" s="6" t="e">
        <f>(L76+(Crescimento!#REF!-(L76*0.64))/0.8)/1000</f>
        <v>#REF!</v>
      </c>
      <c r="L77" s="7" t="e">
        <f>-53.07 + (304.89 * (K77)) + (90.79 *Crescimento!#REF!) - (3.13 * Crescimento!#REF!*Crescimento!#REF!)</f>
        <v>#REF!</v>
      </c>
      <c r="N77" s="6" t="e">
        <f>(O76+(Crescimento!#REF!-(O76*0.64))/0.8)/1000</f>
        <v>#REF!</v>
      </c>
      <c r="O77" s="7" t="e">
        <f>-53.07 + (304.89 * (N77)) + (90.79 *Crescimento!#REF!) - (3.13 * Crescimento!#REF!*Crescimento!#REF!)</f>
        <v>#REF!</v>
      </c>
      <c r="P77" s="1"/>
      <c r="Q77" s="6" t="e">
        <f>(R76+(Crescimento!#REF!-(R76*0.64))/0.8)/1000</f>
        <v>#REF!</v>
      </c>
      <c r="R77" s="7" t="e">
        <f>-53.07 + (304.89 * (Q77)) + (90.79 *Crescimento!#REF!) - (3.13 * Crescimento!#REF!*Crescimento!#REF!)</f>
        <v>#REF!</v>
      </c>
      <c r="T77" s="6" t="e">
        <f>(U76+(Crescimento!#REF!-(U76*0.64))/0.8)/1000</f>
        <v>#REF!</v>
      </c>
      <c r="U77" s="7" t="e">
        <f>-53.07 + (304.89 * (T77)) + (90.79 *Crescimento!#REF!) - (3.13 * Crescimento!#REF!*Crescimento!#REF!)</f>
        <v>#REF!</v>
      </c>
      <c r="W77" s="6" t="e">
        <f>(X76+(Crescimento!#REF!-(X76*0.64))/0.8)/1000</f>
        <v>#REF!</v>
      </c>
      <c r="X77" s="7" t="e">
        <f>-53.07 + (304.89 * (W77)) + (90.79 *Crescimento!#REF!) - (3.13 * Crescimento!#REF!*Crescimento!#REF!)</f>
        <v>#REF!</v>
      </c>
      <c r="Z77" s="6" t="e">
        <f>(AA76+(Crescimento!#REF!-(AA76*0.64))/0.8)/1000</f>
        <v>#REF!</v>
      </c>
      <c r="AA77" s="7" t="e">
        <f>-53.07 + (304.89 * (Z77)) + (90.79 *Crescimento!#REF!) - (3.13 * Crescimento!#REF!*Crescimento!#REF!)</f>
        <v>#REF!</v>
      </c>
      <c r="AB77" s="1"/>
      <c r="AC77" s="6" t="e">
        <f>(AD76+(Crescimento!#REF!-(AD76*0.64))/0.8)/1000</f>
        <v>#REF!</v>
      </c>
      <c r="AD77" s="7" t="e">
        <f>-53.07 + (304.89 * (AC77)) + (90.79 *Crescimento!#REF!) - (3.13 * Crescimento!#REF!*Crescimento!#REF!)</f>
        <v>#REF!</v>
      </c>
      <c r="AF77" s="6" t="e">
        <f>(AG76+(Crescimento!#REF!-(AG76*0.64))/0.8)/1000</f>
        <v>#REF!</v>
      </c>
      <c r="AG77" s="7" t="e">
        <f>-53.07 + (304.89 * (AF77)) + (90.79 *Crescimento!#REF!) - (3.13 * Crescimento!#REF!*Crescimento!#REF!)</f>
        <v>#REF!</v>
      </c>
      <c r="AI77" s="6" t="e">
        <f>(AJ76+(Crescimento!#REF!-(AJ76*0.64))/0.8)/1000</f>
        <v>#REF!</v>
      </c>
      <c r="AJ77" s="7" t="e">
        <f>-53.07 + (304.89 * (AI77)) + (90.79 *Crescimento!#REF!) - (3.13 * Crescimento!#REF!*Crescimento!#REF!)</f>
        <v>#REF!</v>
      </c>
      <c r="AL77" s="6" t="e">
        <f>(AM76+(Crescimento!#REF!-(AM76*0.64))/0.8)/1000</f>
        <v>#REF!</v>
      </c>
      <c r="AM77" s="7" t="e">
        <f>-53.07 + (304.89 * (AL77)) + (90.79 *Crescimento!#REF!) - (3.13 * Crescimento!#REF!*Crescimento!#REF!)</f>
        <v>#REF!</v>
      </c>
      <c r="AN77" s="1"/>
      <c r="AO77" s="6" t="e">
        <f>(AP76+(Crescimento!#REF!-(AP76*0.64))/0.8)/1000</f>
        <v>#REF!</v>
      </c>
      <c r="AP77" s="7" t="e">
        <f>-53.07 + (304.89 * (AO77)) + (90.79 *Crescimento!#REF!) - (3.13 * Crescimento!#REF!*Crescimento!#REF!)</f>
        <v>#REF!</v>
      </c>
      <c r="AR77" s="6" t="e">
        <f>(AS76+(Crescimento!#REF!-(AS76*0.64))/0.8)/1000</f>
        <v>#REF!</v>
      </c>
      <c r="AS77" s="7" t="e">
        <f>-53.07 + (304.89 * (AR77)) + (90.79 *Crescimento!#REF!) - (3.13 * Crescimento!#REF!*Crescimento!#REF!)</f>
        <v>#REF!</v>
      </c>
      <c r="AU77" s="6" t="e">
        <f>(AV76+(Crescimento!#REF!-(AV76*0.64))/0.8)/1000</f>
        <v>#REF!</v>
      </c>
      <c r="AV77" s="7" t="e">
        <f>-53.07 + (304.89 * (AU77)) + (90.79 *Crescimento!#REF!) - (3.13 * Crescimento!#REF!*Crescimento!#REF!)</f>
        <v>#REF!</v>
      </c>
      <c r="AX77" s="6" t="e">
        <f>(AY76+(Crescimento!#REF!-(AY76*0.64))/0.8)/1000</f>
        <v>#REF!</v>
      </c>
      <c r="AY77" s="7" t="e">
        <f>-53.07 + (304.89 * (AX77)) + (90.79 *Crescimento!#REF!) - (3.13 * Crescimento!#REF!*Crescimento!#REF!)</f>
        <v>#REF!</v>
      </c>
      <c r="AZ77" s="1"/>
      <c r="BA77" s="6" t="e">
        <f>(BB76+(Crescimento!#REF!-(BB76*0.64))/0.8)/1000</f>
        <v>#REF!</v>
      </c>
      <c r="BB77" s="7" t="e">
        <f>-53.07 + (304.89 * (BA77)) + (90.79 *Crescimento!#REF!) - (3.13 * Crescimento!#REF!*Crescimento!#REF!)</f>
        <v>#REF!</v>
      </c>
      <c r="BD77" s="6" t="e">
        <f>(BE76+(Crescimento!#REF!-(BE76*0.64))/0.8)/1000</f>
        <v>#REF!</v>
      </c>
      <c r="BE77" s="7" t="e">
        <f>-53.07 + (304.89 * (BD77)) + (90.79 *Crescimento!#REF!) - (3.13 * Crescimento!#REF!*Crescimento!#REF!)</f>
        <v>#REF!</v>
      </c>
      <c r="BG77" s="6" t="e">
        <f>(BH76+(Crescimento!#REF!-(BH76*0.64))/0.8)/1000</f>
        <v>#REF!</v>
      </c>
      <c r="BH77" s="7" t="e">
        <f>-53.07 + (304.89 * (BG77)) + (90.79 *Crescimento!#REF!) - (3.13 * Crescimento!#REF!*Crescimento!#REF!)</f>
        <v>#REF!</v>
      </c>
      <c r="BJ77" s="6" t="e">
        <f>(BK76+(Crescimento!#REF!-(BK76*0.64))/0.8)/1000</f>
        <v>#REF!</v>
      </c>
      <c r="BK77" s="7" t="e">
        <f>-53.07 + (304.89 * (BJ77)) + (90.79 *Crescimento!#REF!) - (3.13 * Crescimento!#REF!*Crescimento!#REF!)</f>
        <v>#REF!</v>
      </c>
      <c r="BL77" s="1"/>
      <c r="BM77" s="6" t="e">
        <f>(BN76+(Crescimento!#REF!-(BN76*0.64))/0.8)/1000</f>
        <v>#REF!</v>
      </c>
      <c r="BN77" s="7" t="e">
        <f>-53.07 + (304.89 * (BM77)) + (90.79 *Crescimento!#REF!) - (3.13 * Crescimento!#REF!*Crescimento!#REF!)</f>
        <v>#REF!</v>
      </c>
      <c r="BP77" s="6" t="e">
        <f>(BQ76+(Crescimento!#REF!-(BQ76*0.64))/0.8)/1000</f>
        <v>#REF!</v>
      </c>
      <c r="BQ77" s="7" t="e">
        <f>-53.07 + (304.89 * (BP77)) + (90.79 *Crescimento!#REF!) - (3.13 * Crescimento!#REF!*Crescimento!#REF!)</f>
        <v>#REF!</v>
      </c>
      <c r="BS77" s="6" t="e">
        <f>(BT76+(Crescimento!#REF!-(BT76*0.64))/0.8)/1000</f>
        <v>#REF!</v>
      </c>
      <c r="BT77" s="7" t="e">
        <f>-53.07 + (304.89 * (BS77)) + (90.79 *Crescimento!#REF!) - (3.13 * Crescimento!#REF!*Crescimento!#REF!)</f>
        <v>#REF!</v>
      </c>
      <c r="BV77" s="6" t="e">
        <f>(BW76+(Crescimento!#REF!-(BW76*0.64))/0.8)/1000</f>
        <v>#REF!</v>
      </c>
      <c r="BW77" s="7" t="e">
        <f>-53.07 + (304.89 * (BV77)) + (90.79 *Crescimento!#REF!) - (3.13 * Crescimento!#REF!*Crescimento!#REF!)</f>
        <v>#REF!</v>
      </c>
      <c r="BX77" s="1"/>
      <c r="BY77" s="6" t="e">
        <f>(BZ76+(Crescimento!#REF!-(BZ76*0.64))/0.8)/1000</f>
        <v>#REF!</v>
      </c>
      <c r="BZ77" s="7" t="e">
        <f>-53.07 + (304.89 * (BY77)) + (90.79 *Crescimento!#REF!) - (3.13 * Crescimento!#REF!*Crescimento!#REF!)</f>
        <v>#REF!</v>
      </c>
      <c r="CB77" s="6" t="e">
        <f>(CC76+(Crescimento!#REF!-(CC76*0.64))/0.8)/1000</f>
        <v>#REF!</v>
      </c>
      <c r="CC77" s="7" t="e">
        <f>-53.07 + (304.89 * (CB77)) + (90.79 *Crescimento!#REF!) - (3.13 * Crescimento!#REF!*Crescimento!#REF!)</f>
        <v>#REF!</v>
      </c>
      <c r="CE77" s="6" t="e">
        <f>(CF76+(Crescimento!#REF!-(CF76*0.64))/0.8)/1000</f>
        <v>#REF!</v>
      </c>
      <c r="CF77" s="7" t="e">
        <f>-53.07 + (304.89 * (CE77)) + (90.79 *Crescimento!#REF!) - (3.13 * Crescimento!#REF!*Crescimento!#REF!)</f>
        <v>#REF!</v>
      </c>
      <c r="CH77" s="6" t="e">
        <f>(CI76+(Crescimento!#REF!-(CI76*0.64))/0.8)/1000</f>
        <v>#REF!</v>
      </c>
      <c r="CI77" s="7" t="e">
        <f>-53.07 + (304.89 * (CH77)) + (90.79 *Crescimento!#REF!) - (3.13 * Crescimento!#REF!*Crescimento!#REF!)</f>
        <v>#REF!</v>
      </c>
      <c r="CJ77" s="1"/>
      <c r="CK77" s="6" t="e">
        <f>(CL76+(Crescimento!#REF!-(CL76*0.64))/0.8)/1000</f>
        <v>#REF!</v>
      </c>
      <c r="CL77" s="7" t="e">
        <f>-53.07 + (304.89 * (CK77)) + (90.79 *Crescimento!#REF!) - (3.13 * Crescimento!#REF!*Crescimento!#REF!)</f>
        <v>#REF!</v>
      </c>
      <c r="CN77" s="6" t="e">
        <f>(CO76+(Crescimento!#REF!-(CO76*0.64))/0.8)/1000</f>
        <v>#REF!</v>
      </c>
      <c r="CO77" s="7" t="e">
        <f>-53.07 + (304.89 * (CN77)) + (90.79 *Crescimento!#REF!) - (3.13 * Crescimento!#REF!*Crescimento!#REF!)</f>
        <v>#REF!</v>
      </c>
      <c r="CQ77" s="6" t="e">
        <f>(CR76+(Crescimento!#REF!-(CR76*0.64))/0.8)/1000</f>
        <v>#REF!</v>
      </c>
      <c r="CR77" s="7" t="e">
        <f>-53.07 + (304.89 * (CQ77)) + (90.79 *Crescimento!#REF!) - (3.13 * Crescimento!#REF!*Crescimento!#REF!)</f>
        <v>#REF!</v>
      </c>
    </row>
    <row r="78" spans="2:96" x14ac:dyDescent="0.25">
      <c r="B78" s="6">
        <f>(C77+(Crescimento!$Q$27-(C77*0.64))/0.8)/1000</f>
        <v>1.1187993738011861</v>
      </c>
      <c r="C78" s="8">
        <f>-53.07 + (304.89 * (B78)) + (90.79 *Crescimento!$Q$20) - (3.13 * Crescimento!$Q$20*Crescimento!$Q$20)</f>
        <v>757.4287040082213</v>
      </c>
      <c r="D78" s="1"/>
      <c r="E78" s="6" t="e">
        <f>(F77+(Crescimento!#REF!-(F77*0.64))/0.8)/1000</f>
        <v>#REF!</v>
      </c>
      <c r="F78" s="7" t="e">
        <f>-53.07 + (304.89 * (E78)) + (90.79 *Crescimento!#REF!) - (3.13 * Crescimento!#REF!*Crescimento!#REF!)</f>
        <v>#REF!</v>
      </c>
      <c r="H78" s="6" t="e">
        <f>(I77+(Crescimento!#REF!-(I77*0.64))/0.8)/1000</f>
        <v>#REF!</v>
      </c>
      <c r="I78" s="7" t="e">
        <f>-53.07 + (304.89 * (H78)) + (90.79 *Crescimento!#REF!) - (3.13 * Crescimento!#REF!*Crescimento!#REF!)</f>
        <v>#REF!</v>
      </c>
      <c r="K78" s="6" t="e">
        <f>(L77+(Crescimento!#REF!-(L77*0.64))/0.8)/1000</f>
        <v>#REF!</v>
      </c>
      <c r="L78" s="7" t="e">
        <f>-53.07 + (304.89 * (K78)) + (90.79 *Crescimento!#REF!) - (3.13 * Crescimento!#REF!*Crescimento!#REF!)</f>
        <v>#REF!</v>
      </c>
      <c r="N78" s="6" t="e">
        <f>(O77+(Crescimento!#REF!-(O77*0.64))/0.8)/1000</f>
        <v>#REF!</v>
      </c>
      <c r="O78" s="7" t="e">
        <f>-53.07 + (304.89 * (N78)) + (90.79 *Crescimento!#REF!) - (3.13 * Crescimento!#REF!*Crescimento!#REF!)</f>
        <v>#REF!</v>
      </c>
      <c r="P78" s="1"/>
      <c r="Q78" s="6" t="e">
        <f>(R77+(Crescimento!#REF!-(R77*0.64))/0.8)/1000</f>
        <v>#REF!</v>
      </c>
      <c r="R78" s="7" t="e">
        <f>-53.07 + (304.89 * (Q78)) + (90.79 *Crescimento!#REF!) - (3.13 * Crescimento!#REF!*Crescimento!#REF!)</f>
        <v>#REF!</v>
      </c>
      <c r="T78" s="6" t="e">
        <f>(U77+(Crescimento!#REF!-(U77*0.64))/0.8)/1000</f>
        <v>#REF!</v>
      </c>
      <c r="U78" s="7" t="e">
        <f>-53.07 + (304.89 * (T78)) + (90.79 *Crescimento!#REF!) - (3.13 * Crescimento!#REF!*Crescimento!#REF!)</f>
        <v>#REF!</v>
      </c>
      <c r="W78" s="6" t="e">
        <f>(X77+(Crescimento!#REF!-(X77*0.64))/0.8)/1000</f>
        <v>#REF!</v>
      </c>
      <c r="X78" s="7" t="e">
        <f>-53.07 + (304.89 * (W78)) + (90.79 *Crescimento!#REF!) - (3.13 * Crescimento!#REF!*Crescimento!#REF!)</f>
        <v>#REF!</v>
      </c>
      <c r="Z78" s="6" t="e">
        <f>(AA77+(Crescimento!#REF!-(AA77*0.64))/0.8)/1000</f>
        <v>#REF!</v>
      </c>
      <c r="AA78" s="7" t="e">
        <f>-53.07 + (304.89 * (Z78)) + (90.79 *Crescimento!#REF!) - (3.13 * Crescimento!#REF!*Crescimento!#REF!)</f>
        <v>#REF!</v>
      </c>
      <c r="AB78" s="1"/>
      <c r="AC78" s="6" t="e">
        <f>(AD77+(Crescimento!#REF!-(AD77*0.64))/0.8)/1000</f>
        <v>#REF!</v>
      </c>
      <c r="AD78" s="7" t="e">
        <f>-53.07 + (304.89 * (AC78)) + (90.79 *Crescimento!#REF!) - (3.13 * Crescimento!#REF!*Crescimento!#REF!)</f>
        <v>#REF!</v>
      </c>
      <c r="AF78" s="6" t="e">
        <f>(AG77+(Crescimento!#REF!-(AG77*0.64))/0.8)/1000</f>
        <v>#REF!</v>
      </c>
      <c r="AG78" s="7" t="e">
        <f>-53.07 + (304.89 * (AF78)) + (90.79 *Crescimento!#REF!) - (3.13 * Crescimento!#REF!*Crescimento!#REF!)</f>
        <v>#REF!</v>
      </c>
      <c r="AI78" s="6" t="e">
        <f>(AJ77+(Crescimento!#REF!-(AJ77*0.64))/0.8)/1000</f>
        <v>#REF!</v>
      </c>
      <c r="AJ78" s="7" t="e">
        <f>-53.07 + (304.89 * (AI78)) + (90.79 *Crescimento!#REF!) - (3.13 * Crescimento!#REF!*Crescimento!#REF!)</f>
        <v>#REF!</v>
      </c>
      <c r="AL78" s="6" t="e">
        <f>(AM77+(Crescimento!#REF!-(AM77*0.64))/0.8)/1000</f>
        <v>#REF!</v>
      </c>
      <c r="AM78" s="7" t="e">
        <f>-53.07 + (304.89 * (AL78)) + (90.79 *Crescimento!#REF!) - (3.13 * Crescimento!#REF!*Crescimento!#REF!)</f>
        <v>#REF!</v>
      </c>
      <c r="AN78" s="1"/>
      <c r="AO78" s="6" t="e">
        <f>(AP77+(Crescimento!#REF!-(AP77*0.64))/0.8)/1000</f>
        <v>#REF!</v>
      </c>
      <c r="AP78" s="7" t="e">
        <f>-53.07 + (304.89 * (AO78)) + (90.79 *Crescimento!#REF!) - (3.13 * Crescimento!#REF!*Crescimento!#REF!)</f>
        <v>#REF!</v>
      </c>
      <c r="AR78" s="6" t="e">
        <f>(AS77+(Crescimento!#REF!-(AS77*0.64))/0.8)/1000</f>
        <v>#REF!</v>
      </c>
      <c r="AS78" s="7" t="e">
        <f>-53.07 + (304.89 * (AR78)) + (90.79 *Crescimento!#REF!) - (3.13 * Crescimento!#REF!*Crescimento!#REF!)</f>
        <v>#REF!</v>
      </c>
      <c r="AU78" s="6" t="e">
        <f>(AV77+(Crescimento!#REF!-(AV77*0.64))/0.8)/1000</f>
        <v>#REF!</v>
      </c>
      <c r="AV78" s="7" t="e">
        <f>-53.07 + (304.89 * (AU78)) + (90.79 *Crescimento!#REF!) - (3.13 * Crescimento!#REF!*Crescimento!#REF!)</f>
        <v>#REF!</v>
      </c>
      <c r="AX78" s="6" t="e">
        <f>(AY77+(Crescimento!#REF!-(AY77*0.64))/0.8)/1000</f>
        <v>#REF!</v>
      </c>
      <c r="AY78" s="7" t="e">
        <f>-53.07 + (304.89 * (AX78)) + (90.79 *Crescimento!#REF!) - (3.13 * Crescimento!#REF!*Crescimento!#REF!)</f>
        <v>#REF!</v>
      </c>
      <c r="AZ78" s="1"/>
      <c r="BA78" s="6" t="e">
        <f>(BB77+(Crescimento!#REF!-(BB77*0.64))/0.8)/1000</f>
        <v>#REF!</v>
      </c>
      <c r="BB78" s="7" t="e">
        <f>-53.07 + (304.89 * (BA78)) + (90.79 *Crescimento!#REF!) - (3.13 * Crescimento!#REF!*Crescimento!#REF!)</f>
        <v>#REF!</v>
      </c>
      <c r="BD78" s="6" t="e">
        <f>(BE77+(Crescimento!#REF!-(BE77*0.64))/0.8)/1000</f>
        <v>#REF!</v>
      </c>
      <c r="BE78" s="7" t="e">
        <f>-53.07 + (304.89 * (BD78)) + (90.79 *Crescimento!#REF!) - (3.13 * Crescimento!#REF!*Crescimento!#REF!)</f>
        <v>#REF!</v>
      </c>
      <c r="BG78" s="6" t="e">
        <f>(BH77+(Crescimento!#REF!-(BH77*0.64))/0.8)/1000</f>
        <v>#REF!</v>
      </c>
      <c r="BH78" s="7" t="e">
        <f>-53.07 + (304.89 * (BG78)) + (90.79 *Crescimento!#REF!) - (3.13 * Crescimento!#REF!*Crescimento!#REF!)</f>
        <v>#REF!</v>
      </c>
      <c r="BJ78" s="6" t="e">
        <f>(BK77+(Crescimento!#REF!-(BK77*0.64))/0.8)/1000</f>
        <v>#REF!</v>
      </c>
      <c r="BK78" s="7" t="e">
        <f>-53.07 + (304.89 * (BJ78)) + (90.79 *Crescimento!#REF!) - (3.13 * Crescimento!#REF!*Crescimento!#REF!)</f>
        <v>#REF!</v>
      </c>
      <c r="BL78" s="1"/>
      <c r="BM78" s="6" t="e">
        <f>(BN77+(Crescimento!#REF!-(BN77*0.64))/0.8)/1000</f>
        <v>#REF!</v>
      </c>
      <c r="BN78" s="7" t="e">
        <f>-53.07 + (304.89 * (BM78)) + (90.79 *Crescimento!#REF!) - (3.13 * Crescimento!#REF!*Crescimento!#REF!)</f>
        <v>#REF!</v>
      </c>
      <c r="BP78" s="6" t="e">
        <f>(BQ77+(Crescimento!#REF!-(BQ77*0.64))/0.8)/1000</f>
        <v>#REF!</v>
      </c>
      <c r="BQ78" s="7" t="e">
        <f>-53.07 + (304.89 * (BP78)) + (90.79 *Crescimento!#REF!) - (3.13 * Crescimento!#REF!*Crescimento!#REF!)</f>
        <v>#REF!</v>
      </c>
      <c r="BS78" s="6" t="e">
        <f>(BT77+(Crescimento!#REF!-(BT77*0.64))/0.8)/1000</f>
        <v>#REF!</v>
      </c>
      <c r="BT78" s="7" t="e">
        <f>-53.07 + (304.89 * (BS78)) + (90.79 *Crescimento!#REF!) - (3.13 * Crescimento!#REF!*Crescimento!#REF!)</f>
        <v>#REF!</v>
      </c>
      <c r="BV78" s="6" t="e">
        <f>(BW77+(Crescimento!#REF!-(BW77*0.64))/0.8)/1000</f>
        <v>#REF!</v>
      </c>
      <c r="BW78" s="7" t="e">
        <f>-53.07 + (304.89 * (BV78)) + (90.79 *Crescimento!#REF!) - (3.13 * Crescimento!#REF!*Crescimento!#REF!)</f>
        <v>#REF!</v>
      </c>
      <c r="BX78" s="1"/>
      <c r="BY78" s="6" t="e">
        <f>(BZ77+(Crescimento!#REF!-(BZ77*0.64))/0.8)/1000</f>
        <v>#REF!</v>
      </c>
      <c r="BZ78" s="7" t="e">
        <f>-53.07 + (304.89 * (BY78)) + (90.79 *Crescimento!#REF!) - (3.13 * Crescimento!#REF!*Crescimento!#REF!)</f>
        <v>#REF!</v>
      </c>
      <c r="CB78" s="6" t="e">
        <f>(CC77+(Crescimento!#REF!-(CC77*0.64))/0.8)/1000</f>
        <v>#REF!</v>
      </c>
      <c r="CC78" s="7" t="e">
        <f>-53.07 + (304.89 * (CB78)) + (90.79 *Crescimento!#REF!) - (3.13 * Crescimento!#REF!*Crescimento!#REF!)</f>
        <v>#REF!</v>
      </c>
      <c r="CE78" s="6" t="e">
        <f>(CF77+(Crescimento!#REF!-(CF77*0.64))/0.8)/1000</f>
        <v>#REF!</v>
      </c>
      <c r="CF78" s="7" t="e">
        <f>-53.07 + (304.89 * (CE78)) + (90.79 *Crescimento!#REF!) - (3.13 * Crescimento!#REF!*Crescimento!#REF!)</f>
        <v>#REF!</v>
      </c>
      <c r="CH78" s="6" t="e">
        <f>(CI77+(Crescimento!#REF!-(CI77*0.64))/0.8)/1000</f>
        <v>#REF!</v>
      </c>
      <c r="CI78" s="7" t="e">
        <f>-53.07 + (304.89 * (CH78)) + (90.79 *Crescimento!#REF!) - (3.13 * Crescimento!#REF!*Crescimento!#REF!)</f>
        <v>#REF!</v>
      </c>
      <c r="CJ78" s="1"/>
      <c r="CK78" s="6" t="e">
        <f>(CL77+(Crescimento!#REF!-(CL77*0.64))/0.8)/1000</f>
        <v>#REF!</v>
      </c>
      <c r="CL78" s="7" t="e">
        <f>-53.07 + (304.89 * (CK78)) + (90.79 *Crescimento!#REF!) - (3.13 * Crescimento!#REF!*Crescimento!#REF!)</f>
        <v>#REF!</v>
      </c>
      <c r="CN78" s="6" t="e">
        <f>(CO77+(Crescimento!#REF!-(CO77*0.64))/0.8)/1000</f>
        <v>#REF!</v>
      </c>
      <c r="CO78" s="7" t="e">
        <f>-53.07 + (304.89 * (CN78)) + (90.79 *Crescimento!#REF!) - (3.13 * Crescimento!#REF!*Crescimento!#REF!)</f>
        <v>#REF!</v>
      </c>
      <c r="CQ78" s="6" t="e">
        <f>(CR77+(Crescimento!#REF!-(CR77*0.64))/0.8)/1000</f>
        <v>#REF!</v>
      </c>
      <c r="CR78" s="7" t="e">
        <f>-53.07 + (304.89 * (CQ78)) + (90.79 *Crescimento!#REF!) - (3.13 * Crescimento!#REF!*Crescimento!#REF!)</f>
        <v>#REF!</v>
      </c>
    </row>
    <row r="79" spans="2:96" x14ac:dyDescent="0.25">
      <c r="B79" s="6">
        <f>(C78+(Crescimento!$Q$27-(C78*0.64))/0.8)/1000</f>
        <v>1.1187993738011861</v>
      </c>
      <c r="C79" s="8">
        <f>-53.07 + (304.89 * (B79)) + (90.79 *Crescimento!$Q$20) - (3.13 * Crescimento!$Q$20*Crescimento!$Q$20)</f>
        <v>757.4287040082213</v>
      </c>
      <c r="D79" s="1"/>
      <c r="E79" s="6" t="e">
        <f>(F78+(Crescimento!#REF!-(F78*0.64))/0.8)/1000</f>
        <v>#REF!</v>
      </c>
      <c r="F79" s="7" t="e">
        <f>-53.07 + (304.89 * (E79)) + (90.79 *Crescimento!#REF!) - (3.13 * Crescimento!#REF!*Crescimento!#REF!)</f>
        <v>#REF!</v>
      </c>
      <c r="H79" s="6" t="e">
        <f>(I78+(Crescimento!#REF!-(I78*0.64))/0.8)/1000</f>
        <v>#REF!</v>
      </c>
      <c r="I79" s="7" t="e">
        <f>-53.07 + (304.89 * (H79)) + (90.79 *Crescimento!#REF!) - (3.13 * Crescimento!#REF!*Crescimento!#REF!)</f>
        <v>#REF!</v>
      </c>
      <c r="K79" s="6" t="e">
        <f>(L78+(Crescimento!#REF!-(L78*0.64))/0.8)/1000</f>
        <v>#REF!</v>
      </c>
      <c r="L79" s="7" t="e">
        <f>-53.07 + (304.89 * (K79)) + (90.79 *Crescimento!#REF!) - (3.13 * Crescimento!#REF!*Crescimento!#REF!)</f>
        <v>#REF!</v>
      </c>
      <c r="N79" s="6" t="e">
        <f>(O78+(Crescimento!#REF!-(O78*0.64))/0.8)/1000</f>
        <v>#REF!</v>
      </c>
      <c r="O79" s="7" t="e">
        <f>-53.07 + (304.89 * (N79)) + (90.79 *Crescimento!#REF!) - (3.13 * Crescimento!#REF!*Crescimento!#REF!)</f>
        <v>#REF!</v>
      </c>
      <c r="P79" s="1"/>
      <c r="Q79" s="6" t="e">
        <f>(R78+(Crescimento!#REF!-(R78*0.64))/0.8)/1000</f>
        <v>#REF!</v>
      </c>
      <c r="R79" s="7" t="e">
        <f>-53.07 + (304.89 * (Q79)) + (90.79 *Crescimento!#REF!) - (3.13 * Crescimento!#REF!*Crescimento!#REF!)</f>
        <v>#REF!</v>
      </c>
      <c r="T79" s="6" t="e">
        <f>(U78+(Crescimento!#REF!-(U78*0.64))/0.8)/1000</f>
        <v>#REF!</v>
      </c>
      <c r="U79" s="7" t="e">
        <f>-53.07 + (304.89 * (T79)) + (90.79 *Crescimento!#REF!) - (3.13 * Crescimento!#REF!*Crescimento!#REF!)</f>
        <v>#REF!</v>
      </c>
      <c r="W79" s="6" t="e">
        <f>(X78+(Crescimento!#REF!-(X78*0.64))/0.8)/1000</f>
        <v>#REF!</v>
      </c>
      <c r="X79" s="7" t="e">
        <f>-53.07 + (304.89 * (W79)) + (90.79 *Crescimento!#REF!) - (3.13 * Crescimento!#REF!*Crescimento!#REF!)</f>
        <v>#REF!</v>
      </c>
      <c r="Z79" s="6" t="e">
        <f>(AA78+(Crescimento!#REF!-(AA78*0.64))/0.8)/1000</f>
        <v>#REF!</v>
      </c>
      <c r="AA79" s="7" t="e">
        <f>-53.07 + (304.89 * (Z79)) + (90.79 *Crescimento!#REF!) - (3.13 * Crescimento!#REF!*Crescimento!#REF!)</f>
        <v>#REF!</v>
      </c>
      <c r="AB79" s="1"/>
      <c r="AC79" s="6" t="e">
        <f>(AD78+(Crescimento!#REF!-(AD78*0.64))/0.8)/1000</f>
        <v>#REF!</v>
      </c>
      <c r="AD79" s="7" t="e">
        <f>-53.07 + (304.89 * (AC79)) + (90.79 *Crescimento!#REF!) - (3.13 * Crescimento!#REF!*Crescimento!#REF!)</f>
        <v>#REF!</v>
      </c>
      <c r="AF79" s="6" t="e">
        <f>(AG78+(Crescimento!#REF!-(AG78*0.64))/0.8)/1000</f>
        <v>#REF!</v>
      </c>
      <c r="AG79" s="7" t="e">
        <f>-53.07 + (304.89 * (AF79)) + (90.79 *Crescimento!#REF!) - (3.13 * Crescimento!#REF!*Crescimento!#REF!)</f>
        <v>#REF!</v>
      </c>
      <c r="AI79" s="6" t="e">
        <f>(AJ78+(Crescimento!#REF!-(AJ78*0.64))/0.8)/1000</f>
        <v>#REF!</v>
      </c>
      <c r="AJ79" s="7" t="e">
        <f>-53.07 + (304.89 * (AI79)) + (90.79 *Crescimento!#REF!) - (3.13 * Crescimento!#REF!*Crescimento!#REF!)</f>
        <v>#REF!</v>
      </c>
      <c r="AL79" s="6" t="e">
        <f>(AM78+(Crescimento!#REF!-(AM78*0.64))/0.8)/1000</f>
        <v>#REF!</v>
      </c>
      <c r="AM79" s="7" t="e">
        <f>-53.07 + (304.89 * (AL79)) + (90.79 *Crescimento!#REF!) - (3.13 * Crescimento!#REF!*Crescimento!#REF!)</f>
        <v>#REF!</v>
      </c>
      <c r="AN79" s="1"/>
      <c r="AO79" s="6" t="e">
        <f>(AP78+(Crescimento!#REF!-(AP78*0.64))/0.8)/1000</f>
        <v>#REF!</v>
      </c>
      <c r="AP79" s="7" t="e">
        <f>-53.07 + (304.89 * (AO79)) + (90.79 *Crescimento!#REF!) - (3.13 * Crescimento!#REF!*Crescimento!#REF!)</f>
        <v>#REF!</v>
      </c>
      <c r="AR79" s="6" t="e">
        <f>(AS78+(Crescimento!#REF!-(AS78*0.64))/0.8)/1000</f>
        <v>#REF!</v>
      </c>
      <c r="AS79" s="7" t="e">
        <f>-53.07 + (304.89 * (AR79)) + (90.79 *Crescimento!#REF!) - (3.13 * Crescimento!#REF!*Crescimento!#REF!)</f>
        <v>#REF!</v>
      </c>
      <c r="AU79" s="6" t="e">
        <f>(AV78+(Crescimento!#REF!-(AV78*0.64))/0.8)/1000</f>
        <v>#REF!</v>
      </c>
      <c r="AV79" s="7" t="e">
        <f>-53.07 + (304.89 * (AU79)) + (90.79 *Crescimento!#REF!) - (3.13 * Crescimento!#REF!*Crescimento!#REF!)</f>
        <v>#REF!</v>
      </c>
      <c r="AX79" s="6" t="e">
        <f>(AY78+(Crescimento!#REF!-(AY78*0.64))/0.8)/1000</f>
        <v>#REF!</v>
      </c>
      <c r="AY79" s="7" t="e">
        <f>-53.07 + (304.89 * (AX79)) + (90.79 *Crescimento!#REF!) - (3.13 * Crescimento!#REF!*Crescimento!#REF!)</f>
        <v>#REF!</v>
      </c>
      <c r="AZ79" s="1"/>
      <c r="BA79" s="6" t="e">
        <f>(BB78+(Crescimento!#REF!-(BB78*0.64))/0.8)/1000</f>
        <v>#REF!</v>
      </c>
      <c r="BB79" s="7" t="e">
        <f>-53.07 + (304.89 * (BA79)) + (90.79 *Crescimento!#REF!) - (3.13 * Crescimento!#REF!*Crescimento!#REF!)</f>
        <v>#REF!</v>
      </c>
      <c r="BD79" s="6" t="e">
        <f>(BE78+(Crescimento!#REF!-(BE78*0.64))/0.8)/1000</f>
        <v>#REF!</v>
      </c>
      <c r="BE79" s="7" t="e">
        <f>-53.07 + (304.89 * (BD79)) + (90.79 *Crescimento!#REF!) - (3.13 * Crescimento!#REF!*Crescimento!#REF!)</f>
        <v>#REF!</v>
      </c>
      <c r="BG79" s="6" t="e">
        <f>(BH78+(Crescimento!#REF!-(BH78*0.64))/0.8)/1000</f>
        <v>#REF!</v>
      </c>
      <c r="BH79" s="7" t="e">
        <f>-53.07 + (304.89 * (BG79)) + (90.79 *Crescimento!#REF!) - (3.13 * Crescimento!#REF!*Crescimento!#REF!)</f>
        <v>#REF!</v>
      </c>
      <c r="BJ79" s="6" t="e">
        <f>(BK78+(Crescimento!#REF!-(BK78*0.64))/0.8)/1000</f>
        <v>#REF!</v>
      </c>
      <c r="BK79" s="7" t="e">
        <f>-53.07 + (304.89 * (BJ79)) + (90.79 *Crescimento!#REF!) - (3.13 * Crescimento!#REF!*Crescimento!#REF!)</f>
        <v>#REF!</v>
      </c>
      <c r="BL79" s="1"/>
      <c r="BM79" s="6" t="e">
        <f>(BN78+(Crescimento!#REF!-(BN78*0.64))/0.8)/1000</f>
        <v>#REF!</v>
      </c>
      <c r="BN79" s="7" t="e">
        <f>-53.07 + (304.89 * (BM79)) + (90.79 *Crescimento!#REF!) - (3.13 * Crescimento!#REF!*Crescimento!#REF!)</f>
        <v>#REF!</v>
      </c>
      <c r="BP79" s="6" t="e">
        <f>(BQ78+(Crescimento!#REF!-(BQ78*0.64))/0.8)/1000</f>
        <v>#REF!</v>
      </c>
      <c r="BQ79" s="7" t="e">
        <f>-53.07 + (304.89 * (BP79)) + (90.79 *Crescimento!#REF!) - (3.13 * Crescimento!#REF!*Crescimento!#REF!)</f>
        <v>#REF!</v>
      </c>
      <c r="BS79" s="6" t="e">
        <f>(BT78+(Crescimento!#REF!-(BT78*0.64))/0.8)/1000</f>
        <v>#REF!</v>
      </c>
      <c r="BT79" s="7" t="e">
        <f>-53.07 + (304.89 * (BS79)) + (90.79 *Crescimento!#REF!) - (3.13 * Crescimento!#REF!*Crescimento!#REF!)</f>
        <v>#REF!</v>
      </c>
      <c r="BV79" s="6" t="e">
        <f>(BW78+(Crescimento!#REF!-(BW78*0.64))/0.8)/1000</f>
        <v>#REF!</v>
      </c>
      <c r="BW79" s="7" t="e">
        <f>-53.07 + (304.89 * (BV79)) + (90.79 *Crescimento!#REF!) - (3.13 * Crescimento!#REF!*Crescimento!#REF!)</f>
        <v>#REF!</v>
      </c>
      <c r="BX79" s="1"/>
      <c r="BY79" s="6" t="e">
        <f>(BZ78+(Crescimento!#REF!-(BZ78*0.64))/0.8)/1000</f>
        <v>#REF!</v>
      </c>
      <c r="BZ79" s="7" t="e">
        <f>-53.07 + (304.89 * (BY79)) + (90.79 *Crescimento!#REF!) - (3.13 * Crescimento!#REF!*Crescimento!#REF!)</f>
        <v>#REF!</v>
      </c>
      <c r="CB79" s="6" t="e">
        <f>(CC78+(Crescimento!#REF!-(CC78*0.64))/0.8)/1000</f>
        <v>#REF!</v>
      </c>
      <c r="CC79" s="7" t="e">
        <f>-53.07 + (304.89 * (CB79)) + (90.79 *Crescimento!#REF!) - (3.13 * Crescimento!#REF!*Crescimento!#REF!)</f>
        <v>#REF!</v>
      </c>
      <c r="CE79" s="6" t="e">
        <f>(CF78+(Crescimento!#REF!-(CF78*0.64))/0.8)/1000</f>
        <v>#REF!</v>
      </c>
      <c r="CF79" s="7" t="e">
        <f>-53.07 + (304.89 * (CE79)) + (90.79 *Crescimento!#REF!) - (3.13 * Crescimento!#REF!*Crescimento!#REF!)</f>
        <v>#REF!</v>
      </c>
      <c r="CH79" s="6" t="e">
        <f>(CI78+(Crescimento!#REF!-(CI78*0.64))/0.8)/1000</f>
        <v>#REF!</v>
      </c>
      <c r="CI79" s="7" t="e">
        <f>-53.07 + (304.89 * (CH79)) + (90.79 *Crescimento!#REF!) - (3.13 * Crescimento!#REF!*Crescimento!#REF!)</f>
        <v>#REF!</v>
      </c>
      <c r="CJ79" s="1"/>
      <c r="CK79" s="6" t="e">
        <f>(CL78+(Crescimento!#REF!-(CL78*0.64))/0.8)/1000</f>
        <v>#REF!</v>
      </c>
      <c r="CL79" s="7" t="e">
        <f>-53.07 + (304.89 * (CK79)) + (90.79 *Crescimento!#REF!) - (3.13 * Crescimento!#REF!*Crescimento!#REF!)</f>
        <v>#REF!</v>
      </c>
      <c r="CN79" s="6" t="e">
        <f>(CO78+(Crescimento!#REF!-(CO78*0.64))/0.8)/1000</f>
        <v>#REF!</v>
      </c>
      <c r="CO79" s="7" t="e">
        <f>-53.07 + (304.89 * (CN79)) + (90.79 *Crescimento!#REF!) - (3.13 * Crescimento!#REF!*Crescimento!#REF!)</f>
        <v>#REF!</v>
      </c>
      <c r="CQ79" s="6" t="e">
        <f>(CR78+(Crescimento!#REF!-(CR78*0.64))/0.8)/1000</f>
        <v>#REF!</v>
      </c>
      <c r="CR79" s="7" t="e">
        <f>-53.07 + (304.89 * (CQ79)) + (90.79 *Crescimento!#REF!) - (3.13 * Crescimento!#REF!*Crescimento!#REF!)</f>
        <v>#REF!</v>
      </c>
    </row>
    <row r="80" spans="2:96" x14ac:dyDescent="0.25">
      <c r="B80" s="6">
        <f>(C79+(Crescimento!$Q$27-(C79*0.64))/0.8)/1000</f>
        <v>1.1187993738011861</v>
      </c>
      <c r="C80" s="8">
        <f>-53.07 + (304.89 * (B80)) + (90.79 *Crescimento!$Q$20) - (3.13 * Crescimento!$Q$20*Crescimento!$Q$20)</f>
        <v>757.4287040082213</v>
      </c>
      <c r="D80" s="1"/>
      <c r="E80" s="6" t="e">
        <f>(F79+(Crescimento!#REF!-(F79*0.64))/0.8)/1000</f>
        <v>#REF!</v>
      </c>
      <c r="F80" s="7" t="e">
        <f>-53.07 + (304.89 * (E80)) + (90.79 *Crescimento!#REF!) - (3.13 * Crescimento!#REF!*Crescimento!#REF!)</f>
        <v>#REF!</v>
      </c>
      <c r="H80" s="6" t="e">
        <f>(I79+(Crescimento!#REF!-(I79*0.64))/0.8)/1000</f>
        <v>#REF!</v>
      </c>
      <c r="I80" s="7" t="e">
        <f>-53.07 + (304.89 * (H80)) + (90.79 *Crescimento!#REF!) - (3.13 * Crescimento!#REF!*Crescimento!#REF!)</f>
        <v>#REF!</v>
      </c>
      <c r="K80" s="6" t="e">
        <f>(L79+(Crescimento!#REF!-(L79*0.64))/0.8)/1000</f>
        <v>#REF!</v>
      </c>
      <c r="L80" s="7" t="e">
        <f>-53.07 + (304.89 * (K80)) + (90.79 *Crescimento!#REF!) - (3.13 * Crescimento!#REF!*Crescimento!#REF!)</f>
        <v>#REF!</v>
      </c>
      <c r="N80" s="6" t="e">
        <f>(O79+(Crescimento!#REF!-(O79*0.64))/0.8)/1000</f>
        <v>#REF!</v>
      </c>
      <c r="O80" s="7" t="e">
        <f>-53.07 + (304.89 * (N80)) + (90.79 *Crescimento!#REF!) - (3.13 * Crescimento!#REF!*Crescimento!#REF!)</f>
        <v>#REF!</v>
      </c>
      <c r="P80" s="1"/>
      <c r="Q80" s="6" t="e">
        <f>(R79+(Crescimento!#REF!-(R79*0.64))/0.8)/1000</f>
        <v>#REF!</v>
      </c>
      <c r="R80" s="7" t="e">
        <f>-53.07 + (304.89 * (Q80)) + (90.79 *Crescimento!#REF!) - (3.13 * Crescimento!#REF!*Crescimento!#REF!)</f>
        <v>#REF!</v>
      </c>
      <c r="T80" s="6" t="e">
        <f>(U79+(Crescimento!#REF!-(U79*0.64))/0.8)/1000</f>
        <v>#REF!</v>
      </c>
      <c r="U80" s="7" t="e">
        <f>-53.07 + (304.89 * (T80)) + (90.79 *Crescimento!#REF!) - (3.13 * Crescimento!#REF!*Crescimento!#REF!)</f>
        <v>#REF!</v>
      </c>
      <c r="W80" s="6" t="e">
        <f>(X79+(Crescimento!#REF!-(X79*0.64))/0.8)/1000</f>
        <v>#REF!</v>
      </c>
      <c r="X80" s="7" t="e">
        <f>-53.07 + (304.89 * (W80)) + (90.79 *Crescimento!#REF!) - (3.13 * Crescimento!#REF!*Crescimento!#REF!)</f>
        <v>#REF!</v>
      </c>
      <c r="Z80" s="6" t="e">
        <f>(AA79+(Crescimento!#REF!-(AA79*0.64))/0.8)/1000</f>
        <v>#REF!</v>
      </c>
      <c r="AA80" s="7" t="e">
        <f>-53.07 + (304.89 * (Z80)) + (90.79 *Crescimento!#REF!) - (3.13 * Crescimento!#REF!*Crescimento!#REF!)</f>
        <v>#REF!</v>
      </c>
      <c r="AB80" s="1"/>
      <c r="AC80" s="6" t="e">
        <f>(AD79+(Crescimento!#REF!-(AD79*0.64))/0.8)/1000</f>
        <v>#REF!</v>
      </c>
      <c r="AD80" s="7" t="e">
        <f>-53.07 + (304.89 * (AC80)) + (90.79 *Crescimento!#REF!) - (3.13 * Crescimento!#REF!*Crescimento!#REF!)</f>
        <v>#REF!</v>
      </c>
      <c r="AF80" s="6" t="e">
        <f>(AG79+(Crescimento!#REF!-(AG79*0.64))/0.8)/1000</f>
        <v>#REF!</v>
      </c>
      <c r="AG80" s="7" t="e">
        <f>-53.07 + (304.89 * (AF80)) + (90.79 *Crescimento!#REF!) - (3.13 * Crescimento!#REF!*Crescimento!#REF!)</f>
        <v>#REF!</v>
      </c>
      <c r="AI80" s="6" t="e">
        <f>(AJ79+(Crescimento!#REF!-(AJ79*0.64))/0.8)/1000</f>
        <v>#REF!</v>
      </c>
      <c r="AJ80" s="7" t="e">
        <f>-53.07 + (304.89 * (AI80)) + (90.79 *Crescimento!#REF!) - (3.13 * Crescimento!#REF!*Crescimento!#REF!)</f>
        <v>#REF!</v>
      </c>
      <c r="AL80" s="6" t="e">
        <f>(AM79+(Crescimento!#REF!-(AM79*0.64))/0.8)/1000</f>
        <v>#REF!</v>
      </c>
      <c r="AM80" s="7" t="e">
        <f>-53.07 + (304.89 * (AL80)) + (90.79 *Crescimento!#REF!) - (3.13 * Crescimento!#REF!*Crescimento!#REF!)</f>
        <v>#REF!</v>
      </c>
      <c r="AN80" s="1"/>
      <c r="AO80" s="6" t="e">
        <f>(AP79+(Crescimento!#REF!-(AP79*0.64))/0.8)/1000</f>
        <v>#REF!</v>
      </c>
      <c r="AP80" s="7" t="e">
        <f>-53.07 + (304.89 * (AO80)) + (90.79 *Crescimento!#REF!) - (3.13 * Crescimento!#REF!*Crescimento!#REF!)</f>
        <v>#REF!</v>
      </c>
      <c r="AR80" s="6" t="e">
        <f>(AS79+(Crescimento!#REF!-(AS79*0.64))/0.8)/1000</f>
        <v>#REF!</v>
      </c>
      <c r="AS80" s="7" t="e">
        <f>-53.07 + (304.89 * (AR80)) + (90.79 *Crescimento!#REF!) - (3.13 * Crescimento!#REF!*Crescimento!#REF!)</f>
        <v>#REF!</v>
      </c>
      <c r="AU80" s="6" t="e">
        <f>(AV79+(Crescimento!#REF!-(AV79*0.64))/0.8)/1000</f>
        <v>#REF!</v>
      </c>
      <c r="AV80" s="7" t="e">
        <f>-53.07 + (304.89 * (AU80)) + (90.79 *Crescimento!#REF!) - (3.13 * Crescimento!#REF!*Crescimento!#REF!)</f>
        <v>#REF!</v>
      </c>
      <c r="AX80" s="6" t="e">
        <f>(AY79+(Crescimento!#REF!-(AY79*0.64))/0.8)/1000</f>
        <v>#REF!</v>
      </c>
      <c r="AY80" s="7" t="e">
        <f>-53.07 + (304.89 * (AX80)) + (90.79 *Crescimento!#REF!) - (3.13 * Crescimento!#REF!*Crescimento!#REF!)</f>
        <v>#REF!</v>
      </c>
      <c r="AZ80" s="1"/>
      <c r="BA80" s="6" t="e">
        <f>(BB79+(Crescimento!#REF!-(BB79*0.64))/0.8)/1000</f>
        <v>#REF!</v>
      </c>
      <c r="BB80" s="7" t="e">
        <f>-53.07 + (304.89 * (BA80)) + (90.79 *Crescimento!#REF!) - (3.13 * Crescimento!#REF!*Crescimento!#REF!)</f>
        <v>#REF!</v>
      </c>
      <c r="BD80" s="6" t="e">
        <f>(BE79+(Crescimento!#REF!-(BE79*0.64))/0.8)/1000</f>
        <v>#REF!</v>
      </c>
      <c r="BE80" s="7" t="e">
        <f>-53.07 + (304.89 * (BD80)) + (90.79 *Crescimento!#REF!) - (3.13 * Crescimento!#REF!*Crescimento!#REF!)</f>
        <v>#REF!</v>
      </c>
      <c r="BG80" s="6" t="e">
        <f>(BH79+(Crescimento!#REF!-(BH79*0.64))/0.8)/1000</f>
        <v>#REF!</v>
      </c>
      <c r="BH80" s="7" t="e">
        <f>-53.07 + (304.89 * (BG80)) + (90.79 *Crescimento!#REF!) - (3.13 * Crescimento!#REF!*Crescimento!#REF!)</f>
        <v>#REF!</v>
      </c>
      <c r="BJ80" s="6" t="e">
        <f>(BK79+(Crescimento!#REF!-(BK79*0.64))/0.8)/1000</f>
        <v>#REF!</v>
      </c>
      <c r="BK80" s="7" t="e">
        <f>-53.07 + (304.89 * (BJ80)) + (90.79 *Crescimento!#REF!) - (3.13 * Crescimento!#REF!*Crescimento!#REF!)</f>
        <v>#REF!</v>
      </c>
      <c r="BL80" s="1"/>
      <c r="BM80" s="6" t="e">
        <f>(BN79+(Crescimento!#REF!-(BN79*0.64))/0.8)/1000</f>
        <v>#REF!</v>
      </c>
      <c r="BN80" s="7" t="e">
        <f>-53.07 + (304.89 * (BM80)) + (90.79 *Crescimento!#REF!) - (3.13 * Crescimento!#REF!*Crescimento!#REF!)</f>
        <v>#REF!</v>
      </c>
      <c r="BP80" s="6" t="e">
        <f>(BQ79+(Crescimento!#REF!-(BQ79*0.64))/0.8)/1000</f>
        <v>#REF!</v>
      </c>
      <c r="BQ80" s="7" t="e">
        <f>-53.07 + (304.89 * (BP80)) + (90.79 *Crescimento!#REF!) - (3.13 * Crescimento!#REF!*Crescimento!#REF!)</f>
        <v>#REF!</v>
      </c>
      <c r="BS80" s="6" t="e">
        <f>(BT79+(Crescimento!#REF!-(BT79*0.64))/0.8)/1000</f>
        <v>#REF!</v>
      </c>
      <c r="BT80" s="7" t="e">
        <f>-53.07 + (304.89 * (BS80)) + (90.79 *Crescimento!#REF!) - (3.13 * Crescimento!#REF!*Crescimento!#REF!)</f>
        <v>#REF!</v>
      </c>
      <c r="BV80" s="6" t="e">
        <f>(BW79+(Crescimento!#REF!-(BW79*0.64))/0.8)/1000</f>
        <v>#REF!</v>
      </c>
      <c r="BW80" s="7" t="e">
        <f>-53.07 + (304.89 * (BV80)) + (90.79 *Crescimento!#REF!) - (3.13 * Crescimento!#REF!*Crescimento!#REF!)</f>
        <v>#REF!</v>
      </c>
      <c r="BX80" s="1"/>
      <c r="BY80" s="6" t="e">
        <f>(BZ79+(Crescimento!#REF!-(BZ79*0.64))/0.8)/1000</f>
        <v>#REF!</v>
      </c>
      <c r="BZ80" s="7" t="e">
        <f>-53.07 + (304.89 * (BY80)) + (90.79 *Crescimento!#REF!) - (3.13 * Crescimento!#REF!*Crescimento!#REF!)</f>
        <v>#REF!</v>
      </c>
      <c r="CB80" s="6" t="e">
        <f>(CC79+(Crescimento!#REF!-(CC79*0.64))/0.8)/1000</f>
        <v>#REF!</v>
      </c>
      <c r="CC80" s="7" t="e">
        <f>-53.07 + (304.89 * (CB80)) + (90.79 *Crescimento!#REF!) - (3.13 * Crescimento!#REF!*Crescimento!#REF!)</f>
        <v>#REF!</v>
      </c>
      <c r="CE80" s="6" t="e">
        <f>(CF79+(Crescimento!#REF!-(CF79*0.64))/0.8)/1000</f>
        <v>#REF!</v>
      </c>
      <c r="CF80" s="7" t="e">
        <f>-53.07 + (304.89 * (CE80)) + (90.79 *Crescimento!#REF!) - (3.13 * Crescimento!#REF!*Crescimento!#REF!)</f>
        <v>#REF!</v>
      </c>
      <c r="CH80" s="6" t="e">
        <f>(CI79+(Crescimento!#REF!-(CI79*0.64))/0.8)/1000</f>
        <v>#REF!</v>
      </c>
      <c r="CI80" s="7" t="e">
        <f>-53.07 + (304.89 * (CH80)) + (90.79 *Crescimento!#REF!) - (3.13 * Crescimento!#REF!*Crescimento!#REF!)</f>
        <v>#REF!</v>
      </c>
      <c r="CJ80" s="1"/>
      <c r="CK80" s="6" t="e">
        <f>(CL79+(Crescimento!#REF!-(CL79*0.64))/0.8)/1000</f>
        <v>#REF!</v>
      </c>
      <c r="CL80" s="7" t="e">
        <f>-53.07 + (304.89 * (CK80)) + (90.79 *Crescimento!#REF!) - (3.13 * Crescimento!#REF!*Crescimento!#REF!)</f>
        <v>#REF!</v>
      </c>
      <c r="CN80" s="6" t="e">
        <f>(CO79+(Crescimento!#REF!-(CO79*0.64))/0.8)/1000</f>
        <v>#REF!</v>
      </c>
      <c r="CO80" s="7" t="e">
        <f>-53.07 + (304.89 * (CN80)) + (90.79 *Crescimento!#REF!) - (3.13 * Crescimento!#REF!*Crescimento!#REF!)</f>
        <v>#REF!</v>
      </c>
      <c r="CQ80" s="6" t="e">
        <f>(CR79+(Crescimento!#REF!-(CR79*0.64))/0.8)/1000</f>
        <v>#REF!</v>
      </c>
      <c r="CR80" s="7" t="e">
        <f>-53.07 + (304.89 * (CQ80)) + (90.79 *Crescimento!#REF!) - (3.13 * Crescimento!#REF!*Crescimento!#REF!)</f>
        <v>#REF!</v>
      </c>
    </row>
    <row r="81" spans="2:96" x14ac:dyDescent="0.25">
      <c r="B81" s="6">
        <f>(C80+(Crescimento!$Q$27-(C80*0.64))/0.8)/1000</f>
        <v>1.1187993738011861</v>
      </c>
      <c r="C81" s="8">
        <f>-53.07 + (304.89 * (B81)) + (90.79 *Crescimento!$Q$20) - (3.13 * Crescimento!$Q$20*Crescimento!$Q$20)</f>
        <v>757.4287040082213</v>
      </c>
      <c r="D81" s="1"/>
      <c r="E81" s="6" t="e">
        <f>(F80+(Crescimento!#REF!-(F80*0.64))/0.8)/1000</f>
        <v>#REF!</v>
      </c>
      <c r="F81" s="7" t="e">
        <f>-53.07 + (304.89 * (E81)) + (90.79 *Crescimento!#REF!) - (3.13 * Crescimento!#REF!*Crescimento!#REF!)</f>
        <v>#REF!</v>
      </c>
      <c r="H81" s="6" t="e">
        <f>(I80+(Crescimento!#REF!-(I80*0.64))/0.8)/1000</f>
        <v>#REF!</v>
      </c>
      <c r="I81" s="7" t="e">
        <f>-53.07 + (304.89 * (H81)) + (90.79 *Crescimento!#REF!) - (3.13 * Crescimento!#REF!*Crescimento!#REF!)</f>
        <v>#REF!</v>
      </c>
      <c r="K81" s="6" t="e">
        <f>(L80+(Crescimento!#REF!-(L80*0.64))/0.8)/1000</f>
        <v>#REF!</v>
      </c>
      <c r="L81" s="7" t="e">
        <f>-53.07 + (304.89 * (K81)) + (90.79 *Crescimento!#REF!) - (3.13 * Crescimento!#REF!*Crescimento!#REF!)</f>
        <v>#REF!</v>
      </c>
      <c r="N81" s="6" t="e">
        <f>(O80+(Crescimento!#REF!-(O80*0.64))/0.8)/1000</f>
        <v>#REF!</v>
      </c>
      <c r="O81" s="7" t="e">
        <f>-53.07 + (304.89 * (N81)) + (90.79 *Crescimento!#REF!) - (3.13 * Crescimento!#REF!*Crescimento!#REF!)</f>
        <v>#REF!</v>
      </c>
      <c r="P81" s="1"/>
      <c r="Q81" s="6" t="e">
        <f>(R80+(Crescimento!#REF!-(R80*0.64))/0.8)/1000</f>
        <v>#REF!</v>
      </c>
      <c r="R81" s="7" t="e">
        <f>-53.07 + (304.89 * (Q81)) + (90.79 *Crescimento!#REF!) - (3.13 * Crescimento!#REF!*Crescimento!#REF!)</f>
        <v>#REF!</v>
      </c>
      <c r="T81" s="6" t="e">
        <f>(U80+(Crescimento!#REF!-(U80*0.64))/0.8)/1000</f>
        <v>#REF!</v>
      </c>
      <c r="U81" s="7" t="e">
        <f>-53.07 + (304.89 * (T81)) + (90.79 *Crescimento!#REF!) - (3.13 * Crescimento!#REF!*Crescimento!#REF!)</f>
        <v>#REF!</v>
      </c>
      <c r="W81" s="6" t="e">
        <f>(X80+(Crescimento!#REF!-(X80*0.64))/0.8)/1000</f>
        <v>#REF!</v>
      </c>
      <c r="X81" s="7" t="e">
        <f>-53.07 + (304.89 * (W81)) + (90.79 *Crescimento!#REF!) - (3.13 * Crescimento!#REF!*Crescimento!#REF!)</f>
        <v>#REF!</v>
      </c>
      <c r="Z81" s="6" t="e">
        <f>(AA80+(Crescimento!#REF!-(AA80*0.64))/0.8)/1000</f>
        <v>#REF!</v>
      </c>
      <c r="AA81" s="7" t="e">
        <f>-53.07 + (304.89 * (Z81)) + (90.79 *Crescimento!#REF!) - (3.13 * Crescimento!#REF!*Crescimento!#REF!)</f>
        <v>#REF!</v>
      </c>
      <c r="AB81" s="1"/>
      <c r="AC81" s="6" t="e">
        <f>(AD80+(Crescimento!#REF!-(AD80*0.64))/0.8)/1000</f>
        <v>#REF!</v>
      </c>
      <c r="AD81" s="7" t="e">
        <f>-53.07 + (304.89 * (AC81)) + (90.79 *Crescimento!#REF!) - (3.13 * Crescimento!#REF!*Crescimento!#REF!)</f>
        <v>#REF!</v>
      </c>
      <c r="AF81" s="6" t="e">
        <f>(AG80+(Crescimento!#REF!-(AG80*0.64))/0.8)/1000</f>
        <v>#REF!</v>
      </c>
      <c r="AG81" s="7" t="e">
        <f>-53.07 + (304.89 * (AF81)) + (90.79 *Crescimento!#REF!) - (3.13 * Crescimento!#REF!*Crescimento!#REF!)</f>
        <v>#REF!</v>
      </c>
      <c r="AI81" s="6" t="e">
        <f>(AJ80+(Crescimento!#REF!-(AJ80*0.64))/0.8)/1000</f>
        <v>#REF!</v>
      </c>
      <c r="AJ81" s="7" t="e">
        <f>-53.07 + (304.89 * (AI81)) + (90.79 *Crescimento!#REF!) - (3.13 * Crescimento!#REF!*Crescimento!#REF!)</f>
        <v>#REF!</v>
      </c>
      <c r="AL81" s="6" t="e">
        <f>(AM80+(Crescimento!#REF!-(AM80*0.64))/0.8)/1000</f>
        <v>#REF!</v>
      </c>
      <c r="AM81" s="7" t="e">
        <f>-53.07 + (304.89 * (AL81)) + (90.79 *Crescimento!#REF!) - (3.13 * Crescimento!#REF!*Crescimento!#REF!)</f>
        <v>#REF!</v>
      </c>
      <c r="AN81" s="1"/>
      <c r="AO81" s="6" t="e">
        <f>(AP80+(Crescimento!#REF!-(AP80*0.64))/0.8)/1000</f>
        <v>#REF!</v>
      </c>
      <c r="AP81" s="7" t="e">
        <f>-53.07 + (304.89 * (AO81)) + (90.79 *Crescimento!#REF!) - (3.13 * Crescimento!#REF!*Crescimento!#REF!)</f>
        <v>#REF!</v>
      </c>
      <c r="AR81" s="6" t="e">
        <f>(AS80+(Crescimento!#REF!-(AS80*0.64))/0.8)/1000</f>
        <v>#REF!</v>
      </c>
      <c r="AS81" s="7" t="e">
        <f>-53.07 + (304.89 * (AR81)) + (90.79 *Crescimento!#REF!) - (3.13 * Crescimento!#REF!*Crescimento!#REF!)</f>
        <v>#REF!</v>
      </c>
      <c r="AU81" s="6" t="e">
        <f>(AV80+(Crescimento!#REF!-(AV80*0.64))/0.8)/1000</f>
        <v>#REF!</v>
      </c>
      <c r="AV81" s="7" t="e">
        <f>-53.07 + (304.89 * (AU81)) + (90.79 *Crescimento!#REF!) - (3.13 * Crescimento!#REF!*Crescimento!#REF!)</f>
        <v>#REF!</v>
      </c>
      <c r="AX81" s="6" t="e">
        <f>(AY80+(Crescimento!#REF!-(AY80*0.64))/0.8)/1000</f>
        <v>#REF!</v>
      </c>
      <c r="AY81" s="7" t="e">
        <f>-53.07 + (304.89 * (AX81)) + (90.79 *Crescimento!#REF!) - (3.13 * Crescimento!#REF!*Crescimento!#REF!)</f>
        <v>#REF!</v>
      </c>
      <c r="AZ81" s="1"/>
      <c r="BA81" s="6" t="e">
        <f>(BB80+(Crescimento!#REF!-(BB80*0.64))/0.8)/1000</f>
        <v>#REF!</v>
      </c>
      <c r="BB81" s="7" t="e">
        <f>-53.07 + (304.89 * (BA81)) + (90.79 *Crescimento!#REF!) - (3.13 * Crescimento!#REF!*Crescimento!#REF!)</f>
        <v>#REF!</v>
      </c>
      <c r="BD81" s="6" t="e">
        <f>(BE80+(Crescimento!#REF!-(BE80*0.64))/0.8)/1000</f>
        <v>#REF!</v>
      </c>
      <c r="BE81" s="7" t="e">
        <f>-53.07 + (304.89 * (BD81)) + (90.79 *Crescimento!#REF!) - (3.13 * Crescimento!#REF!*Crescimento!#REF!)</f>
        <v>#REF!</v>
      </c>
      <c r="BG81" s="6" t="e">
        <f>(BH80+(Crescimento!#REF!-(BH80*0.64))/0.8)/1000</f>
        <v>#REF!</v>
      </c>
      <c r="BH81" s="7" t="e">
        <f>-53.07 + (304.89 * (BG81)) + (90.79 *Crescimento!#REF!) - (3.13 * Crescimento!#REF!*Crescimento!#REF!)</f>
        <v>#REF!</v>
      </c>
      <c r="BJ81" s="6" t="e">
        <f>(BK80+(Crescimento!#REF!-(BK80*0.64))/0.8)/1000</f>
        <v>#REF!</v>
      </c>
      <c r="BK81" s="7" t="e">
        <f>-53.07 + (304.89 * (BJ81)) + (90.79 *Crescimento!#REF!) - (3.13 * Crescimento!#REF!*Crescimento!#REF!)</f>
        <v>#REF!</v>
      </c>
      <c r="BL81" s="1"/>
      <c r="BM81" s="6" t="e">
        <f>(BN80+(Crescimento!#REF!-(BN80*0.64))/0.8)/1000</f>
        <v>#REF!</v>
      </c>
      <c r="BN81" s="7" t="e">
        <f>-53.07 + (304.89 * (BM81)) + (90.79 *Crescimento!#REF!) - (3.13 * Crescimento!#REF!*Crescimento!#REF!)</f>
        <v>#REF!</v>
      </c>
      <c r="BP81" s="6" t="e">
        <f>(BQ80+(Crescimento!#REF!-(BQ80*0.64))/0.8)/1000</f>
        <v>#REF!</v>
      </c>
      <c r="BQ81" s="7" t="e">
        <f>-53.07 + (304.89 * (BP81)) + (90.79 *Crescimento!#REF!) - (3.13 * Crescimento!#REF!*Crescimento!#REF!)</f>
        <v>#REF!</v>
      </c>
      <c r="BS81" s="6" t="e">
        <f>(BT80+(Crescimento!#REF!-(BT80*0.64))/0.8)/1000</f>
        <v>#REF!</v>
      </c>
      <c r="BT81" s="7" t="e">
        <f>-53.07 + (304.89 * (BS81)) + (90.79 *Crescimento!#REF!) - (3.13 * Crescimento!#REF!*Crescimento!#REF!)</f>
        <v>#REF!</v>
      </c>
      <c r="BV81" s="6" t="e">
        <f>(BW80+(Crescimento!#REF!-(BW80*0.64))/0.8)/1000</f>
        <v>#REF!</v>
      </c>
      <c r="BW81" s="7" t="e">
        <f>-53.07 + (304.89 * (BV81)) + (90.79 *Crescimento!#REF!) - (3.13 * Crescimento!#REF!*Crescimento!#REF!)</f>
        <v>#REF!</v>
      </c>
      <c r="BX81" s="1"/>
      <c r="BY81" s="6" t="e">
        <f>(BZ80+(Crescimento!#REF!-(BZ80*0.64))/0.8)/1000</f>
        <v>#REF!</v>
      </c>
      <c r="BZ81" s="7" t="e">
        <f>-53.07 + (304.89 * (BY81)) + (90.79 *Crescimento!#REF!) - (3.13 * Crescimento!#REF!*Crescimento!#REF!)</f>
        <v>#REF!</v>
      </c>
      <c r="CB81" s="6" t="e">
        <f>(CC80+(Crescimento!#REF!-(CC80*0.64))/0.8)/1000</f>
        <v>#REF!</v>
      </c>
      <c r="CC81" s="7" t="e">
        <f>-53.07 + (304.89 * (CB81)) + (90.79 *Crescimento!#REF!) - (3.13 * Crescimento!#REF!*Crescimento!#REF!)</f>
        <v>#REF!</v>
      </c>
      <c r="CE81" s="6" t="e">
        <f>(CF80+(Crescimento!#REF!-(CF80*0.64))/0.8)/1000</f>
        <v>#REF!</v>
      </c>
      <c r="CF81" s="7" t="e">
        <f>-53.07 + (304.89 * (CE81)) + (90.79 *Crescimento!#REF!) - (3.13 * Crescimento!#REF!*Crescimento!#REF!)</f>
        <v>#REF!</v>
      </c>
      <c r="CH81" s="6" t="e">
        <f>(CI80+(Crescimento!#REF!-(CI80*0.64))/0.8)/1000</f>
        <v>#REF!</v>
      </c>
      <c r="CI81" s="7" t="e">
        <f>-53.07 + (304.89 * (CH81)) + (90.79 *Crescimento!#REF!) - (3.13 * Crescimento!#REF!*Crescimento!#REF!)</f>
        <v>#REF!</v>
      </c>
      <c r="CJ81" s="1"/>
      <c r="CK81" s="6" t="e">
        <f>(CL80+(Crescimento!#REF!-(CL80*0.64))/0.8)/1000</f>
        <v>#REF!</v>
      </c>
      <c r="CL81" s="7" t="e">
        <f>-53.07 + (304.89 * (CK81)) + (90.79 *Crescimento!#REF!) - (3.13 * Crescimento!#REF!*Crescimento!#REF!)</f>
        <v>#REF!</v>
      </c>
      <c r="CN81" s="6" t="e">
        <f>(CO80+(Crescimento!#REF!-(CO80*0.64))/0.8)/1000</f>
        <v>#REF!</v>
      </c>
      <c r="CO81" s="7" t="e">
        <f>-53.07 + (304.89 * (CN81)) + (90.79 *Crescimento!#REF!) - (3.13 * Crescimento!#REF!*Crescimento!#REF!)</f>
        <v>#REF!</v>
      </c>
      <c r="CQ81" s="6" t="e">
        <f>(CR80+(Crescimento!#REF!-(CR80*0.64))/0.8)/1000</f>
        <v>#REF!</v>
      </c>
      <c r="CR81" s="7" t="e">
        <f>-53.07 + (304.89 * (CQ81)) + (90.79 *Crescimento!#REF!) - (3.13 * Crescimento!#REF!*Crescimento!#REF!)</f>
        <v>#REF!</v>
      </c>
    </row>
    <row r="82" spans="2:96" x14ac:dyDescent="0.25">
      <c r="B82" s="6">
        <f>(C81+(Crescimento!$Q$27-(C81*0.64))/0.8)/1000</f>
        <v>1.1187993738011861</v>
      </c>
      <c r="C82" s="8">
        <f>-53.07 + (304.89 * (B82)) + (90.79 *Crescimento!$Q$20) - (3.13 * Crescimento!$Q$20*Crescimento!$Q$20)</f>
        <v>757.4287040082213</v>
      </c>
      <c r="D82" s="1"/>
      <c r="E82" s="6" t="e">
        <f>(F81+(Crescimento!#REF!-(F81*0.64))/0.8)/1000</f>
        <v>#REF!</v>
      </c>
      <c r="F82" s="7" t="e">
        <f>-53.07 + (304.89 * (E82)) + (90.79 *Crescimento!#REF!) - (3.13 * Crescimento!#REF!*Crescimento!#REF!)</f>
        <v>#REF!</v>
      </c>
      <c r="H82" s="6" t="e">
        <f>(I81+(Crescimento!#REF!-(I81*0.64))/0.8)/1000</f>
        <v>#REF!</v>
      </c>
      <c r="I82" s="7" t="e">
        <f>-53.07 + (304.89 * (H82)) + (90.79 *Crescimento!#REF!) - (3.13 * Crescimento!#REF!*Crescimento!#REF!)</f>
        <v>#REF!</v>
      </c>
      <c r="K82" s="6" t="e">
        <f>(L81+(Crescimento!#REF!-(L81*0.64))/0.8)/1000</f>
        <v>#REF!</v>
      </c>
      <c r="L82" s="7" t="e">
        <f>-53.07 + (304.89 * (K82)) + (90.79 *Crescimento!#REF!) - (3.13 * Crescimento!#REF!*Crescimento!#REF!)</f>
        <v>#REF!</v>
      </c>
      <c r="N82" s="6" t="e">
        <f>(O81+(Crescimento!#REF!-(O81*0.64))/0.8)/1000</f>
        <v>#REF!</v>
      </c>
      <c r="O82" s="7" t="e">
        <f>-53.07 + (304.89 * (N82)) + (90.79 *Crescimento!#REF!) - (3.13 * Crescimento!#REF!*Crescimento!#REF!)</f>
        <v>#REF!</v>
      </c>
      <c r="P82" s="1"/>
      <c r="Q82" s="6" t="e">
        <f>(R81+(Crescimento!#REF!-(R81*0.64))/0.8)/1000</f>
        <v>#REF!</v>
      </c>
      <c r="R82" s="7" t="e">
        <f>-53.07 + (304.89 * (Q82)) + (90.79 *Crescimento!#REF!) - (3.13 * Crescimento!#REF!*Crescimento!#REF!)</f>
        <v>#REF!</v>
      </c>
      <c r="T82" s="6" t="e">
        <f>(U81+(Crescimento!#REF!-(U81*0.64))/0.8)/1000</f>
        <v>#REF!</v>
      </c>
      <c r="U82" s="7" t="e">
        <f>-53.07 + (304.89 * (T82)) + (90.79 *Crescimento!#REF!) - (3.13 * Crescimento!#REF!*Crescimento!#REF!)</f>
        <v>#REF!</v>
      </c>
      <c r="W82" s="6" t="e">
        <f>(X81+(Crescimento!#REF!-(X81*0.64))/0.8)/1000</f>
        <v>#REF!</v>
      </c>
      <c r="X82" s="7" t="e">
        <f>-53.07 + (304.89 * (W82)) + (90.79 *Crescimento!#REF!) - (3.13 * Crescimento!#REF!*Crescimento!#REF!)</f>
        <v>#REF!</v>
      </c>
      <c r="Z82" s="6" t="e">
        <f>(AA81+(Crescimento!#REF!-(AA81*0.64))/0.8)/1000</f>
        <v>#REF!</v>
      </c>
      <c r="AA82" s="7" t="e">
        <f>-53.07 + (304.89 * (Z82)) + (90.79 *Crescimento!#REF!) - (3.13 * Crescimento!#REF!*Crescimento!#REF!)</f>
        <v>#REF!</v>
      </c>
      <c r="AB82" s="1"/>
      <c r="AC82" s="6" t="e">
        <f>(AD81+(Crescimento!#REF!-(AD81*0.64))/0.8)/1000</f>
        <v>#REF!</v>
      </c>
      <c r="AD82" s="7" t="e">
        <f>-53.07 + (304.89 * (AC82)) + (90.79 *Crescimento!#REF!) - (3.13 * Crescimento!#REF!*Crescimento!#REF!)</f>
        <v>#REF!</v>
      </c>
      <c r="AF82" s="6" t="e">
        <f>(AG81+(Crescimento!#REF!-(AG81*0.64))/0.8)/1000</f>
        <v>#REF!</v>
      </c>
      <c r="AG82" s="7" t="e">
        <f>-53.07 + (304.89 * (AF82)) + (90.79 *Crescimento!#REF!) - (3.13 * Crescimento!#REF!*Crescimento!#REF!)</f>
        <v>#REF!</v>
      </c>
      <c r="AI82" s="6" t="e">
        <f>(AJ81+(Crescimento!#REF!-(AJ81*0.64))/0.8)/1000</f>
        <v>#REF!</v>
      </c>
      <c r="AJ82" s="7" t="e">
        <f>-53.07 + (304.89 * (AI82)) + (90.79 *Crescimento!#REF!) - (3.13 * Crescimento!#REF!*Crescimento!#REF!)</f>
        <v>#REF!</v>
      </c>
      <c r="AL82" s="6" t="e">
        <f>(AM81+(Crescimento!#REF!-(AM81*0.64))/0.8)/1000</f>
        <v>#REF!</v>
      </c>
      <c r="AM82" s="7" t="e">
        <f>-53.07 + (304.89 * (AL82)) + (90.79 *Crescimento!#REF!) - (3.13 * Crescimento!#REF!*Crescimento!#REF!)</f>
        <v>#REF!</v>
      </c>
      <c r="AN82" s="1"/>
      <c r="AO82" s="6" t="e">
        <f>(AP81+(Crescimento!#REF!-(AP81*0.64))/0.8)/1000</f>
        <v>#REF!</v>
      </c>
      <c r="AP82" s="7" t="e">
        <f>-53.07 + (304.89 * (AO82)) + (90.79 *Crescimento!#REF!) - (3.13 * Crescimento!#REF!*Crescimento!#REF!)</f>
        <v>#REF!</v>
      </c>
      <c r="AR82" s="6" t="e">
        <f>(AS81+(Crescimento!#REF!-(AS81*0.64))/0.8)/1000</f>
        <v>#REF!</v>
      </c>
      <c r="AS82" s="7" t="e">
        <f>-53.07 + (304.89 * (AR82)) + (90.79 *Crescimento!#REF!) - (3.13 * Crescimento!#REF!*Crescimento!#REF!)</f>
        <v>#REF!</v>
      </c>
      <c r="AU82" s="6" t="e">
        <f>(AV81+(Crescimento!#REF!-(AV81*0.64))/0.8)/1000</f>
        <v>#REF!</v>
      </c>
      <c r="AV82" s="7" t="e">
        <f>-53.07 + (304.89 * (AU82)) + (90.79 *Crescimento!#REF!) - (3.13 * Crescimento!#REF!*Crescimento!#REF!)</f>
        <v>#REF!</v>
      </c>
      <c r="AX82" s="6" t="e">
        <f>(AY81+(Crescimento!#REF!-(AY81*0.64))/0.8)/1000</f>
        <v>#REF!</v>
      </c>
      <c r="AY82" s="7" t="e">
        <f>-53.07 + (304.89 * (AX82)) + (90.79 *Crescimento!#REF!) - (3.13 * Crescimento!#REF!*Crescimento!#REF!)</f>
        <v>#REF!</v>
      </c>
      <c r="AZ82" s="1"/>
      <c r="BA82" s="6" t="e">
        <f>(BB81+(Crescimento!#REF!-(BB81*0.64))/0.8)/1000</f>
        <v>#REF!</v>
      </c>
      <c r="BB82" s="7" t="e">
        <f>-53.07 + (304.89 * (BA82)) + (90.79 *Crescimento!#REF!) - (3.13 * Crescimento!#REF!*Crescimento!#REF!)</f>
        <v>#REF!</v>
      </c>
      <c r="BD82" s="6" t="e">
        <f>(BE81+(Crescimento!#REF!-(BE81*0.64))/0.8)/1000</f>
        <v>#REF!</v>
      </c>
      <c r="BE82" s="7" t="e">
        <f>-53.07 + (304.89 * (BD82)) + (90.79 *Crescimento!#REF!) - (3.13 * Crescimento!#REF!*Crescimento!#REF!)</f>
        <v>#REF!</v>
      </c>
      <c r="BG82" s="6" t="e">
        <f>(BH81+(Crescimento!#REF!-(BH81*0.64))/0.8)/1000</f>
        <v>#REF!</v>
      </c>
      <c r="BH82" s="7" t="e">
        <f>-53.07 + (304.89 * (BG82)) + (90.79 *Crescimento!#REF!) - (3.13 * Crescimento!#REF!*Crescimento!#REF!)</f>
        <v>#REF!</v>
      </c>
      <c r="BJ82" s="6" t="e">
        <f>(BK81+(Crescimento!#REF!-(BK81*0.64))/0.8)/1000</f>
        <v>#REF!</v>
      </c>
      <c r="BK82" s="7" t="e">
        <f>-53.07 + (304.89 * (BJ82)) + (90.79 *Crescimento!#REF!) - (3.13 * Crescimento!#REF!*Crescimento!#REF!)</f>
        <v>#REF!</v>
      </c>
      <c r="BL82" s="1"/>
      <c r="BM82" s="6" t="e">
        <f>(BN81+(Crescimento!#REF!-(BN81*0.64))/0.8)/1000</f>
        <v>#REF!</v>
      </c>
      <c r="BN82" s="7" t="e">
        <f>-53.07 + (304.89 * (BM82)) + (90.79 *Crescimento!#REF!) - (3.13 * Crescimento!#REF!*Crescimento!#REF!)</f>
        <v>#REF!</v>
      </c>
      <c r="BP82" s="6" t="e">
        <f>(BQ81+(Crescimento!#REF!-(BQ81*0.64))/0.8)/1000</f>
        <v>#REF!</v>
      </c>
      <c r="BQ82" s="7" t="e">
        <f>-53.07 + (304.89 * (BP82)) + (90.79 *Crescimento!#REF!) - (3.13 * Crescimento!#REF!*Crescimento!#REF!)</f>
        <v>#REF!</v>
      </c>
      <c r="BS82" s="6" t="e">
        <f>(BT81+(Crescimento!#REF!-(BT81*0.64))/0.8)/1000</f>
        <v>#REF!</v>
      </c>
      <c r="BT82" s="7" t="e">
        <f>-53.07 + (304.89 * (BS82)) + (90.79 *Crescimento!#REF!) - (3.13 * Crescimento!#REF!*Crescimento!#REF!)</f>
        <v>#REF!</v>
      </c>
      <c r="BV82" s="6" t="e">
        <f>(BW81+(Crescimento!#REF!-(BW81*0.64))/0.8)/1000</f>
        <v>#REF!</v>
      </c>
      <c r="BW82" s="7" t="e">
        <f>-53.07 + (304.89 * (BV82)) + (90.79 *Crescimento!#REF!) - (3.13 * Crescimento!#REF!*Crescimento!#REF!)</f>
        <v>#REF!</v>
      </c>
      <c r="BX82" s="1"/>
      <c r="BY82" s="6" t="e">
        <f>(BZ81+(Crescimento!#REF!-(BZ81*0.64))/0.8)/1000</f>
        <v>#REF!</v>
      </c>
      <c r="BZ82" s="7" t="e">
        <f>-53.07 + (304.89 * (BY82)) + (90.79 *Crescimento!#REF!) - (3.13 * Crescimento!#REF!*Crescimento!#REF!)</f>
        <v>#REF!</v>
      </c>
      <c r="CB82" s="6" t="e">
        <f>(CC81+(Crescimento!#REF!-(CC81*0.64))/0.8)/1000</f>
        <v>#REF!</v>
      </c>
      <c r="CC82" s="7" t="e">
        <f>-53.07 + (304.89 * (CB82)) + (90.79 *Crescimento!#REF!) - (3.13 * Crescimento!#REF!*Crescimento!#REF!)</f>
        <v>#REF!</v>
      </c>
      <c r="CE82" s="6" t="e">
        <f>(CF81+(Crescimento!#REF!-(CF81*0.64))/0.8)/1000</f>
        <v>#REF!</v>
      </c>
      <c r="CF82" s="7" t="e">
        <f>-53.07 + (304.89 * (CE82)) + (90.79 *Crescimento!#REF!) - (3.13 * Crescimento!#REF!*Crescimento!#REF!)</f>
        <v>#REF!</v>
      </c>
      <c r="CH82" s="6" t="e">
        <f>(CI81+(Crescimento!#REF!-(CI81*0.64))/0.8)/1000</f>
        <v>#REF!</v>
      </c>
      <c r="CI82" s="7" t="e">
        <f>-53.07 + (304.89 * (CH82)) + (90.79 *Crescimento!#REF!) - (3.13 * Crescimento!#REF!*Crescimento!#REF!)</f>
        <v>#REF!</v>
      </c>
      <c r="CJ82" s="1"/>
      <c r="CK82" s="6" t="e">
        <f>(CL81+(Crescimento!#REF!-(CL81*0.64))/0.8)/1000</f>
        <v>#REF!</v>
      </c>
      <c r="CL82" s="7" t="e">
        <f>-53.07 + (304.89 * (CK82)) + (90.79 *Crescimento!#REF!) - (3.13 * Crescimento!#REF!*Crescimento!#REF!)</f>
        <v>#REF!</v>
      </c>
      <c r="CN82" s="6" t="e">
        <f>(CO81+(Crescimento!#REF!-(CO81*0.64))/0.8)/1000</f>
        <v>#REF!</v>
      </c>
      <c r="CO82" s="7" t="e">
        <f>-53.07 + (304.89 * (CN82)) + (90.79 *Crescimento!#REF!) - (3.13 * Crescimento!#REF!*Crescimento!#REF!)</f>
        <v>#REF!</v>
      </c>
      <c r="CQ82" s="6" t="e">
        <f>(CR81+(Crescimento!#REF!-(CR81*0.64))/0.8)/1000</f>
        <v>#REF!</v>
      </c>
      <c r="CR82" s="7" t="e">
        <f>-53.07 + (304.89 * (CQ82)) + (90.79 *Crescimento!#REF!) - (3.13 * Crescimento!#REF!*Crescimento!#REF!)</f>
        <v>#REF!</v>
      </c>
    </row>
    <row r="83" spans="2:96" x14ac:dyDescent="0.25">
      <c r="B83" s="6">
        <f>(C82+(Crescimento!$Q$27-(C82*0.64))/0.8)/1000</f>
        <v>1.1187993738011861</v>
      </c>
      <c r="C83" s="8">
        <f>-53.07 + (304.89 * (B83)) + (90.79 *Crescimento!$Q$20) - (3.13 * Crescimento!$Q$20*Crescimento!$Q$20)</f>
        <v>757.4287040082213</v>
      </c>
      <c r="D83" s="1"/>
      <c r="E83" s="6" t="e">
        <f>(F82+(Crescimento!#REF!-(F82*0.64))/0.8)/1000</f>
        <v>#REF!</v>
      </c>
      <c r="F83" s="7" t="e">
        <f>-53.07 + (304.89 * (E83)) + (90.79 *Crescimento!#REF!) - (3.13 * Crescimento!#REF!*Crescimento!#REF!)</f>
        <v>#REF!</v>
      </c>
      <c r="H83" s="6" t="e">
        <f>(I82+(Crescimento!#REF!-(I82*0.64))/0.8)/1000</f>
        <v>#REF!</v>
      </c>
      <c r="I83" s="7" t="e">
        <f>-53.07 + (304.89 * (H83)) + (90.79 *Crescimento!#REF!) - (3.13 * Crescimento!#REF!*Crescimento!#REF!)</f>
        <v>#REF!</v>
      </c>
      <c r="K83" s="6" t="e">
        <f>(L82+(Crescimento!#REF!-(L82*0.64))/0.8)/1000</f>
        <v>#REF!</v>
      </c>
      <c r="L83" s="7" t="e">
        <f>-53.07 + (304.89 * (K83)) + (90.79 *Crescimento!#REF!) - (3.13 * Crescimento!#REF!*Crescimento!#REF!)</f>
        <v>#REF!</v>
      </c>
      <c r="N83" s="6" t="e">
        <f>(O82+(Crescimento!#REF!-(O82*0.64))/0.8)/1000</f>
        <v>#REF!</v>
      </c>
      <c r="O83" s="7" t="e">
        <f>-53.07 + (304.89 * (N83)) + (90.79 *Crescimento!#REF!) - (3.13 * Crescimento!#REF!*Crescimento!#REF!)</f>
        <v>#REF!</v>
      </c>
      <c r="P83" s="1"/>
      <c r="Q83" s="6" t="e">
        <f>(R82+(Crescimento!#REF!-(R82*0.64))/0.8)/1000</f>
        <v>#REF!</v>
      </c>
      <c r="R83" s="7" t="e">
        <f>-53.07 + (304.89 * (Q83)) + (90.79 *Crescimento!#REF!) - (3.13 * Crescimento!#REF!*Crescimento!#REF!)</f>
        <v>#REF!</v>
      </c>
      <c r="T83" s="6" t="e">
        <f>(U82+(Crescimento!#REF!-(U82*0.64))/0.8)/1000</f>
        <v>#REF!</v>
      </c>
      <c r="U83" s="7" t="e">
        <f>-53.07 + (304.89 * (T83)) + (90.79 *Crescimento!#REF!) - (3.13 * Crescimento!#REF!*Crescimento!#REF!)</f>
        <v>#REF!</v>
      </c>
      <c r="W83" s="6" t="e">
        <f>(X82+(Crescimento!#REF!-(X82*0.64))/0.8)/1000</f>
        <v>#REF!</v>
      </c>
      <c r="X83" s="7" t="e">
        <f>-53.07 + (304.89 * (W83)) + (90.79 *Crescimento!#REF!) - (3.13 * Crescimento!#REF!*Crescimento!#REF!)</f>
        <v>#REF!</v>
      </c>
      <c r="Z83" s="6" t="e">
        <f>(AA82+(Crescimento!#REF!-(AA82*0.64))/0.8)/1000</f>
        <v>#REF!</v>
      </c>
      <c r="AA83" s="7" t="e">
        <f>-53.07 + (304.89 * (Z83)) + (90.79 *Crescimento!#REF!) - (3.13 * Crescimento!#REF!*Crescimento!#REF!)</f>
        <v>#REF!</v>
      </c>
      <c r="AB83" s="1"/>
      <c r="AC83" s="6" t="e">
        <f>(AD82+(Crescimento!#REF!-(AD82*0.64))/0.8)/1000</f>
        <v>#REF!</v>
      </c>
      <c r="AD83" s="7" t="e">
        <f>-53.07 + (304.89 * (AC83)) + (90.79 *Crescimento!#REF!) - (3.13 * Crescimento!#REF!*Crescimento!#REF!)</f>
        <v>#REF!</v>
      </c>
      <c r="AF83" s="6" t="e">
        <f>(AG82+(Crescimento!#REF!-(AG82*0.64))/0.8)/1000</f>
        <v>#REF!</v>
      </c>
      <c r="AG83" s="7" t="e">
        <f>-53.07 + (304.89 * (AF83)) + (90.79 *Crescimento!#REF!) - (3.13 * Crescimento!#REF!*Crescimento!#REF!)</f>
        <v>#REF!</v>
      </c>
      <c r="AI83" s="6" t="e">
        <f>(AJ82+(Crescimento!#REF!-(AJ82*0.64))/0.8)/1000</f>
        <v>#REF!</v>
      </c>
      <c r="AJ83" s="7" t="e">
        <f>-53.07 + (304.89 * (AI83)) + (90.79 *Crescimento!#REF!) - (3.13 * Crescimento!#REF!*Crescimento!#REF!)</f>
        <v>#REF!</v>
      </c>
      <c r="AL83" s="6" t="e">
        <f>(AM82+(Crescimento!#REF!-(AM82*0.64))/0.8)/1000</f>
        <v>#REF!</v>
      </c>
      <c r="AM83" s="7" t="e">
        <f>-53.07 + (304.89 * (AL83)) + (90.79 *Crescimento!#REF!) - (3.13 * Crescimento!#REF!*Crescimento!#REF!)</f>
        <v>#REF!</v>
      </c>
      <c r="AN83" s="1"/>
      <c r="AO83" s="6" t="e">
        <f>(AP82+(Crescimento!#REF!-(AP82*0.64))/0.8)/1000</f>
        <v>#REF!</v>
      </c>
      <c r="AP83" s="7" t="e">
        <f>-53.07 + (304.89 * (AO83)) + (90.79 *Crescimento!#REF!) - (3.13 * Crescimento!#REF!*Crescimento!#REF!)</f>
        <v>#REF!</v>
      </c>
      <c r="AR83" s="6" t="e">
        <f>(AS82+(Crescimento!#REF!-(AS82*0.64))/0.8)/1000</f>
        <v>#REF!</v>
      </c>
      <c r="AS83" s="7" t="e">
        <f>-53.07 + (304.89 * (AR83)) + (90.79 *Crescimento!#REF!) - (3.13 * Crescimento!#REF!*Crescimento!#REF!)</f>
        <v>#REF!</v>
      </c>
      <c r="AU83" s="6" t="e">
        <f>(AV82+(Crescimento!#REF!-(AV82*0.64))/0.8)/1000</f>
        <v>#REF!</v>
      </c>
      <c r="AV83" s="7" t="e">
        <f>-53.07 + (304.89 * (AU83)) + (90.79 *Crescimento!#REF!) - (3.13 * Crescimento!#REF!*Crescimento!#REF!)</f>
        <v>#REF!</v>
      </c>
      <c r="AX83" s="6" t="e">
        <f>(AY82+(Crescimento!#REF!-(AY82*0.64))/0.8)/1000</f>
        <v>#REF!</v>
      </c>
      <c r="AY83" s="7" t="e">
        <f>-53.07 + (304.89 * (AX83)) + (90.79 *Crescimento!#REF!) - (3.13 * Crescimento!#REF!*Crescimento!#REF!)</f>
        <v>#REF!</v>
      </c>
      <c r="AZ83" s="1"/>
      <c r="BA83" s="6" t="e">
        <f>(BB82+(Crescimento!#REF!-(BB82*0.64))/0.8)/1000</f>
        <v>#REF!</v>
      </c>
      <c r="BB83" s="7" t="e">
        <f>-53.07 + (304.89 * (BA83)) + (90.79 *Crescimento!#REF!) - (3.13 * Crescimento!#REF!*Crescimento!#REF!)</f>
        <v>#REF!</v>
      </c>
      <c r="BD83" s="6" t="e">
        <f>(BE82+(Crescimento!#REF!-(BE82*0.64))/0.8)/1000</f>
        <v>#REF!</v>
      </c>
      <c r="BE83" s="7" t="e">
        <f>-53.07 + (304.89 * (BD83)) + (90.79 *Crescimento!#REF!) - (3.13 * Crescimento!#REF!*Crescimento!#REF!)</f>
        <v>#REF!</v>
      </c>
      <c r="BG83" s="6" t="e">
        <f>(BH82+(Crescimento!#REF!-(BH82*0.64))/0.8)/1000</f>
        <v>#REF!</v>
      </c>
      <c r="BH83" s="7" t="e">
        <f>-53.07 + (304.89 * (BG83)) + (90.79 *Crescimento!#REF!) - (3.13 * Crescimento!#REF!*Crescimento!#REF!)</f>
        <v>#REF!</v>
      </c>
      <c r="BJ83" s="6" t="e">
        <f>(BK82+(Crescimento!#REF!-(BK82*0.64))/0.8)/1000</f>
        <v>#REF!</v>
      </c>
      <c r="BK83" s="7" t="e">
        <f>-53.07 + (304.89 * (BJ83)) + (90.79 *Crescimento!#REF!) - (3.13 * Crescimento!#REF!*Crescimento!#REF!)</f>
        <v>#REF!</v>
      </c>
      <c r="BL83" s="1"/>
      <c r="BM83" s="6" t="e">
        <f>(BN82+(Crescimento!#REF!-(BN82*0.64))/0.8)/1000</f>
        <v>#REF!</v>
      </c>
      <c r="BN83" s="7" t="e">
        <f>-53.07 + (304.89 * (BM83)) + (90.79 *Crescimento!#REF!) - (3.13 * Crescimento!#REF!*Crescimento!#REF!)</f>
        <v>#REF!</v>
      </c>
      <c r="BP83" s="6" t="e">
        <f>(BQ82+(Crescimento!#REF!-(BQ82*0.64))/0.8)/1000</f>
        <v>#REF!</v>
      </c>
      <c r="BQ83" s="7" t="e">
        <f>-53.07 + (304.89 * (BP83)) + (90.79 *Crescimento!#REF!) - (3.13 * Crescimento!#REF!*Crescimento!#REF!)</f>
        <v>#REF!</v>
      </c>
      <c r="BS83" s="6" t="e">
        <f>(BT82+(Crescimento!#REF!-(BT82*0.64))/0.8)/1000</f>
        <v>#REF!</v>
      </c>
      <c r="BT83" s="7" t="e">
        <f>-53.07 + (304.89 * (BS83)) + (90.79 *Crescimento!#REF!) - (3.13 * Crescimento!#REF!*Crescimento!#REF!)</f>
        <v>#REF!</v>
      </c>
      <c r="BV83" s="6" t="e">
        <f>(BW82+(Crescimento!#REF!-(BW82*0.64))/0.8)/1000</f>
        <v>#REF!</v>
      </c>
      <c r="BW83" s="7" t="e">
        <f>-53.07 + (304.89 * (BV83)) + (90.79 *Crescimento!#REF!) - (3.13 * Crescimento!#REF!*Crescimento!#REF!)</f>
        <v>#REF!</v>
      </c>
      <c r="BX83" s="1"/>
      <c r="BY83" s="6" t="e">
        <f>(BZ82+(Crescimento!#REF!-(BZ82*0.64))/0.8)/1000</f>
        <v>#REF!</v>
      </c>
      <c r="BZ83" s="7" t="e">
        <f>-53.07 + (304.89 * (BY83)) + (90.79 *Crescimento!#REF!) - (3.13 * Crescimento!#REF!*Crescimento!#REF!)</f>
        <v>#REF!</v>
      </c>
      <c r="CB83" s="6" t="e">
        <f>(CC82+(Crescimento!#REF!-(CC82*0.64))/0.8)/1000</f>
        <v>#REF!</v>
      </c>
      <c r="CC83" s="7" t="e">
        <f>-53.07 + (304.89 * (CB83)) + (90.79 *Crescimento!#REF!) - (3.13 * Crescimento!#REF!*Crescimento!#REF!)</f>
        <v>#REF!</v>
      </c>
      <c r="CE83" s="6" t="e">
        <f>(CF82+(Crescimento!#REF!-(CF82*0.64))/0.8)/1000</f>
        <v>#REF!</v>
      </c>
      <c r="CF83" s="7" t="e">
        <f>-53.07 + (304.89 * (CE83)) + (90.79 *Crescimento!#REF!) - (3.13 * Crescimento!#REF!*Crescimento!#REF!)</f>
        <v>#REF!</v>
      </c>
      <c r="CH83" s="6" t="e">
        <f>(CI82+(Crescimento!#REF!-(CI82*0.64))/0.8)/1000</f>
        <v>#REF!</v>
      </c>
      <c r="CI83" s="7" t="e">
        <f>-53.07 + (304.89 * (CH83)) + (90.79 *Crescimento!#REF!) - (3.13 * Crescimento!#REF!*Crescimento!#REF!)</f>
        <v>#REF!</v>
      </c>
      <c r="CJ83" s="1"/>
      <c r="CK83" s="6" t="e">
        <f>(CL82+(Crescimento!#REF!-(CL82*0.64))/0.8)/1000</f>
        <v>#REF!</v>
      </c>
      <c r="CL83" s="7" t="e">
        <f>-53.07 + (304.89 * (CK83)) + (90.79 *Crescimento!#REF!) - (3.13 * Crescimento!#REF!*Crescimento!#REF!)</f>
        <v>#REF!</v>
      </c>
      <c r="CN83" s="6" t="e">
        <f>(CO82+(Crescimento!#REF!-(CO82*0.64))/0.8)/1000</f>
        <v>#REF!</v>
      </c>
      <c r="CO83" s="7" t="e">
        <f>-53.07 + (304.89 * (CN83)) + (90.79 *Crescimento!#REF!) - (3.13 * Crescimento!#REF!*Crescimento!#REF!)</f>
        <v>#REF!</v>
      </c>
      <c r="CQ83" s="6" t="e">
        <f>(CR82+(Crescimento!#REF!-(CR82*0.64))/0.8)/1000</f>
        <v>#REF!</v>
      </c>
      <c r="CR83" s="7" t="e">
        <f>-53.07 + (304.89 * (CQ83)) + (90.79 *Crescimento!#REF!) - (3.13 * Crescimento!#REF!*Crescimento!#REF!)</f>
        <v>#REF!</v>
      </c>
    </row>
    <row r="84" spans="2:96" x14ac:dyDescent="0.25">
      <c r="B84" s="6">
        <f>(C83+(Crescimento!$Q$27-(C83*0.64))/0.8)/1000</f>
        <v>1.1187993738011861</v>
      </c>
      <c r="C84" s="8">
        <f>-53.07 + (304.89 * (B84)) + (90.79 *Crescimento!$Q$20) - (3.13 * Crescimento!$Q$20*Crescimento!$Q$20)</f>
        <v>757.4287040082213</v>
      </c>
      <c r="D84" s="1"/>
      <c r="E84" s="6" t="e">
        <f>(F83+(Crescimento!#REF!-(F83*0.64))/0.8)/1000</f>
        <v>#REF!</v>
      </c>
      <c r="F84" s="7" t="e">
        <f>-53.07 + (304.89 * (E84)) + (90.79 *Crescimento!#REF!) - (3.13 * Crescimento!#REF!*Crescimento!#REF!)</f>
        <v>#REF!</v>
      </c>
      <c r="H84" s="6" t="e">
        <f>(I83+(Crescimento!#REF!-(I83*0.64))/0.8)/1000</f>
        <v>#REF!</v>
      </c>
      <c r="I84" s="7" t="e">
        <f>-53.07 + (304.89 * (H84)) + (90.79 *Crescimento!#REF!) - (3.13 * Crescimento!#REF!*Crescimento!#REF!)</f>
        <v>#REF!</v>
      </c>
      <c r="K84" s="6" t="e">
        <f>(L83+(Crescimento!#REF!-(L83*0.64))/0.8)/1000</f>
        <v>#REF!</v>
      </c>
      <c r="L84" s="7" t="e">
        <f>-53.07 + (304.89 * (K84)) + (90.79 *Crescimento!#REF!) - (3.13 * Crescimento!#REF!*Crescimento!#REF!)</f>
        <v>#REF!</v>
      </c>
      <c r="N84" s="6" t="e">
        <f>(O83+(Crescimento!#REF!-(O83*0.64))/0.8)/1000</f>
        <v>#REF!</v>
      </c>
      <c r="O84" s="7" t="e">
        <f>-53.07 + (304.89 * (N84)) + (90.79 *Crescimento!#REF!) - (3.13 * Crescimento!#REF!*Crescimento!#REF!)</f>
        <v>#REF!</v>
      </c>
      <c r="P84" s="1"/>
      <c r="Q84" s="6" t="e">
        <f>(R83+(Crescimento!#REF!-(R83*0.64))/0.8)/1000</f>
        <v>#REF!</v>
      </c>
      <c r="R84" s="7" t="e">
        <f>-53.07 + (304.89 * (Q84)) + (90.79 *Crescimento!#REF!) - (3.13 * Crescimento!#REF!*Crescimento!#REF!)</f>
        <v>#REF!</v>
      </c>
      <c r="T84" s="6" t="e">
        <f>(U83+(Crescimento!#REF!-(U83*0.64))/0.8)/1000</f>
        <v>#REF!</v>
      </c>
      <c r="U84" s="7" t="e">
        <f>-53.07 + (304.89 * (T84)) + (90.79 *Crescimento!#REF!) - (3.13 * Crescimento!#REF!*Crescimento!#REF!)</f>
        <v>#REF!</v>
      </c>
      <c r="W84" s="6" t="e">
        <f>(X83+(Crescimento!#REF!-(X83*0.64))/0.8)/1000</f>
        <v>#REF!</v>
      </c>
      <c r="X84" s="7" t="e">
        <f>-53.07 + (304.89 * (W84)) + (90.79 *Crescimento!#REF!) - (3.13 * Crescimento!#REF!*Crescimento!#REF!)</f>
        <v>#REF!</v>
      </c>
      <c r="Z84" s="6" t="e">
        <f>(AA83+(Crescimento!#REF!-(AA83*0.64))/0.8)/1000</f>
        <v>#REF!</v>
      </c>
      <c r="AA84" s="7" t="e">
        <f>-53.07 + (304.89 * (Z84)) + (90.79 *Crescimento!#REF!) - (3.13 * Crescimento!#REF!*Crescimento!#REF!)</f>
        <v>#REF!</v>
      </c>
      <c r="AB84" s="1"/>
      <c r="AC84" s="6" t="e">
        <f>(AD83+(Crescimento!#REF!-(AD83*0.64))/0.8)/1000</f>
        <v>#REF!</v>
      </c>
      <c r="AD84" s="7" t="e">
        <f>-53.07 + (304.89 * (AC84)) + (90.79 *Crescimento!#REF!) - (3.13 * Crescimento!#REF!*Crescimento!#REF!)</f>
        <v>#REF!</v>
      </c>
      <c r="AF84" s="6" t="e">
        <f>(AG83+(Crescimento!#REF!-(AG83*0.64))/0.8)/1000</f>
        <v>#REF!</v>
      </c>
      <c r="AG84" s="7" t="e">
        <f>-53.07 + (304.89 * (AF84)) + (90.79 *Crescimento!#REF!) - (3.13 * Crescimento!#REF!*Crescimento!#REF!)</f>
        <v>#REF!</v>
      </c>
      <c r="AI84" s="6" t="e">
        <f>(AJ83+(Crescimento!#REF!-(AJ83*0.64))/0.8)/1000</f>
        <v>#REF!</v>
      </c>
      <c r="AJ84" s="7" t="e">
        <f>-53.07 + (304.89 * (AI84)) + (90.79 *Crescimento!#REF!) - (3.13 * Crescimento!#REF!*Crescimento!#REF!)</f>
        <v>#REF!</v>
      </c>
      <c r="AL84" s="6" t="e">
        <f>(AM83+(Crescimento!#REF!-(AM83*0.64))/0.8)/1000</f>
        <v>#REF!</v>
      </c>
      <c r="AM84" s="7" t="e">
        <f>-53.07 + (304.89 * (AL84)) + (90.79 *Crescimento!#REF!) - (3.13 * Crescimento!#REF!*Crescimento!#REF!)</f>
        <v>#REF!</v>
      </c>
      <c r="AN84" s="1"/>
      <c r="AO84" s="6" t="e">
        <f>(AP83+(Crescimento!#REF!-(AP83*0.64))/0.8)/1000</f>
        <v>#REF!</v>
      </c>
      <c r="AP84" s="7" t="e">
        <f>-53.07 + (304.89 * (AO84)) + (90.79 *Crescimento!#REF!) - (3.13 * Crescimento!#REF!*Crescimento!#REF!)</f>
        <v>#REF!</v>
      </c>
      <c r="AR84" s="6" t="e">
        <f>(AS83+(Crescimento!#REF!-(AS83*0.64))/0.8)/1000</f>
        <v>#REF!</v>
      </c>
      <c r="AS84" s="7" t="e">
        <f>-53.07 + (304.89 * (AR84)) + (90.79 *Crescimento!#REF!) - (3.13 * Crescimento!#REF!*Crescimento!#REF!)</f>
        <v>#REF!</v>
      </c>
      <c r="AU84" s="6" t="e">
        <f>(AV83+(Crescimento!#REF!-(AV83*0.64))/0.8)/1000</f>
        <v>#REF!</v>
      </c>
      <c r="AV84" s="7" t="e">
        <f>-53.07 + (304.89 * (AU84)) + (90.79 *Crescimento!#REF!) - (3.13 * Crescimento!#REF!*Crescimento!#REF!)</f>
        <v>#REF!</v>
      </c>
      <c r="AX84" s="6" t="e">
        <f>(AY83+(Crescimento!#REF!-(AY83*0.64))/0.8)/1000</f>
        <v>#REF!</v>
      </c>
      <c r="AY84" s="7" t="e">
        <f>-53.07 + (304.89 * (AX84)) + (90.79 *Crescimento!#REF!) - (3.13 * Crescimento!#REF!*Crescimento!#REF!)</f>
        <v>#REF!</v>
      </c>
      <c r="AZ84" s="1"/>
      <c r="BA84" s="6" t="e">
        <f>(BB83+(Crescimento!#REF!-(BB83*0.64))/0.8)/1000</f>
        <v>#REF!</v>
      </c>
      <c r="BB84" s="7" t="e">
        <f>-53.07 + (304.89 * (BA84)) + (90.79 *Crescimento!#REF!) - (3.13 * Crescimento!#REF!*Crescimento!#REF!)</f>
        <v>#REF!</v>
      </c>
      <c r="BD84" s="6" t="e">
        <f>(BE83+(Crescimento!#REF!-(BE83*0.64))/0.8)/1000</f>
        <v>#REF!</v>
      </c>
      <c r="BE84" s="7" t="e">
        <f>-53.07 + (304.89 * (BD84)) + (90.79 *Crescimento!#REF!) - (3.13 * Crescimento!#REF!*Crescimento!#REF!)</f>
        <v>#REF!</v>
      </c>
      <c r="BG84" s="6" t="e">
        <f>(BH83+(Crescimento!#REF!-(BH83*0.64))/0.8)/1000</f>
        <v>#REF!</v>
      </c>
      <c r="BH84" s="7" t="e">
        <f>-53.07 + (304.89 * (BG84)) + (90.79 *Crescimento!#REF!) - (3.13 * Crescimento!#REF!*Crescimento!#REF!)</f>
        <v>#REF!</v>
      </c>
      <c r="BJ84" s="6" t="e">
        <f>(BK83+(Crescimento!#REF!-(BK83*0.64))/0.8)/1000</f>
        <v>#REF!</v>
      </c>
      <c r="BK84" s="7" t="e">
        <f>-53.07 + (304.89 * (BJ84)) + (90.79 *Crescimento!#REF!) - (3.13 * Crescimento!#REF!*Crescimento!#REF!)</f>
        <v>#REF!</v>
      </c>
      <c r="BL84" s="1"/>
      <c r="BM84" s="6" t="e">
        <f>(BN83+(Crescimento!#REF!-(BN83*0.64))/0.8)/1000</f>
        <v>#REF!</v>
      </c>
      <c r="BN84" s="7" t="e">
        <f>-53.07 + (304.89 * (BM84)) + (90.79 *Crescimento!#REF!) - (3.13 * Crescimento!#REF!*Crescimento!#REF!)</f>
        <v>#REF!</v>
      </c>
      <c r="BP84" s="6" t="e">
        <f>(BQ83+(Crescimento!#REF!-(BQ83*0.64))/0.8)/1000</f>
        <v>#REF!</v>
      </c>
      <c r="BQ84" s="7" t="e">
        <f>-53.07 + (304.89 * (BP84)) + (90.79 *Crescimento!#REF!) - (3.13 * Crescimento!#REF!*Crescimento!#REF!)</f>
        <v>#REF!</v>
      </c>
      <c r="BS84" s="6" t="e">
        <f>(BT83+(Crescimento!#REF!-(BT83*0.64))/0.8)/1000</f>
        <v>#REF!</v>
      </c>
      <c r="BT84" s="7" t="e">
        <f>-53.07 + (304.89 * (BS84)) + (90.79 *Crescimento!#REF!) - (3.13 * Crescimento!#REF!*Crescimento!#REF!)</f>
        <v>#REF!</v>
      </c>
      <c r="BV84" s="6" t="e">
        <f>(BW83+(Crescimento!#REF!-(BW83*0.64))/0.8)/1000</f>
        <v>#REF!</v>
      </c>
      <c r="BW84" s="7" t="e">
        <f>-53.07 + (304.89 * (BV84)) + (90.79 *Crescimento!#REF!) - (3.13 * Crescimento!#REF!*Crescimento!#REF!)</f>
        <v>#REF!</v>
      </c>
      <c r="BX84" s="1"/>
      <c r="BY84" s="6" t="e">
        <f>(BZ83+(Crescimento!#REF!-(BZ83*0.64))/0.8)/1000</f>
        <v>#REF!</v>
      </c>
      <c r="BZ84" s="7" t="e">
        <f>-53.07 + (304.89 * (BY84)) + (90.79 *Crescimento!#REF!) - (3.13 * Crescimento!#REF!*Crescimento!#REF!)</f>
        <v>#REF!</v>
      </c>
      <c r="CB84" s="6" t="e">
        <f>(CC83+(Crescimento!#REF!-(CC83*0.64))/0.8)/1000</f>
        <v>#REF!</v>
      </c>
      <c r="CC84" s="7" t="e">
        <f>-53.07 + (304.89 * (CB84)) + (90.79 *Crescimento!#REF!) - (3.13 * Crescimento!#REF!*Crescimento!#REF!)</f>
        <v>#REF!</v>
      </c>
      <c r="CE84" s="6" t="e">
        <f>(CF83+(Crescimento!#REF!-(CF83*0.64))/0.8)/1000</f>
        <v>#REF!</v>
      </c>
      <c r="CF84" s="7" t="e">
        <f>-53.07 + (304.89 * (CE84)) + (90.79 *Crescimento!#REF!) - (3.13 * Crescimento!#REF!*Crescimento!#REF!)</f>
        <v>#REF!</v>
      </c>
      <c r="CH84" s="6" t="e">
        <f>(CI83+(Crescimento!#REF!-(CI83*0.64))/0.8)/1000</f>
        <v>#REF!</v>
      </c>
      <c r="CI84" s="7" t="e">
        <f>-53.07 + (304.89 * (CH84)) + (90.79 *Crescimento!#REF!) - (3.13 * Crescimento!#REF!*Crescimento!#REF!)</f>
        <v>#REF!</v>
      </c>
      <c r="CJ84" s="1"/>
      <c r="CK84" s="6" t="e">
        <f>(CL83+(Crescimento!#REF!-(CL83*0.64))/0.8)/1000</f>
        <v>#REF!</v>
      </c>
      <c r="CL84" s="7" t="e">
        <f>-53.07 + (304.89 * (CK84)) + (90.79 *Crescimento!#REF!) - (3.13 * Crescimento!#REF!*Crescimento!#REF!)</f>
        <v>#REF!</v>
      </c>
      <c r="CN84" s="6" t="e">
        <f>(CO83+(Crescimento!#REF!-(CO83*0.64))/0.8)/1000</f>
        <v>#REF!</v>
      </c>
      <c r="CO84" s="7" t="e">
        <f>-53.07 + (304.89 * (CN84)) + (90.79 *Crescimento!#REF!) - (3.13 * Crescimento!#REF!*Crescimento!#REF!)</f>
        <v>#REF!</v>
      </c>
      <c r="CQ84" s="6" t="e">
        <f>(CR83+(Crescimento!#REF!-(CR83*0.64))/0.8)/1000</f>
        <v>#REF!</v>
      </c>
      <c r="CR84" s="7" t="e">
        <f>-53.07 + (304.89 * (CQ84)) + (90.79 *Crescimento!#REF!) - (3.13 * Crescimento!#REF!*Crescimento!#REF!)</f>
        <v>#REF!</v>
      </c>
    </row>
    <row r="85" spans="2:96" x14ac:dyDescent="0.25">
      <c r="B85" s="6">
        <f>(C84+(Crescimento!$Q$27-(C84*0.64))/0.8)/1000</f>
        <v>1.1187993738011861</v>
      </c>
      <c r="C85" s="8">
        <f>-53.07 + (304.89 * (B85)) + (90.79 *Crescimento!$Q$20) - (3.13 * Crescimento!$Q$20*Crescimento!$Q$20)</f>
        <v>757.4287040082213</v>
      </c>
      <c r="D85" s="1"/>
      <c r="E85" s="6" t="e">
        <f>(F84+(Crescimento!#REF!-(F84*0.64))/0.8)/1000</f>
        <v>#REF!</v>
      </c>
      <c r="F85" s="7" t="e">
        <f>-53.07 + (304.89 * (E85)) + (90.79 *Crescimento!#REF!) - (3.13 * Crescimento!#REF!*Crescimento!#REF!)</f>
        <v>#REF!</v>
      </c>
      <c r="H85" s="6" t="e">
        <f>(I84+(Crescimento!#REF!-(I84*0.64))/0.8)/1000</f>
        <v>#REF!</v>
      </c>
      <c r="I85" s="7" t="e">
        <f>-53.07 + (304.89 * (H85)) + (90.79 *Crescimento!#REF!) - (3.13 * Crescimento!#REF!*Crescimento!#REF!)</f>
        <v>#REF!</v>
      </c>
      <c r="K85" s="6" t="e">
        <f>(L84+(Crescimento!#REF!-(L84*0.64))/0.8)/1000</f>
        <v>#REF!</v>
      </c>
      <c r="L85" s="7" t="e">
        <f>-53.07 + (304.89 * (K85)) + (90.79 *Crescimento!#REF!) - (3.13 * Crescimento!#REF!*Crescimento!#REF!)</f>
        <v>#REF!</v>
      </c>
      <c r="N85" s="6" t="e">
        <f>(O84+(Crescimento!#REF!-(O84*0.64))/0.8)/1000</f>
        <v>#REF!</v>
      </c>
      <c r="O85" s="7" t="e">
        <f>-53.07 + (304.89 * (N85)) + (90.79 *Crescimento!#REF!) - (3.13 * Crescimento!#REF!*Crescimento!#REF!)</f>
        <v>#REF!</v>
      </c>
      <c r="P85" s="1"/>
      <c r="Q85" s="6" t="e">
        <f>(R84+(Crescimento!#REF!-(R84*0.64))/0.8)/1000</f>
        <v>#REF!</v>
      </c>
      <c r="R85" s="7" t="e">
        <f>-53.07 + (304.89 * (Q85)) + (90.79 *Crescimento!#REF!) - (3.13 * Crescimento!#REF!*Crescimento!#REF!)</f>
        <v>#REF!</v>
      </c>
      <c r="T85" s="6" t="e">
        <f>(U84+(Crescimento!#REF!-(U84*0.64))/0.8)/1000</f>
        <v>#REF!</v>
      </c>
      <c r="U85" s="7" t="e">
        <f>-53.07 + (304.89 * (T85)) + (90.79 *Crescimento!#REF!) - (3.13 * Crescimento!#REF!*Crescimento!#REF!)</f>
        <v>#REF!</v>
      </c>
      <c r="W85" s="6" t="e">
        <f>(X84+(Crescimento!#REF!-(X84*0.64))/0.8)/1000</f>
        <v>#REF!</v>
      </c>
      <c r="X85" s="7" t="e">
        <f>-53.07 + (304.89 * (W85)) + (90.79 *Crescimento!#REF!) - (3.13 * Crescimento!#REF!*Crescimento!#REF!)</f>
        <v>#REF!</v>
      </c>
      <c r="Z85" s="6" t="e">
        <f>(AA84+(Crescimento!#REF!-(AA84*0.64))/0.8)/1000</f>
        <v>#REF!</v>
      </c>
      <c r="AA85" s="7" t="e">
        <f>-53.07 + (304.89 * (Z85)) + (90.79 *Crescimento!#REF!) - (3.13 * Crescimento!#REF!*Crescimento!#REF!)</f>
        <v>#REF!</v>
      </c>
      <c r="AB85" s="1"/>
      <c r="AC85" s="6" t="e">
        <f>(AD84+(Crescimento!#REF!-(AD84*0.64))/0.8)/1000</f>
        <v>#REF!</v>
      </c>
      <c r="AD85" s="7" t="e">
        <f>-53.07 + (304.89 * (AC85)) + (90.79 *Crescimento!#REF!) - (3.13 * Crescimento!#REF!*Crescimento!#REF!)</f>
        <v>#REF!</v>
      </c>
      <c r="AF85" s="6" t="e">
        <f>(AG84+(Crescimento!#REF!-(AG84*0.64))/0.8)/1000</f>
        <v>#REF!</v>
      </c>
      <c r="AG85" s="7" t="e">
        <f>-53.07 + (304.89 * (AF85)) + (90.79 *Crescimento!#REF!) - (3.13 * Crescimento!#REF!*Crescimento!#REF!)</f>
        <v>#REF!</v>
      </c>
      <c r="AI85" s="6" t="e">
        <f>(AJ84+(Crescimento!#REF!-(AJ84*0.64))/0.8)/1000</f>
        <v>#REF!</v>
      </c>
      <c r="AJ85" s="7" t="e">
        <f>-53.07 + (304.89 * (AI85)) + (90.79 *Crescimento!#REF!) - (3.13 * Crescimento!#REF!*Crescimento!#REF!)</f>
        <v>#REF!</v>
      </c>
      <c r="AL85" s="6" t="e">
        <f>(AM84+(Crescimento!#REF!-(AM84*0.64))/0.8)/1000</f>
        <v>#REF!</v>
      </c>
      <c r="AM85" s="7" t="e">
        <f>-53.07 + (304.89 * (AL85)) + (90.79 *Crescimento!#REF!) - (3.13 * Crescimento!#REF!*Crescimento!#REF!)</f>
        <v>#REF!</v>
      </c>
      <c r="AN85" s="1"/>
      <c r="AO85" s="6" t="e">
        <f>(AP84+(Crescimento!#REF!-(AP84*0.64))/0.8)/1000</f>
        <v>#REF!</v>
      </c>
      <c r="AP85" s="7" t="e">
        <f>-53.07 + (304.89 * (AO85)) + (90.79 *Crescimento!#REF!) - (3.13 * Crescimento!#REF!*Crescimento!#REF!)</f>
        <v>#REF!</v>
      </c>
      <c r="AR85" s="6" t="e">
        <f>(AS84+(Crescimento!#REF!-(AS84*0.64))/0.8)/1000</f>
        <v>#REF!</v>
      </c>
      <c r="AS85" s="7" t="e">
        <f>-53.07 + (304.89 * (AR85)) + (90.79 *Crescimento!#REF!) - (3.13 * Crescimento!#REF!*Crescimento!#REF!)</f>
        <v>#REF!</v>
      </c>
      <c r="AU85" s="6" t="e">
        <f>(AV84+(Crescimento!#REF!-(AV84*0.64))/0.8)/1000</f>
        <v>#REF!</v>
      </c>
      <c r="AV85" s="7" t="e">
        <f>-53.07 + (304.89 * (AU85)) + (90.79 *Crescimento!#REF!) - (3.13 * Crescimento!#REF!*Crescimento!#REF!)</f>
        <v>#REF!</v>
      </c>
      <c r="AX85" s="6" t="e">
        <f>(AY84+(Crescimento!#REF!-(AY84*0.64))/0.8)/1000</f>
        <v>#REF!</v>
      </c>
      <c r="AY85" s="7" t="e">
        <f>-53.07 + (304.89 * (AX85)) + (90.79 *Crescimento!#REF!) - (3.13 * Crescimento!#REF!*Crescimento!#REF!)</f>
        <v>#REF!</v>
      </c>
      <c r="AZ85" s="1"/>
      <c r="BA85" s="6" t="e">
        <f>(BB84+(Crescimento!#REF!-(BB84*0.64))/0.8)/1000</f>
        <v>#REF!</v>
      </c>
      <c r="BB85" s="7" t="e">
        <f>-53.07 + (304.89 * (BA85)) + (90.79 *Crescimento!#REF!) - (3.13 * Crescimento!#REF!*Crescimento!#REF!)</f>
        <v>#REF!</v>
      </c>
      <c r="BD85" s="6" t="e">
        <f>(BE84+(Crescimento!#REF!-(BE84*0.64))/0.8)/1000</f>
        <v>#REF!</v>
      </c>
      <c r="BE85" s="7" t="e">
        <f>-53.07 + (304.89 * (BD85)) + (90.79 *Crescimento!#REF!) - (3.13 * Crescimento!#REF!*Crescimento!#REF!)</f>
        <v>#REF!</v>
      </c>
      <c r="BG85" s="6" t="e">
        <f>(BH84+(Crescimento!#REF!-(BH84*0.64))/0.8)/1000</f>
        <v>#REF!</v>
      </c>
      <c r="BH85" s="7" t="e">
        <f>-53.07 + (304.89 * (BG85)) + (90.79 *Crescimento!#REF!) - (3.13 * Crescimento!#REF!*Crescimento!#REF!)</f>
        <v>#REF!</v>
      </c>
      <c r="BJ85" s="6" t="e">
        <f>(BK84+(Crescimento!#REF!-(BK84*0.64))/0.8)/1000</f>
        <v>#REF!</v>
      </c>
      <c r="BK85" s="7" t="e">
        <f>-53.07 + (304.89 * (BJ85)) + (90.79 *Crescimento!#REF!) - (3.13 * Crescimento!#REF!*Crescimento!#REF!)</f>
        <v>#REF!</v>
      </c>
      <c r="BL85" s="1"/>
      <c r="BM85" s="6" t="e">
        <f>(BN84+(Crescimento!#REF!-(BN84*0.64))/0.8)/1000</f>
        <v>#REF!</v>
      </c>
      <c r="BN85" s="7" t="e">
        <f>-53.07 + (304.89 * (BM85)) + (90.79 *Crescimento!#REF!) - (3.13 * Crescimento!#REF!*Crescimento!#REF!)</f>
        <v>#REF!</v>
      </c>
      <c r="BP85" s="6" t="e">
        <f>(BQ84+(Crescimento!#REF!-(BQ84*0.64))/0.8)/1000</f>
        <v>#REF!</v>
      </c>
      <c r="BQ85" s="7" t="e">
        <f>-53.07 + (304.89 * (BP85)) + (90.79 *Crescimento!#REF!) - (3.13 * Crescimento!#REF!*Crescimento!#REF!)</f>
        <v>#REF!</v>
      </c>
      <c r="BS85" s="6" t="e">
        <f>(BT84+(Crescimento!#REF!-(BT84*0.64))/0.8)/1000</f>
        <v>#REF!</v>
      </c>
      <c r="BT85" s="7" t="e">
        <f>-53.07 + (304.89 * (BS85)) + (90.79 *Crescimento!#REF!) - (3.13 * Crescimento!#REF!*Crescimento!#REF!)</f>
        <v>#REF!</v>
      </c>
      <c r="BV85" s="6" t="e">
        <f>(BW84+(Crescimento!#REF!-(BW84*0.64))/0.8)/1000</f>
        <v>#REF!</v>
      </c>
      <c r="BW85" s="7" t="e">
        <f>-53.07 + (304.89 * (BV85)) + (90.79 *Crescimento!#REF!) - (3.13 * Crescimento!#REF!*Crescimento!#REF!)</f>
        <v>#REF!</v>
      </c>
      <c r="BX85" s="1"/>
      <c r="BY85" s="6" t="e">
        <f>(BZ84+(Crescimento!#REF!-(BZ84*0.64))/0.8)/1000</f>
        <v>#REF!</v>
      </c>
      <c r="BZ85" s="7" t="e">
        <f>-53.07 + (304.89 * (BY85)) + (90.79 *Crescimento!#REF!) - (3.13 * Crescimento!#REF!*Crescimento!#REF!)</f>
        <v>#REF!</v>
      </c>
      <c r="CB85" s="6" t="e">
        <f>(CC84+(Crescimento!#REF!-(CC84*0.64))/0.8)/1000</f>
        <v>#REF!</v>
      </c>
      <c r="CC85" s="7" t="e">
        <f>-53.07 + (304.89 * (CB85)) + (90.79 *Crescimento!#REF!) - (3.13 * Crescimento!#REF!*Crescimento!#REF!)</f>
        <v>#REF!</v>
      </c>
      <c r="CE85" s="6" t="e">
        <f>(CF84+(Crescimento!#REF!-(CF84*0.64))/0.8)/1000</f>
        <v>#REF!</v>
      </c>
      <c r="CF85" s="7" t="e">
        <f>-53.07 + (304.89 * (CE85)) + (90.79 *Crescimento!#REF!) - (3.13 * Crescimento!#REF!*Crescimento!#REF!)</f>
        <v>#REF!</v>
      </c>
      <c r="CH85" s="6" t="e">
        <f>(CI84+(Crescimento!#REF!-(CI84*0.64))/0.8)/1000</f>
        <v>#REF!</v>
      </c>
      <c r="CI85" s="7" t="e">
        <f>-53.07 + (304.89 * (CH85)) + (90.79 *Crescimento!#REF!) - (3.13 * Crescimento!#REF!*Crescimento!#REF!)</f>
        <v>#REF!</v>
      </c>
      <c r="CJ85" s="1"/>
      <c r="CK85" s="6" t="e">
        <f>(CL84+(Crescimento!#REF!-(CL84*0.64))/0.8)/1000</f>
        <v>#REF!</v>
      </c>
      <c r="CL85" s="7" t="e">
        <f>-53.07 + (304.89 * (CK85)) + (90.79 *Crescimento!#REF!) - (3.13 * Crescimento!#REF!*Crescimento!#REF!)</f>
        <v>#REF!</v>
      </c>
      <c r="CN85" s="6" t="e">
        <f>(CO84+(Crescimento!#REF!-(CO84*0.64))/0.8)/1000</f>
        <v>#REF!</v>
      </c>
      <c r="CO85" s="7" t="e">
        <f>-53.07 + (304.89 * (CN85)) + (90.79 *Crescimento!#REF!) - (3.13 * Crescimento!#REF!*Crescimento!#REF!)</f>
        <v>#REF!</v>
      </c>
      <c r="CQ85" s="6" t="e">
        <f>(CR84+(Crescimento!#REF!-(CR84*0.64))/0.8)/1000</f>
        <v>#REF!</v>
      </c>
      <c r="CR85" s="7" t="e">
        <f>-53.07 + (304.89 * (CQ85)) + (90.79 *Crescimento!#REF!) - (3.13 * Crescimento!#REF!*Crescimento!#REF!)</f>
        <v>#REF!</v>
      </c>
    </row>
    <row r="86" spans="2:96" x14ac:dyDescent="0.25">
      <c r="B86" s="6">
        <f>(C85+(Crescimento!$Q$27-(C85*0.64))/0.8)/1000</f>
        <v>1.1187993738011861</v>
      </c>
      <c r="C86" s="8">
        <f>-53.07 + (304.89 * (B86)) + (90.79 *Crescimento!$Q$20) - (3.13 * Crescimento!$Q$20*Crescimento!$Q$20)</f>
        <v>757.4287040082213</v>
      </c>
      <c r="D86" s="1"/>
      <c r="E86" s="6" t="e">
        <f>(F85+(Crescimento!#REF!-(F85*0.64))/0.8)/1000</f>
        <v>#REF!</v>
      </c>
      <c r="F86" s="7" t="e">
        <f>-53.07 + (304.89 * (E86)) + (90.79 *Crescimento!#REF!) - (3.13 * Crescimento!#REF!*Crescimento!#REF!)</f>
        <v>#REF!</v>
      </c>
      <c r="H86" s="6" t="e">
        <f>(I85+(Crescimento!#REF!-(I85*0.64))/0.8)/1000</f>
        <v>#REF!</v>
      </c>
      <c r="I86" s="7" t="e">
        <f>-53.07 + (304.89 * (H86)) + (90.79 *Crescimento!#REF!) - (3.13 * Crescimento!#REF!*Crescimento!#REF!)</f>
        <v>#REF!</v>
      </c>
      <c r="K86" s="6" t="e">
        <f>(L85+(Crescimento!#REF!-(L85*0.64))/0.8)/1000</f>
        <v>#REF!</v>
      </c>
      <c r="L86" s="7" t="e">
        <f>-53.07 + (304.89 * (K86)) + (90.79 *Crescimento!#REF!) - (3.13 * Crescimento!#REF!*Crescimento!#REF!)</f>
        <v>#REF!</v>
      </c>
      <c r="N86" s="6" t="e">
        <f>(O85+(Crescimento!#REF!-(O85*0.64))/0.8)/1000</f>
        <v>#REF!</v>
      </c>
      <c r="O86" s="7" t="e">
        <f>-53.07 + (304.89 * (N86)) + (90.79 *Crescimento!#REF!) - (3.13 * Crescimento!#REF!*Crescimento!#REF!)</f>
        <v>#REF!</v>
      </c>
      <c r="P86" s="1"/>
      <c r="Q86" s="6" t="e">
        <f>(R85+(Crescimento!#REF!-(R85*0.64))/0.8)/1000</f>
        <v>#REF!</v>
      </c>
      <c r="R86" s="7" t="e">
        <f>-53.07 + (304.89 * (Q86)) + (90.79 *Crescimento!#REF!) - (3.13 * Crescimento!#REF!*Crescimento!#REF!)</f>
        <v>#REF!</v>
      </c>
      <c r="T86" s="6" t="e">
        <f>(U85+(Crescimento!#REF!-(U85*0.64))/0.8)/1000</f>
        <v>#REF!</v>
      </c>
      <c r="U86" s="7" t="e">
        <f>-53.07 + (304.89 * (T86)) + (90.79 *Crescimento!#REF!) - (3.13 * Crescimento!#REF!*Crescimento!#REF!)</f>
        <v>#REF!</v>
      </c>
      <c r="W86" s="6" t="e">
        <f>(X85+(Crescimento!#REF!-(X85*0.64))/0.8)/1000</f>
        <v>#REF!</v>
      </c>
      <c r="X86" s="7" t="e">
        <f>-53.07 + (304.89 * (W86)) + (90.79 *Crescimento!#REF!) - (3.13 * Crescimento!#REF!*Crescimento!#REF!)</f>
        <v>#REF!</v>
      </c>
      <c r="Z86" s="6" t="e">
        <f>(AA85+(Crescimento!#REF!-(AA85*0.64))/0.8)/1000</f>
        <v>#REF!</v>
      </c>
      <c r="AA86" s="7" t="e">
        <f>-53.07 + (304.89 * (Z86)) + (90.79 *Crescimento!#REF!) - (3.13 * Crescimento!#REF!*Crescimento!#REF!)</f>
        <v>#REF!</v>
      </c>
      <c r="AB86" s="1"/>
      <c r="AC86" s="6" t="e">
        <f>(AD85+(Crescimento!#REF!-(AD85*0.64))/0.8)/1000</f>
        <v>#REF!</v>
      </c>
      <c r="AD86" s="7" t="e">
        <f>-53.07 + (304.89 * (AC86)) + (90.79 *Crescimento!#REF!) - (3.13 * Crescimento!#REF!*Crescimento!#REF!)</f>
        <v>#REF!</v>
      </c>
      <c r="AF86" s="6" t="e">
        <f>(AG85+(Crescimento!#REF!-(AG85*0.64))/0.8)/1000</f>
        <v>#REF!</v>
      </c>
      <c r="AG86" s="7" t="e">
        <f>-53.07 + (304.89 * (AF86)) + (90.79 *Crescimento!#REF!) - (3.13 * Crescimento!#REF!*Crescimento!#REF!)</f>
        <v>#REF!</v>
      </c>
      <c r="AI86" s="6" t="e">
        <f>(AJ85+(Crescimento!#REF!-(AJ85*0.64))/0.8)/1000</f>
        <v>#REF!</v>
      </c>
      <c r="AJ86" s="7" t="e">
        <f>-53.07 + (304.89 * (AI86)) + (90.79 *Crescimento!#REF!) - (3.13 * Crescimento!#REF!*Crescimento!#REF!)</f>
        <v>#REF!</v>
      </c>
      <c r="AL86" s="6" t="e">
        <f>(AM85+(Crescimento!#REF!-(AM85*0.64))/0.8)/1000</f>
        <v>#REF!</v>
      </c>
      <c r="AM86" s="7" t="e">
        <f>-53.07 + (304.89 * (AL86)) + (90.79 *Crescimento!#REF!) - (3.13 * Crescimento!#REF!*Crescimento!#REF!)</f>
        <v>#REF!</v>
      </c>
      <c r="AN86" s="1"/>
      <c r="AO86" s="6" t="e">
        <f>(AP85+(Crescimento!#REF!-(AP85*0.64))/0.8)/1000</f>
        <v>#REF!</v>
      </c>
      <c r="AP86" s="7" t="e">
        <f>-53.07 + (304.89 * (AO86)) + (90.79 *Crescimento!#REF!) - (3.13 * Crescimento!#REF!*Crescimento!#REF!)</f>
        <v>#REF!</v>
      </c>
      <c r="AR86" s="6" t="e">
        <f>(AS85+(Crescimento!#REF!-(AS85*0.64))/0.8)/1000</f>
        <v>#REF!</v>
      </c>
      <c r="AS86" s="7" t="e">
        <f>-53.07 + (304.89 * (AR86)) + (90.79 *Crescimento!#REF!) - (3.13 * Crescimento!#REF!*Crescimento!#REF!)</f>
        <v>#REF!</v>
      </c>
      <c r="AU86" s="6" t="e">
        <f>(AV85+(Crescimento!#REF!-(AV85*0.64))/0.8)/1000</f>
        <v>#REF!</v>
      </c>
      <c r="AV86" s="7" t="e">
        <f>-53.07 + (304.89 * (AU86)) + (90.79 *Crescimento!#REF!) - (3.13 * Crescimento!#REF!*Crescimento!#REF!)</f>
        <v>#REF!</v>
      </c>
      <c r="AX86" s="6" t="e">
        <f>(AY85+(Crescimento!#REF!-(AY85*0.64))/0.8)/1000</f>
        <v>#REF!</v>
      </c>
      <c r="AY86" s="7" t="e">
        <f>-53.07 + (304.89 * (AX86)) + (90.79 *Crescimento!#REF!) - (3.13 * Crescimento!#REF!*Crescimento!#REF!)</f>
        <v>#REF!</v>
      </c>
      <c r="AZ86" s="1"/>
      <c r="BA86" s="6" t="e">
        <f>(BB85+(Crescimento!#REF!-(BB85*0.64))/0.8)/1000</f>
        <v>#REF!</v>
      </c>
      <c r="BB86" s="7" t="e">
        <f>-53.07 + (304.89 * (BA86)) + (90.79 *Crescimento!#REF!) - (3.13 * Crescimento!#REF!*Crescimento!#REF!)</f>
        <v>#REF!</v>
      </c>
      <c r="BD86" s="6" t="e">
        <f>(BE85+(Crescimento!#REF!-(BE85*0.64))/0.8)/1000</f>
        <v>#REF!</v>
      </c>
      <c r="BE86" s="7" t="e">
        <f>-53.07 + (304.89 * (BD86)) + (90.79 *Crescimento!#REF!) - (3.13 * Crescimento!#REF!*Crescimento!#REF!)</f>
        <v>#REF!</v>
      </c>
      <c r="BG86" s="6" t="e">
        <f>(BH85+(Crescimento!#REF!-(BH85*0.64))/0.8)/1000</f>
        <v>#REF!</v>
      </c>
      <c r="BH86" s="7" t="e">
        <f>-53.07 + (304.89 * (BG86)) + (90.79 *Crescimento!#REF!) - (3.13 * Crescimento!#REF!*Crescimento!#REF!)</f>
        <v>#REF!</v>
      </c>
      <c r="BJ86" s="6" t="e">
        <f>(BK85+(Crescimento!#REF!-(BK85*0.64))/0.8)/1000</f>
        <v>#REF!</v>
      </c>
      <c r="BK86" s="7" t="e">
        <f>-53.07 + (304.89 * (BJ86)) + (90.79 *Crescimento!#REF!) - (3.13 * Crescimento!#REF!*Crescimento!#REF!)</f>
        <v>#REF!</v>
      </c>
      <c r="BL86" s="1"/>
      <c r="BM86" s="6" t="e">
        <f>(BN85+(Crescimento!#REF!-(BN85*0.64))/0.8)/1000</f>
        <v>#REF!</v>
      </c>
      <c r="BN86" s="7" t="e">
        <f>-53.07 + (304.89 * (BM86)) + (90.79 *Crescimento!#REF!) - (3.13 * Crescimento!#REF!*Crescimento!#REF!)</f>
        <v>#REF!</v>
      </c>
      <c r="BP86" s="6" t="e">
        <f>(BQ85+(Crescimento!#REF!-(BQ85*0.64))/0.8)/1000</f>
        <v>#REF!</v>
      </c>
      <c r="BQ86" s="7" t="e">
        <f>-53.07 + (304.89 * (BP86)) + (90.79 *Crescimento!#REF!) - (3.13 * Crescimento!#REF!*Crescimento!#REF!)</f>
        <v>#REF!</v>
      </c>
      <c r="BS86" s="6" t="e">
        <f>(BT85+(Crescimento!#REF!-(BT85*0.64))/0.8)/1000</f>
        <v>#REF!</v>
      </c>
      <c r="BT86" s="7" t="e">
        <f>-53.07 + (304.89 * (BS86)) + (90.79 *Crescimento!#REF!) - (3.13 * Crescimento!#REF!*Crescimento!#REF!)</f>
        <v>#REF!</v>
      </c>
      <c r="BV86" s="6" t="e">
        <f>(BW85+(Crescimento!#REF!-(BW85*0.64))/0.8)/1000</f>
        <v>#REF!</v>
      </c>
      <c r="BW86" s="7" t="e">
        <f>-53.07 + (304.89 * (BV86)) + (90.79 *Crescimento!#REF!) - (3.13 * Crescimento!#REF!*Crescimento!#REF!)</f>
        <v>#REF!</v>
      </c>
      <c r="BX86" s="1"/>
      <c r="BY86" s="6" t="e">
        <f>(BZ85+(Crescimento!#REF!-(BZ85*0.64))/0.8)/1000</f>
        <v>#REF!</v>
      </c>
      <c r="BZ86" s="7" t="e">
        <f>-53.07 + (304.89 * (BY86)) + (90.79 *Crescimento!#REF!) - (3.13 * Crescimento!#REF!*Crescimento!#REF!)</f>
        <v>#REF!</v>
      </c>
      <c r="CB86" s="6" t="e">
        <f>(CC85+(Crescimento!#REF!-(CC85*0.64))/0.8)/1000</f>
        <v>#REF!</v>
      </c>
      <c r="CC86" s="7" t="e">
        <f>-53.07 + (304.89 * (CB86)) + (90.79 *Crescimento!#REF!) - (3.13 * Crescimento!#REF!*Crescimento!#REF!)</f>
        <v>#REF!</v>
      </c>
      <c r="CE86" s="6" t="e">
        <f>(CF85+(Crescimento!#REF!-(CF85*0.64))/0.8)/1000</f>
        <v>#REF!</v>
      </c>
      <c r="CF86" s="7" t="e">
        <f>-53.07 + (304.89 * (CE86)) + (90.79 *Crescimento!#REF!) - (3.13 * Crescimento!#REF!*Crescimento!#REF!)</f>
        <v>#REF!</v>
      </c>
      <c r="CH86" s="6" t="e">
        <f>(CI85+(Crescimento!#REF!-(CI85*0.64))/0.8)/1000</f>
        <v>#REF!</v>
      </c>
      <c r="CI86" s="7" t="e">
        <f>-53.07 + (304.89 * (CH86)) + (90.79 *Crescimento!#REF!) - (3.13 * Crescimento!#REF!*Crescimento!#REF!)</f>
        <v>#REF!</v>
      </c>
      <c r="CJ86" s="1"/>
      <c r="CK86" s="6" t="e">
        <f>(CL85+(Crescimento!#REF!-(CL85*0.64))/0.8)/1000</f>
        <v>#REF!</v>
      </c>
      <c r="CL86" s="7" t="e">
        <f>-53.07 + (304.89 * (CK86)) + (90.79 *Crescimento!#REF!) - (3.13 * Crescimento!#REF!*Crescimento!#REF!)</f>
        <v>#REF!</v>
      </c>
      <c r="CN86" s="6" t="e">
        <f>(CO85+(Crescimento!#REF!-(CO85*0.64))/0.8)/1000</f>
        <v>#REF!</v>
      </c>
      <c r="CO86" s="7" t="e">
        <f>-53.07 + (304.89 * (CN86)) + (90.79 *Crescimento!#REF!) - (3.13 * Crescimento!#REF!*Crescimento!#REF!)</f>
        <v>#REF!</v>
      </c>
      <c r="CQ86" s="6" t="e">
        <f>(CR85+(Crescimento!#REF!-(CR85*0.64))/0.8)/1000</f>
        <v>#REF!</v>
      </c>
      <c r="CR86" s="7" t="e">
        <f>-53.07 + (304.89 * (CQ86)) + (90.79 *Crescimento!#REF!) - (3.13 * Crescimento!#REF!*Crescimento!#REF!)</f>
        <v>#REF!</v>
      </c>
    </row>
    <row r="87" spans="2:96" x14ac:dyDescent="0.25">
      <c r="B87" s="6">
        <f>(C86+(Crescimento!$Q$27-(C86*0.64))/0.8)/1000</f>
        <v>1.1187993738011861</v>
      </c>
      <c r="C87" s="8">
        <f>-53.07 + (304.89 * (B87)) + (90.79 *Crescimento!$Q$20) - (3.13 * Crescimento!$Q$20*Crescimento!$Q$20)</f>
        <v>757.4287040082213</v>
      </c>
      <c r="D87" s="1"/>
      <c r="E87" s="6" t="e">
        <f>(F86+(Crescimento!#REF!-(F86*0.64))/0.8)/1000</f>
        <v>#REF!</v>
      </c>
      <c r="F87" s="7" t="e">
        <f>-53.07 + (304.89 * (E87)) + (90.79 *Crescimento!#REF!) - (3.13 * Crescimento!#REF!*Crescimento!#REF!)</f>
        <v>#REF!</v>
      </c>
      <c r="H87" s="6" t="e">
        <f>(I86+(Crescimento!#REF!-(I86*0.64))/0.8)/1000</f>
        <v>#REF!</v>
      </c>
      <c r="I87" s="7" t="e">
        <f>-53.07 + (304.89 * (H87)) + (90.79 *Crescimento!#REF!) - (3.13 * Crescimento!#REF!*Crescimento!#REF!)</f>
        <v>#REF!</v>
      </c>
      <c r="K87" s="6" t="e">
        <f>(L86+(Crescimento!#REF!-(L86*0.64))/0.8)/1000</f>
        <v>#REF!</v>
      </c>
      <c r="L87" s="7" t="e">
        <f>-53.07 + (304.89 * (K87)) + (90.79 *Crescimento!#REF!) - (3.13 * Crescimento!#REF!*Crescimento!#REF!)</f>
        <v>#REF!</v>
      </c>
      <c r="N87" s="6" t="e">
        <f>(O86+(Crescimento!#REF!-(O86*0.64))/0.8)/1000</f>
        <v>#REF!</v>
      </c>
      <c r="O87" s="7" t="e">
        <f>-53.07 + (304.89 * (N87)) + (90.79 *Crescimento!#REF!) - (3.13 * Crescimento!#REF!*Crescimento!#REF!)</f>
        <v>#REF!</v>
      </c>
      <c r="P87" s="1"/>
      <c r="Q87" s="6" t="e">
        <f>(R86+(Crescimento!#REF!-(R86*0.64))/0.8)/1000</f>
        <v>#REF!</v>
      </c>
      <c r="R87" s="7" t="e">
        <f>-53.07 + (304.89 * (Q87)) + (90.79 *Crescimento!#REF!) - (3.13 * Crescimento!#REF!*Crescimento!#REF!)</f>
        <v>#REF!</v>
      </c>
      <c r="T87" s="6" t="e">
        <f>(U86+(Crescimento!#REF!-(U86*0.64))/0.8)/1000</f>
        <v>#REF!</v>
      </c>
      <c r="U87" s="7" t="e">
        <f>-53.07 + (304.89 * (T87)) + (90.79 *Crescimento!#REF!) - (3.13 * Crescimento!#REF!*Crescimento!#REF!)</f>
        <v>#REF!</v>
      </c>
      <c r="W87" s="6" t="e">
        <f>(X86+(Crescimento!#REF!-(X86*0.64))/0.8)/1000</f>
        <v>#REF!</v>
      </c>
      <c r="X87" s="7" t="e">
        <f>-53.07 + (304.89 * (W87)) + (90.79 *Crescimento!#REF!) - (3.13 * Crescimento!#REF!*Crescimento!#REF!)</f>
        <v>#REF!</v>
      </c>
      <c r="Z87" s="6" t="e">
        <f>(AA86+(Crescimento!#REF!-(AA86*0.64))/0.8)/1000</f>
        <v>#REF!</v>
      </c>
      <c r="AA87" s="7" t="e">
        <f>-53.07 + (304.89 * (Z87)) + (90.79 *Crescimento!#REF!) - (3.13 * Crescimento!#REF!*Crescimento!#REF!)</f>
        <v>#REF!</v>
      </c>
      <c r="AB87" s="1"/>
      <c r="AC87" s="6" t="e">
        <f>(AD86+(Crescimento!#REF!-(AD86*0.64))/0.8)/1000</f>
        <v>#REF!</v>
      </c>
      <c r="AD87" s="7" t="e">
        <f>-53.07 + (304.89 * (AC87)) + (90.79 *Crescimento!#REF!) - (3.13 * Crescimento!#REF!*Crescimento!#REF!)</f>
        <v>#REF!</v>
      </c>
      <c r="AF87" s="6" t="e">
        <f>(AG86+(Crescimento!#REF!-(AG86*0.64))/0.8)/1000</f>
        <v>#REF!</v>
      </c>
      <c r="AG87" s="7" t="e">
        <f>-53.07 + (304.89 * (AF87)) + (90.79 *Crescimento!#REF!) - (3.13 * Crescimento!#REF!*Crescimento!#REF!)</f>
        <v>#REF!</v>
      </c>
      <c r="AI87" s="6" t="e">
        <f>(AJ86+(Crescimento!#REF!-(AJ86*0.64))/0.8)/1000</f>
        <v>#REF!</v>
      </c>
      <c r="AJ87" s="7" t="e">
        <f>-53.07 + (304.89 * (AI87)) + (90.79 *Crescimento!#REF!) - (3.13 * Crescimento!#REF!*Crescimento!#REF!)</f>
        <v>#REF!</v>
      </c>
      <c r="AL87" s="6" t="e">
        <f>(AM86+(Crescimento!#REF!-(AM86*0.64))/0.8)/1000</f>
        <v>#REF!</v>
      </c>
      <c r="AM87" s="7" t="e">
        <f>-53.07 + (304.89 * (AL87)) + (90.79 *Crescimento!#REF!) - (3.13 * Crescimento!#REF!*Crescimento!#REF!)</f>
        <v>#REF!</v>
      </c>
      <c r="AN87" s="1"/>
      <c r="AO87" s="6" t="e">
        <f>(AP86+(Crescimento!#REF!-(AP86*0.64))/0.8)/1000</f>
        <v>#REF!</v>
      </c>
      <c r="AP87" s="7" t="e">
        <f>-53.07 + (304.89 * (AO87)) + (90.79 *Crescimento!#REF!) - (3.13 * Crescimento!#REF!*Crescimento!#REF!)</f>
        <v>#REF!</v>
      </c>
      <c r="AR87" s="6" t="e">
        <f>(AS86+(Crescimento!#REF!-(AS86*0.64))/0.8)/1000</f>
        <v>#REF!</v>
      </c>
      <c r="AS87" s="7" t="e">
        <f>-53.07 + (304.89 * (AR87)) + (90.79 *Crescimento!#REF!) - (3.13 * Crescimento!#REF!*Crescimento!#REF!)</f>
        <v>#REF!</v>
      </c>
      <c r="AU87" s="6" t="e">
        <f>(AV86+(Crescimento!#REF!-(AV86*0.64))/0.8)/1000</f>
        <v>#REF!</v>
      </c>
      <c r="AV87" s="7" t="e">
        <f>-53.07 + (304.89 * (AU87)) + (90.79 *Crescimento!#REF!) - (3.13 * Crescimento!#REF!*Crescimento!#REF!)</f>
        <v>#REF!</v>
      </c>
      <c r="AX87" s="6" t="e">
        <f>(AY86+(Crescimento!#REF!-(AY86*0.64))/0.8)/1000</f>
        <v>#REF!</v>
      </c>
      <c r="AY87" s="7" t="e">
        <f>-53.07 + (304.89 * (AX87)) + (90.79 *Crescimento!#REF!) - (3.13 * Crescimento!#REF!*Crescimento!#REF!)</f>
        <v>#REF!</v>
      </c>
      <c r="AZ87" s="1"/>
      <c r="BA87" s="6" t="e">
        <f>(BB86+(Crescimento!#REF!-(BB86*0.64))/0.8)/1000</f>
        <v>#REF!</v>
      </c>
      <c r="BB87" s="7" t="e">
        <f>-53.07 + (304.89 * (BA87)) + (90.79 *Crescimento!#REF!) - (3.13 * Crescimento!#REF!*Crescimento!#REF!)</f>
        <v>#REF!</v>
      </c>
      <c r="BD87" s="6" t="e">
        <f>(BE86+(Crescimento!#REF!-(BE86*0.64))/0.8)/1000</f>
        <v>#REF!</v>
      </c>
      <c r="BE87" s="7" t="e">
        <f>-53.07 + (304.89 * (BD87)) + (90.79 *Crescimento!#REF!) - (3.13 * Crescimento!#REF!*Crescimento!#REF!)</f>
        <v>#REF!</v>
      </c>
      <c r="BG87" s="6" t="e">
        <f>(BH86+(Crescimento!#REF!-(BH86*0.64))/0.8)/1000</f>
        <v>#REF!</v>
      </c>
      <c r="BH87" s="7" t="e">
        <f>-53.07 + (304.89 * (BG87)) + (90.79 *Crescimento!#REF!) - (3.13 * Crescimento!#REF!*Crescimento!#REF!)</f>
        <v>#REF!</v>
      </c>
      <c r="BJ87" s="6" t="e">
        <f>(BK86+(Crescimento!#REF!-(BK86*0.64))/0.8)/1000</f>
        <v>#REF!</v>
      </c>
      <c r="BK87" s="7" t="e">
        <f>-53.07 + (304.89 * (BJ87)) + (90.79 *Crescimento!#REF!) - (3.13 * Crescimento!#REF!*Crescimento!#REF!)</f>
        <v>#REF!</v>
      </c>
      <c r="BL87" s="1"/>
      <c r="BM87" s="6" t="e">
        <f>(BN86+(Crescimento!#REF!-(BN86*0.64))/0.8)/1000</f>
        <v>#REF!</v>
      </c>
      <c r="BN87" s="7" t="e">
        <f>-53.07 + (304.89 * (BM87)) + (90.79 *Crescimento!#REF!) - (3.13 * Crescimento!#REF!*Crescimento!#REF!)</f>
        <v>#REF!</v>
      </c>
      <c r="BP87" s="6" t="e">
        <f>(BQ86+(Crescimento!#REF!-(BQ86*0.64))/0.8)/1000</f>
        <v>#REF!</v>
      </c>
      <c r="BQ87" s="7" t="e">
        <f>-53.07 + (304.89 * (BP87)) + (90.79 *Crescimento!#REF!) - (3.13 * Crescimento!#REF!*Crescimento!#REF!)</f>
        <v>#REF!</v>
      </c>
      <c r="BS87" s="6" t="e">
        <f>(BT86+(Crescimento!#REF!-(BT86*0.64))/0.8)/1000</f>
        <v>#REF!</v>
      </c>
      <c r="BT87" s="7" t="e">
        <f>-53.07 + (304.89 * (BS87)) + (90.79 *Crescimento!#REF!) - (3.13 * Crescimento!#REF!*Crescimento!#REF!)</f>
        <v>#REF!</v>
      </c>
      <c r="BV87" s="6" t="e">
        <f>(BW86+(Crescimento!#REF!-(BW86*0.64))/0.8)/1000</f>
        <v>#REF!</v>
      </c>
      <c r="BW87" s="7" t="e">
        <f>-53.07 + (304.89 * (BV87)) + (90.79 *Crescimento!#REF!) - (3.13 * Crescimento!#REF!*Crescimento!#REF!)</f>
        <v>#REF!</v>
      </c>
      <c r="BX87" s="1"/>
      <c r="BY87" s="6" t="e">
        <f>(BZ86+(Crescimento!#REF!-(BZ86*0.64))/0.8)/1000</f>
        <v>#REF!</v>
      </c>
      <c r="BZ87" s="7" t="e">
        <f>-53.07 + (304.89 * (BY87)) + (90.79 *Crescimento!#REF!) - (3.13 * Crescimento!#REF!*Crescimento!#REF!)</f>
        <v>#REF!</v>
      </c>
      <c r="CB87" s="6" t="e">
        <f>(CC86+(Crescimento!#REF!-(CC86*0.64))/0.8)/1000</f>
        <v>#REF!</v>
      </c>
      <c r="CC87" s="7" t="e">
        <f>-53.07 + (304.89 * (CB87)) + (90.79 *Crescimento!#REF!) - (3.13 * Crescimento!#REF!*Crescimento!#REF!)</f>
        <v>#REF!</v>
      </c>
      <c r="CE87" s="6" t="e">
        <f>(CF86+(Crescimento!#REF!-(CF86*0.64))/0.8)/1000</f>
        <v>#REF!</v>
      </c>
      <c r="CF87" s="7" t="e">
        <f>-53.07 + (304.89 * (CE87)) + (90.79 *Crescimento!#REF!) - (3.13 * Crescimento!#REF!*Crescimento!#REF!)</f>
        <v>#REF!</v>
      </c>
      <c r="CH87" s="6" t="e">
        <f>(CI86+(Crescimento!#REF!-(CI86*0.64))/0.8)/1000</f>
        <v>#REF!</v>
      </c>
      <c r="CI87" s="7" t="e">
        <f>-53.07 + (304.89 * (CH87)) + (90.79 *Crescimento!#REF!) - (3.13 * Crescimento!#REF!*Crescimento!#REF!)</f>
        <v>#REF!</v>
      </c>
      <c r="CJ87" s="1"/>
      <c r="CK87" s="6" t="e">
        <f>(CL86+(Crescimento!#REF!-(CL86*0.64))/0.8)/1000</f>
        <v>#REF!</v>
      </c>
      <c r="CL87" s="7" t="e">
        <f>-53.07 + (304.89 * (CK87)) + (90.79 *Crescimento!#REF!) - (3.13 * Crescimento!#REF!*Crescimento!#REF!)</f>
        <v>#REF!</v>
      </c>
      <c r="CN87" s="6" t="e">
        <f>(CO86+(Crescimento!#REF!-(CO86*0.64))/0.8)/1000</f>
        <v>#REF!</v>
      </c>
      <c r="CO87" s="7" t="e">
        <f>-53.07 + (304.89 * (CN87)) + (90.79 *Crescimento!#REF!) - (3.13 * Crescimento!#REF!*Crescimento!#REF!)</f>
        <v>#REF!</v>
      </c>
      <c r="CQ87" s="6" t="e">
        <f>(CR86+(Crescimento!#REF!-(CR86*0.64))/0.8)/1000</f>
        <v>#REF!</v>
      </c>
      <c r="CR87" s="7" t="e">
        <f>-53.07 + (304.89 * (CQ87)) + (90.79 *Crescimento!#REF!) - (3.13 * Crescimento!#REF!*Crescimento!#REF!)</f>
        <v>#REF!</v>
      </c>
    </row>
    <row r="88" spans="2:96" x14ac:dyDescent="0.25">
      <c r="B88" s="6">
        <f>(C87+(Crescimento!$Q$27-(C87*0.64))/0.8)/1000</f>
        <v>1.1187993738011861</v>
      </c>
      <c r="C88" s="8">
        <f>-53.07 + (304.89 * (B88)) + (90.79 *Crescimento!$Q$20) - (3.13 * Crescimento!$Q$20*Crescimento!$Q$20)</f>
        <v>757.4287040082213</v>
      </c>
      <c r="D88" s="1"/>
      <c r="E88" s="6" t="e">
        <f>(F87+(Crescimento!#REF!-(F87*0.64))/0.8)/1000</f>
        <v>#REF!</v>
      </c>
      <c r="F88" s="7" t="e">
        <f>-53.07 + (304.89 * (E88)) + (90.79 *Crescimento!#REF!) - (3.13 * Crescimento!#REF!*Crescimento!#REF!)</f>
        <v>#REF!</v>
      </c>
      <c r="H88" s="6" t="e">
        <f>(I87+(Crescimento!#REF!-(I87*0.64))/0.8)/1000</f>
        <v>#REF!</v>
      </c>
      <c r="I88" s="7" t="e">
        <f>-53.07 + (304.89 * (H88)) + (90.79 *Crescimento!#REF!) - (3.13 * Crescimento!#REF!*Crescimento!#REF!)</f>
        <v>#REF!</v>
      </c>
      <c r="K88" s="6" t="e">
        <f>(L87+(Crescimento!#REF!-(L87*0.64))/0.8)/1000</f>
        <v>#REF!</v>
      </c>
      <c r="L88" s="7" t="e">
        <f>-53.07 + (304.89 * (K88)) + (90.79 *Crescimento!#REF!) - (3.13 * Crescimento!#REF!*Crescimento!#REF!)</f>
        <v>#REF!</v>
      </c>
      <c r="N88" s="6" t="e">
        <f>(O87+(Crescimento!#REF!-(O87*0.64))/0.8)/1000</f>
        <v>#REF!</v>
      </c>
      <c r="O88" s="7" t="e">
        <f>-53.07 + (304.89 * (N88)) + (90.79 *Crescimento!#REF!) - (3.13 * Crescimento!#REF!*Crescimento!#REF!)</f>
        <v>#REF!</v>
      </c>
      <c r="P88" s="1"/>
      <c r="Q88" s="6" t="e">
        <f>(R87+(Crescimento!#REF!-(R87*0.64))/0.8)/1000</f>
        <v>#REF!</v>
      </c>
      <c r="R88" s="7" t="e">
        <f>-53.07 + (304.89 * (Q88)) + (90.79 *Crescimento!#REF!) - (3.13 * Crescimento!#REF!*Crescimento!#REF!)</f>
        <v>#REF!</v>
      </c>
      <c r="T88" s="6" t="e">
        <f>(U87+(Crescimento!#REF!-(U87*0.64))/0.8)/1000</f>
        <v>#REF!</v>
      </c>
      <c r="U88" s="7" t="e">
        <f>-53.07 + (304.89 * (T88)) + (90.79 *Crescimento!#REF!) - (3.13 * Crescimento!#REF!*Crescimento!#REF!)</f>
        <v>#REF!</v>
      </c>
      <c r="W88" s="6" t="e">
        <f>(X87+(Crescimento!#REF!-(X87*0.64))/0.8)/1000</f>
        <v>#REF!</v>
      </c>
      <c r="X88" s="7" t="e">
        <f>-53.07 + (304.89 * (W88)) + (90.79 *Crescimento!#REF!) - (3.13 * Crescimento!#REF!*Crescimento!#REF!)</f>
        <v>#REF!</v>
      </c>
      <c r="Z88" s="6" t="e">
        <f>(AA87+(Crescimento!#REF!-(AA87*0.64))/0.8)/1000</f>
        <v>#REF!</v>
      </c>
      <c r="AA88" s="7" t="e">
        <f>-53.07 + (304.89 * (Z88)) + (90.79 *Crescimento!#REF!) - (3.13 * Crescimento!#REF!*Crescimento!#REF!)</f>
        <v>#REF!</v>
      </c>
      <c r="AB88" s="1"/>
      <c r="AC88" s="6" t="e">
        <f>(AD87+(Crescimento!#REF!-(AD87*0.64))/0.8)/1000</f>
        <v>#REF!</v>
      </c>
      <c r="AD88" s="7" t="e">
        <f>-53.07 + (304.89 * (AC88)) + (90.79 *Crescimento!#REF!) - (3.13 * Crescimento!#REF!*Crescimento!#REF!)</f>
        <v>#REF!</v>
      </c>
      <c r="AF88" s="6" t="e">
        <f>(AG87+(Crescimento!#REF!-(AG87*0.64))/0.8)/1000</f>
        <v>#REF!</v>
      </c>
      <c r="AG88" s="7" t="e">
        <f>-53.07 + (304.89 * (AF88)) + (90.79 *Crescimento!#REF!) - (3.13 * Crescimento!#REF!*Crescimento!#REF!)</f>
        <v>#REF!</v>
      </c>
      <c r="AI88" s="6" t="e">
        <f>(AJ87+(Crescimento!#REF!-(AJ87*0.64))/0.8)/1000</f>
        <v>#REF!</v>
      </c>
      <c r="AJ88" s="7" t="e">
        <f>-53.07 + (304.89 * (AI88)) + (90.79 *Crescimento!#REF!) - (3.13 * Crescimento!#REF!*Crescimento!#REF!)</f>
        <v>#REF!</v>
      </c>
      <c r="AL88" s="6" t="e">
        <f>(AM87+(Crescimento!#REF!-(AM87*0.64))/0.8)/1000</f>
        <v>#REF!</v>
      </c>
      <c r="AM88" s="7" t="e">
        <f>-53.07 + (304.89 * (AL88)) + (90.79 *Crescimento!#REF!) - (3.13 * Crescimento!#REF!*Crescimento!#REF!)</f>
        <v>#REF!</v>
      </c>
      <c r="AN88" s="1"/>
      <c r="AO88" s="6" t="e">
        <f>(AP87+(Crescimento!#REF!-(AP87*0.64))/0.8)/1000</f>
        <v>#REF!</v>
      </c>
      <c r="AP88" s="7" t="e">
        <f>-53.07 + (304.89 * (AO88)) + (90.79 *Crescimento!#REF!) - (3.13 * Crescimento!#REF!*Crescimento!#REF!)</f>
        <v>#REF!</v>
      </c>
      <c r="AR88" s="6" t="e">
        <f>(AS87+(Crescimento!#REF!-(AS87*0.64))/0.8)/1000</f>
        <v>#REF!</v>
      </c>
      <c r="AS88" s="7" t="e">
        <f>-53.07 + (304.89 * (AR88)) + (90.79 *Crescimento!#REF!) - (3.13 * Crescimento!#REF!*Crescimento!#REF!)</f>
        <v>#REF!</v>
      </c>
      <c r="AU88" s="6" t="e">
        <f>(AV87+(Crescimento!#REF!-(AV87*0.64))/0.8)/1000</f>
        <v>#REF!</v>
      </c>
      <c r="AV88" s="7" t="e">
        <f>-53.07 + (304.89 * (AU88)) + (90.79 *Crescimento!#REF!) - (3.13 * Crescimento!#REF!*Crescimento!#REF!)</f>
        <v>#REF!</v>
      </c>
      <c r="AX88" s="6" t="e">
        <f>(AY87+(Crescimento!#REF!-(AY87*0.64))/0.8)/1000</f>
        <v>#REF!</v>
      </c>
      <c r="AY88" s="7" t="e">
        <f>-53.07 + (304.89 * (AX88)) + (90.79 *Crescimento!#REF!) - (3.13 * Crescimento!#REF!*Crescimento!#REF!)</f>
        <v>#REF!</v>
      </c>
      <c r="AZ88" s="1"/>
      <c r="BA88" s="6" t="e">
        <f>(BB87+(Crescimento!#REF!-(BB87*0.64))/0.8)/1000</f>
        <v>#REF!</v>
      </c>
      <c r="BB88" s="7" t="e">
        <f>-53.07 + (304.89 * (BA88)) + (90.79 *Crescimento!#REF!) - (3.13 * Crescimento!#REF!*Crescimento!#REF!)</f>
        <v>#REF!</v>
      </c>
      <c r="BD88" s="6" t="e">
        <f>(BE87+(Crescimento!#REF!-(BE87*0.64))/0.8)/1000</f>
        <v>#REF!</v>
      </c>
      <c r="BE88" s="7" t="e">
        <f>-53.07 + (304.89 * (BD88)) + (90.79 *Crescimento!#REF!) - (3.13 * Crescimento!#REF!*Crescimento!#REF!)</f>
        <v>#REF!</v>
      </c>
      <c r="BG88" s="6" t="e">
        <f>(BH87+(Crescimento!#REF!-(BH87*0.64))/0.8)/1000</f>
        <v>#REF!</v>
      </c>
      <c r="BH88" s="7" t="e">
        <f>-53.07 + (304.89 * (BG88)) + (90.79 *Crescimento!#REF!) - (3.13 * Crescimento!#REF!*Crescimento!#REF!)</f>
        <v>#REF!</v>
      </c>
      <c r="BJ88" s="6" t="e">
        <f>(BK87+(Crescimento!#REF!-(BK87*0.64))/0.8)/1000</f>
        <v>#REF!</v>
      </c>
      <c r="BK88" s="7" t="e">
        <f>-53.07 + (304.89 * (BJ88)) + (90.79 *Crescimento!#REF!) - (3.13 * Crescimento!#REF!*Crescimento!#REF!)</f>
        <v>#REF!</v>
      </c>
      <c r="BL88" s="1"/>
      <c r="BM88" s="6" t="e">
        <f>(BN87+(Crescimento!#REF!-(BN87*0.64))/0.8)/1000</f>
        <v>#REF!</v>
      </c>
      <c r="BN88" s="7" t="e">
        <f>-53.07 + (304.89 * (BM88)) + (90.79 *Crescimento!#REF!) - (3.13 * Crescimento!#REF!*Crescimento!#REF!)</f>
        <v>#REF!</v>
      </c>
      <c r="BP88" s="6" t="e">
        <f>(BQ87+(Crescimento!#REF!-(BQ87*0.64))/0.8)/1000</f>
        <v>#REF!</v>
      </c>
      <c r="BQ88" s="7" t="e">
        <f>-53.07 + (304.89 * (BP88)) + (90.79 *Crescimento!#REF!) - (3.13 * Crescimento!#REF!*Crescimento!#REF!)</f>
        <v>#REF!</v>
      </c>
      <c r="BS88" s="6" t="e">
        <f>(BT87+(Crescimento!#REF!-(BT87*0.64))/0.8)/1000</f>
        <v>#REF!</v>
      </c>
      <c r="BT88" s="7" t="e">
        <f>-53.07 + (304.89 * (BS88)) + (90.79 *Crescimento!#REF!) - (3.13 * Crescimento!#REF!*Crescimento!#REF!)</f>
        <v>#REF!</v>
      </c>
      <c r="BV88" s="6" t="e">
        <f>(BW87+(Crescimento!#REF!-(BW87*0.64))/0.8)/1000</f>
        <v>#REF!</v>
      </c>
      <c r="BW88" s="7" t="e">
        <f>-53.07 + (304.89 * (BV88)) + (90.79 *Crescimento!#REF!) - (3.13 * Crescimento!#REF!*Crescimento!#REF!)</f>
        <v>#REF!</v>
      </c>
      <c r="BX88" s="1"/>
      <c r="BY88" s="6" t="e">
        <f>(BZ87+(Crescimento!#REF!-(BZ87*0.64))/0.8)/1000</f>
        <v>#REF!</v>
      </c>
      <c r="BZ88" s="7" t="e">
        <f>-53.07 + (304.89 * (BY88)) + (90.79 *Crescimento!#REF!) - (3.13 * Crescimento!#REF!*Crescimento!#REF!)</f>
        <v>#REF!</v>
      </c>
      <c r="CB88" s="6" t="e">
        <f>(CC87+(Crescimento!#REF!-(CC87*0.64))/0.8)/1000</f>
        <v>#REF!</v>
      </c>
      <c r="CC88" s="7" t="e">
        <f>-53.07 + (304.89 * (CB88)) + (90.79 *Crescimento!#REF!) - (3.13 * Crescimento!#REF!*Crescimento!#REF!)</f>
        <v>#REF!</v>
      </c>
      <c r="CE88" s="6" t="e">
        <f>(CF87+(Crescimento!#REF!-(CF87*0.64))/0.8)/1000</f>
        <v>#REF!</v>
      </c>
      <c r="CF88" s="7" t="e">
        <f>-53.07 + (304.89 * (CE88)) + (90.79 *Crescimento!#REF!) - (3.13 * Crescimento!#REF!*Crescimento!#REF!)</f>
        <v>#REF!</v>
      </c>
      <c r="CH88" s="6" t="e">
        <f>(CI87+(Crescimento!#REF!-(CI87*0.64))/0.8)/1000</f>
        <v>#REF!</v>
      </c>
      <c r="CI88" s="7" t="e">
        <f>-53.07 + (304.89 * (CH88)) + (90.79 *Crescimento!#REF!) - (3.13 * Crescimento!#REF!*Crescimento!#REF!)</f>
        <v>#REF!</v>
      </c>
      <c r="CJ88" s="1"/>
      <c r="CK88" s="6" t="e">
        <f>(CL87+(Crescimento!#REF!-(CL87*0.64))/0.8)/1000</f>
        <v>#REF!</v>
      </c>
      <c r="CL88" s="7" t="e">
        <f>-53.07 + (304.89 * (CK88)) + (90.79 *Crescimento!#REF!) - (3.13 * Crescimento!#REF!*Crescimento!#REF!)</f>
        <v>#REF!</v>
      </c>
      <c r="CN88" s="6" t="e">
        <f>(CO87+(Crescimento!#REF!-(CO87*0.64))/0.8)/1000</f>
        <v>#REF!</v>
      </c>
      <c r="CO88" s="7" t="e">
        <f>-53.07 + (304.89 * (CN88)) + (90.79 *Crescimento!#REF!) - (3.13 * Crescimento!#REF!*Crescimento!#REF!)</f>
        <v>#REF!</v>
      </c>
      <c r="CQ88" s="6" t="e">
        <f>(CR87+(Crescimento!#REF!-(CR87*0.64))/0.8)/1000</f>
        <v>#REF!</v>
      </c>
      <c r="CR88" s="7" t="e">
        <f>-53.07 + (304.89 * (CQ88)) + (90.79 *Crescimento!#REF!) - (3.13 * Crescimento!#REF!*Crescimento!#REF!)</f>
        <v>#REF!</v>
      </c>
    </row>
    <row r="89" spans="2:96" x14ac:dyDescent="0.25">
      <c r="B89" s="6">
        <f>(C88+(Crescimento!$Q$27-(C88*0.64))/0.8)/1000</f>
        <v>1.1187993738011861</v>
      </c>
      <c r="C89" s="8">
        <f>-53.07 + (304.89 * (B89)) + (90.79 *Crescimento!$Q$20) - (3.13 * Crescimento!$Q$20*Crescimento!$Q$20)</f>
        <v>757.4287040082213</v>
      </c>
      <c r="D89" s="1"/>
      <c r="E89" s="6" t="e">
        <f>(F88+(Crescimento!#REF!-(F88*0.64))/0.8)/1000</f>
        <v>#REF!</v>
      </c>
      <c r="F89" s="7" t="e">
        <f>-53.07 + (304.89 * (E89)) + (90.79 *Crescimento!#REF!) - (3.13 * Crescimento!#REF!*Crescimento!#REF!)</f>
        <v>#REF!</v>
      </c>
      <c r="H89" s="6" t="e">
        <f>(I88+(Crescimento!#REF!-(I88*0.64))/0.8)/1000</f>
        <v>#REF!</v>
      </c>
      <c r="I89" s="7" t="e">
        <f>-53.07 + (304.89 * (H89)) + (90.79 *Crescimento!#REF!) - (3.13 * Crescimento!#REF!*Crescimento!#REF!)</f>
        <v>#REF!</v>
      </c>
      <c r="K89" s="6" t="e">
        <f>(L88+(Crescimento!#REF!-(L88*0.64))/0.8)/1000</f>
        <v>#REF!</v>
      </c>
      <c r="L89" s="7" t="e">
        <f>-53.07 + (304.89 * (K89)) + (90.79 *Crescimento!#REF!) - (3.13 * Crescimento!#REF!*Crescimento!#REF!)</f>
        <v>#REF!</v>
      </c>
      <c r="N89" s="6" t="e">
        <f>(O88+(Crescimento!#REF!-(O88*0.64))/0.8)/1000</f>
        <v>#REF!</v>
      </c>
      <c r="O89" s="7" t="e">
        <f>-53.07 + (304.89 * (N89)) + (90.79 *Crescimento!#REF!) - (3.13 * Crescimento!#REF!*Crescimento!#REF!)</f>
        <v>#REF!</v>
      </c>
      <c r="P89" s="1"/>
      <c r="Q89" s="6" t="e">
        <f>(R88+(Crescimento!#REF!-(R88*0.64))/0.8)/1000</f>
        <v>#REF!</v>
      </c>
      <c r="R89" s="7" t="e">
        <f>-53.07 + (304.89 * (Q89)) + (90.79 *Crescimento!#REF!) - (3.13 * Crescimento!#REF!*Crescimento!#REF!)</f>
        <v>#REF!</v>
      </c>
      <c r="T89" s="6" t="e">
        <f>(U88+(Crescimento!#REF!-(U88*0.64))/0.8)/1000</f>
        <v>#REF!</v>
      </c>
      <c r="U89" s="7" t="e">
        <f>-53.07 + (304.89 * (T89)) + (90.79 *Crescimento!#REF!) - (3.13 * Crescimento!#REF!*Crescimento!#REF!)</f>
        <v>#REF!</v>
      </c>
      <c r="W89" s="6" t="e">
        <f>(X88+(Crescimento!#REF!-(X88*0.64))/0.8)/1000</f>
        <v>#REF!</v>
      </c>
      <c r="X89" s="7" t="e">
        <f>-53.07 + (304.89 * (W89)) + (90.79 *Crescimento!#REF!) - (3.13 * Crescimento!#REF!*Crescimento!#REF!)</f>
        <v>#REF!</v>
      </c>
      <c r="Z89" s="6" t="e">
        <f>(AA88+(Crescimento!#REF!-(AA88*0.64))/0.8)/1000</f>
        <v>#REF!</v>
      </c>
      <c r="AA89" s="7" t="e">
        <f>-53.07 + (304.89 * (Z89)) + (90.79 *Crescimento!#REF!) - (3.13 * Crescimento!#REF!*Crescimento!#REF!)</f>
        <v>#REF!</v>
      </c>
      <c r="AB89" s="1"/>
      <c r="AC89" s="6" t="e">
        <f>(AD88+(Crescimento!#REF!-(AD88*0.64))/0.8)/1000</f>
        <v>#REF!</v>
      </c>
      <c r="AD89" s="7" t="e">
        <f>-53.07 + (304.89 * (AC89)) + (90.79 *Crescimento!#REF!) - (3.13 * Crescimento!#REF!*Crescimento!#REF!)</f>
        <v>#REF!</v>
      </c>
      <c r="AF89" s="6" t="e">
        <f>(AG88+(Crescimento!#REF!-(AG88*0.64))/0.8)/1000</f>
        <v>#REF!</v>
      </c>
      <c r="AG89" s="7" t="e">
        <f>-53.07 + (304.89 * (AF89)) + (90.79 *Crescimento!#REF!) - (3.13 * Crescimento!#REF!*Crescimento!#REF!)</f>
        <v>#REF!</v>
      </c>
      <c r="AI89" s="6" t="e">
        <f>(AJ88+(Crescimento!#REF!-(AJ88*0.64))/0.8)/1000</f>
        <v>#REF!</v>
      </c>
      <c r="AJ89" s="7" t="e">
        <f>-53.07 + (304.89 * (AI89)) + (90.79 *Crescimento!#REF!) - (3.13 * Crescimento!#REF!*Crescimento!#REF!)</f>
        <v>#REF!</v>
      </c>
      <c r="AL89" s="6" t="e">
        <f>(AM88+(Crescimento!#REF!-(AM88*0.64))/0.8)/1000</f>
        <v>#REF!</v>
      </c>
      <c r="AM89" s="7" t="e">
        <f>-53.07 + (304.89 * (AL89)) + (90.79 *Crescimento!#REF!) - (3.13 * Crescimento!#REF!*Crescimento!#REF!)</f>
        <v>#REF!</v>
      </c>
      <c r="AN89" s="1"/>
      <c r="AO89" s="6" t="e">
        <f>(AP88+(Crescimento!#REF!-(AP88*0.64))/0.8)/1000</f>
        <v>#REF!</v>
      </c>
      <c r="AP89" s="7" t="e">
        <f>-53.07 + (304.89 * (AO89)) + (90.79 *Crescimento!#REF!) - (3.13 * Crescimento!#REF!*Crescimento!#REF!)</f>
        <v>#REF!</v>
      </c>
      <c r="AR89" s="6" t="e">
        <f>(AS88+(Crescimento!#REF!-(AS88*0.64))/0.8)/1000</f>
        <v>#REF!</v>
      </c>
      <c r="AS89" s="7" t="e">
        <f>-53.07 + (304.89 * (AR89)) + (90.79 *Crescimento!#REF!) - (3.13 * Crescimento!#REF!*Crescimento!#REF!)</f>
        <v>#REF!</v>
      </c>
      <c r="AU89" s="6" t="e">
        <f>(AV88+(Crescimento!#REF!-(AV88*0.64))/0.8)/1000</f>
        <v>#REF!</v>
      </c>
      <c r="AV89" s="7" t="e">
        <f>-53.07 + (304.89 * (AU89)) + (90.79 *Crescimento!#REF!) - (3.13 * Crescimento!#REF!*Crescimento!#REF!)</f>
        <v>#REF!</v>
      </c>
      <c r="AX89" s="6" t="e">
        <f>(AY88+(Crescimento!#REF!-(AY88*0.64))/0.8)/1000</f>
        <v>#REF!</v>
      </c>
      <c r="AY89" s="7" t="e">
        <f>-53.07 + (304.89 * (AX89)) + (90.79 *Crescimento!#REF!) - (3.13 * Crescimento!#REF!*Crescimento!#REF!)</f>
        <v>#REF!</v>
      </c>
      <c r="AZ89" s="1"/>
      <c r="BA89" s="6" t="e">
        <f>(BB88+(Crescimento!#REF!-(BB88*0.64))/0.8)/1000</f>
        <v>#REF!</v>
      </c>
      <c r="BB89" s="7" t="e">
        <f>-53.07 + (304.89 * (BA89)) + (90.79 *Crescimento!#REF!) - (3.13 * Crescimento!#REF!*Crescimento!#REF!)</f>
        <v>#REF!</v>
      </c>
      <c r="BD89" s="6" t="e">
        <f>(BE88+(Crescimento!#REF!-(BE88*0.64))/0.8)/1000</f>
        <v>#REF!</v>
      </c>
      <c r="BE89" s="7" t="e">
        <f>-53.07 + (304.89 * (BD89)) + (90.79 *Crescimento!#REF!) - (3.13 * Crescimento!#REF!*Crescimento!#REF!)</f>
        <v>#REF!</v>
      </c>
      <c r="BG89" s="6" t="e">
        <f>(BH88+(Crescimento!#REF!-(BH88*0.64))/0.8)/1000</f>
        <v>#REF!</v>
      </c>
      <c r="BH89" s="7" t="e">
        <f>-53.07 + (304.89 * (BG89)) + (90.79 *Crescimento!#REF!) - (3.13 * Crescimento!#REF!*Crescimento!#REF!)</f>
        <v>#REF!</v>
      </c>
      <c r="BJ89" s="6" t="e">
        <f>(BK88+(Crescimento!#REF!-(BK88*0.64))/0.8)/1000</f>
        <v>#REF!</v>
      </c>
      <c r="BK89" s="7" t="e">
        <f>-53.07 + (304.89 * (BJ89)) + (90.79 *Crescimento!#REF!) - (3.13 * Crescimento!#REF!*Crescimento!#REF!)</f>
        <v>#REF!</v>
      </c>
      <c r="BL89" s="1"/>
      <c r="BM89" s="6" t="e">
        <f>(BN88+(Crescimento!#REF!-(BN88*0.64))/0.8)/1000</f>
        <v>#REF!</v>
      </c>
      <c r="BN89" s="7" t="e">
        <f>-53.07 + (304.89 * (BM89)) + (90.79 *Crescimento!#REF!) - (3.13 * Crescimento!#REF!*Crescimento!#REF!)</f>
        <v>#REF!</v>
      </c>
      <c r="BP89" s="6" t="e">
        <f>(BQ88+(Crescimento!#REF!-(BQ88*0.64))/0.8)/1000</f>
        <v>#REF!</v>
      </c>
      <c r="BQ89" s="7" t="e">
        <f>-53.07 + (304.89 * (BP89)) + (90.79 *Crescimento!#REF!) - (3.13 * Crescimento!#REF!*Crescimento!#REF!)</f>
        <v>#REF!</v>
      </c>
      <c r="BS89" s="6" t="e">
        <f>(BT88+(Crescimento!#REF!-(BT88*0.64))/0.8)/1000</f>
        <v>#REF!</v>
      </c>
      <c r="BT89" s="7" t="e">
        <f>-53.07 + (304.89 * (BS89)) + (90.79 *Crescimento!#REF!) - (3.13 * Crescimento!#REF!*Crescimento!#REF!)</f>
        <v>#REF!</v>
      </c>
      <c r="BV89" s="6" t="e">
        <f>(BW88+(Crescimento!#REF!-(BW88*0.64))/0.8)/1000</f>
        <v>#REF!</v>
      </c>
      <c r="BW89" s="7" t="e">
        <f>-53.07 + (304.89 * (BV89)) + (90.79 *Crescimento!#REF!) - (3.13 * Crescimento!#REF!*Crescimento!#REF!)</f>
        <v>#REF!</v>
      </c>
      <c r="BX89" s="1"/>
      <c r="BY89" s="6" t="e">
        <f>(BZ88+(Crescimento!#REF!-(BZ88*0.64))/0.8)/1000</f>
        <v>#REF!</v>
      </c>
      <c r="BZ89" s="7" t="e">
        <f>-53.07 + (304.89 * (BY89)) + (90.79 *Crescimento!#REF!) - (3.13 * Crescimento!#REF!*Crescimento!#REF!)</f>
        <v>#REF!</v>
      </c>
      <c r="CB89" s="6" t="e">
        <f>(CC88+(Crescimento!#REF!-(CC88*0.64))/0.8)/1000</f>
        <v>#REF!</v>
      </c>
      <c r="CC89" s="7" t="e">
        <f>-53.07 + (304.89 * (CB89)) + (90.79 *Crescimento!#REF!) - (3.13 * Crescimento!#REF!*Crescimento!#REF!)</f>
        <v>#REF!</v>
      </c>
      <c r="CE89" s="6" t="e">
        <f>(CF88+(Crescimento!#REF!-(CF88*0.64))/0.8)/1000</f>
        <v>#REF!</v>
      </c>
      <c r="CF89" s="7" t="e">
        <f>-53.07 + (304.89 * (CE89)) + (90.79 *Crescimento!#REF!) - (3.13 * Crescimento!#REF!*Crescimento!#REF!)</f>
        <v>#REF!</v>
      </c>
      <c r="CH89" s="6" t="e">
        <f>(CI88+(Crescimento!#REF!-(CI88*0.64))/0.8)/1000</f>
        <v>#REF!</v>
      </c>
      <c r="CI89" s="7" t="e">
        <f>-53.07 + (304.89 * (CH89)) + (90.79 *Crescimento!#REF!) - (3.13 * Crescimento!#REF!*Crescimento!#REF!)</f>
        <v>#REF!</v>
      </c>
      <c r="CJ89" s="1"/>
      <c r="CK89" s="6" t="e">
        <f>(CL88+(Crescimento!#REF!-(CL88*0.64))/0.8)/1000</f>
        <v>#REF!</v>
      </c>
      <c r="CL89" s="7" t="e">
        <f>-53.07 + (304.89 * (CK89)) + (90.79 *Crescimento!#REF!) - (3.13 * Crescimento!#REF!*Crescimento!#REF!)</f>
        <v>#REF!</v>
      </c>
      <c r="CN89" s="6" t="e">
        <f>(CO88+(Crescimento!#REF!-(CO88*0.64))/0.8)/1000</f>
        <v>#REF!</v>
      </c>
      <c r="CO89" s="7" t="e">
        <f>-53.07 + (304.89 * (CN89)) + (90.79 *Crescimento!#REF!) - (3.13 * Crescimento!#REF!*Crescimento!#REF!)</f>
        <v>#REF!</v>
      </c>
      <c r="CQ89" s="6" t="e">
        <f>(CR88+(Crescimento!#REF!-(CR88*0.64))/0.8)/1000</f>
        <v>#REF!</v>
      </c>
      <c r="CR89" s="7" t="e">
        <f>-53.07 + (304.89 * (CQ89)) + (90.79 *Crescimento!#REF!) - (3.13 * Crescimento!#REF!*Crescimento!#REF!)</f>
        <v>#REF!</v>
      </c>
    </row>
    <row r="90" spans="2:96" x14ac:dyDescent="0.25">
      <c r="B90" s="6">
        <f>(C89+(Crescimento!$Q$27-(C89*0.64))/0.8)/1000</f>
        <v>1.1187993738011861</v>
      </c>
      <c r="C90" s="8">
        <f>-53.07 + (304.89 * (B90)) + (90.79 *Crescimento!$Q$20) - (3.13 * Crescimento!$Q$20*Crescimento!$Q$20)</f>
        <v>757.4287040082213</v>
      </c>
      <c r="D90" s="1"/>
      <c r="E90" s="6" t="e">
        <f>(F89+(Crescimento!#REF!-(F89*0.64))/0.8)/1000</f>
        <v>#REF!</v>
      </c>
      <c r="F90" s="7" t="e">
        <f>-53.07 + (304.89 * (E90)) + (90.79 *Crescimento!#REF!) - (3.13 * Crescimento!#REF!*Crescimento!#REF!)</f>
        <v>#REF!</v>
      </c>
      <c r="H90" s="6" t="e">
        <f>(I89+(Crescimento!#REF!-(I89*0.64))/0.8)/1000</f>
        <v>#REF!</v>
      </c>
      <c r="I90" s="7" t="e">
        <f>-53.07 + (304.89 * (H90)) + (90.79 *Crescimento!#REF!) - (3.13 * Crescimento!#REF!*Crescimento!#REF!)</f>
        <v>#REF!</v>
      </c>
      <c r="K90" s="6" t="e">
        <f>(L89+(Crescimento!#REF!-(L89*0.64))/0.8)/1000</f>
        <v>#REF!</v>
      </c>
      <c r="L90" s="7" t="e">
        <f>-53.07 + (304.89 * (K90)) + (90.79 *Crescimento!#REF!) - (3.13 * Crescimento!#REF!*Crescimento!#REF!)</f>
        <v>#REF!</v>
      </c>
      <c r="N90" s="6" t="e">
        <f>(O89+(Crescimento!#REF!-(O89*0.64))/0.8)/1000</f>
        <v>#REF!</v>
      </c>
      <c r="O90" s="7" t="e">
        <f>-53.07 + (304.89 * (N90)) + (90.79 *Crescimento!#REF!) - (3.13 * Crescimento!#REF!*Crescimento!#REF!)</f>
        <v>#REF!</v>
      </c>
      <c r="P90" s="1"/>
      <c r="Q90" s="6" t="e">
        <f>(R89+(Crescimento!#REF!-(R89*0.64))/0.8)/1000</f>
        <v>#REF!</v>
      </c>
      <c r="R90" s="7" t="e">
        <f>-53.07 + (304.89 * (Q90)) + (90.79 *Crescimento!#REF!) - (3.13 * Crescimento!#REF!*Crescimento!#REF!)</f>
        <v>#REF!</v>
      </c>
      <c r="T90" s="6" t="e">
        <f>(U89+(Crescimento!#REF!-(U89*0.64))/0.8)/1000</f>
        <v>#REF!</v>
      </c>
      <c r="U90" s="7" t="e">
        <f>-53.07 + (304.89 * (T90)) + (90.79 *Crescimento!#REF!) - (3.13 * Crescimento!#REF!*Crescimento!#REF!)</f>
        <v>#REF!</v>
      </c>
      <c r="W90" s="6" t="e">
        <f>(X89+(Crescimento!#REF!-(X89*0.64))/0.8)/1000</f>
        <v>#REF!</v>
      </c>
      <c r="X90" s="7" t="e">
        <f>-53.07 + (304.89 * (W90)) + (90.79 *Crescimento!#REF!) - (3.13 * Crescimento!#REF!*Crescimento!#REF!)</f>
        <v>#REF!</v>
      </c>
      <c r="Z90" s="6" t="e">
        <f>(AA89+(Crescimento!#REF!-(AA89*0.64))/0.8)/1000</f>
        <v>#REF!</v>
      </c>
      <c r="AA90" s="7" t="e">
        <f>-53.07 + (304.89 * (Z90)) + (90.79 *Crescimento!#REF!) - (3.13 * Crescimento!#REF!*Crescimento!#REF!)</f>
        <v>#REF!</v>
      </c>
      <c r="AB90" s="1"/>
      <c r="AC90" s="6" t="e">
        <f>(AD89+(Crescimento!#REF!-(AD89*0.64))/0.8)/1000</f>
        <v>#REF!</v>
      </c>
      <c r="AD90" s="7" t="e">
        <f>-53.07 + (304.89 * (AC90)) + (90.79 *Crescimento!#REF!) - (3.13 * Crescimento!#REF!*Crescimento!#REF!)</f>
        <v>#REF!</v>
      </c>
      <c r="AF90" s="6" t="e">
        <f>(AG89+(Crescimento!#REF!-(AG89*0.64))/0.8)/1000</f>
        <v>#REF!</v>
      </c>
      <c r="AG90" s="7" t="e">
        <f>-53.07 + (304.89 * (AF90)) + (90.79 *Crescimento!#REF!) - (3.13 * Crescimento!#REF!*Crescimento!#REF!)</f>
        <v>#REF!</v>
      </c>
      <c r="AI90" s="6" t="e">
        <f>(AJ89+(Crescimento!#REF!-(AJ89*0.64))/0.8)/1000</f>
        <v>#REF!</v>
      </c>
      <c r="AJ90" s="7" t="e">
        <f>-53.07 + (304.89 * (AI90)) + (90.79 *Crescimento!#REF!) - (3.13 * Crescimento!#REF!*Crescimento!#REF!)</f>
        <v>#REF!</v>
      </c>
      <c r="AL90" s="6" t="e">
        <f>(AM89+(Crescimento!#REF!-(AM89*0.64))/0.8)/1000</f>
        <v>#REF!</v>
      </c>
      <c r="AM90" s="7" t="e">
        <f>-53.07 + (304.89 * (AL90)) + (90.79 *Crescimento!#REF!) - (3.13 * Crescimento!#REF!*Crescimento!#REF!)</f>
        <v>#REF!</v>
      </c>
      <c r="AN90" s="1"/>
      <c r="AO90" s="6" t="e">
        <f>(AP89+(Crescimento!#REF!-(AP89*0.64))/0.8)/1000</f>
        <v>#REF!</v>
      </c>
      <c r="AP90" s="7" t="e">
        <f>-53.07 + (304.89 * (AO90)) + (90.79 *Crescimento!#REF!) - (3.13 * Crescimento!#REF!*Crescimento!#REF!)</f>
        <v>#REF!</v>
      </c>
      <c r="AR90" s="6" t="e">
        <f>(AS89+(Crescimento!#REF!-(AS89*0.64))/0.8)/1000</f>
        <v>#REF!</v>
      </c>
      <c r="AS90" s="7" t="e">
        <f>-53.07 + (304.89 * (AR90)) + (90.79 *Crescimento!#REF!) - (3.13 * Crescimento!#REF!*Crescimento!#REF!)</f>
        <v>#REF!</v>
      </c>
      <c r="AU90" s="6" t="e">
        <f>(AV89+(Crescimento!#REF!-(AV89*0.64))/0.8)/1000</f>
        <v>#REF!</v>
      </c>
      <c r="AV90" s="7" t="e">
        <f>-53.07 + (304.89 * (AU90)) + (90.79 *Crescimento!#REF!) - (3.13 * Crescimento!#REF!*Crescimento!#REF!)</f>
        <v>#REF!</v>
      </c>
      <c r="AX90" s="6" t="e">
        <f>(AY89+(Crescimento!#REF!-(AY89*0.64))/0.8)/1000</f>
        <v>#REF!</v>
      </c>
      <c r="AY90" s="7" t="e">
        <f>-53.07 + (304.89 * (AX90)) + (90.79 *Crescimento!#REF!) - (3.13 * Crescimento!#REF!*Crescimento!#REF!)</f>
        <v>#REF!</v>
      </c>
      <c r="AZ90" s="1"/>
      <c r="BA90" s="6" t="e">
        <f>(BB89+(Crescimento!#REF!-(BB89*0.64))/0.8)/1000</f>
        <v>#REF!</v>
      </c>
      <c r="BB90" s="7" t="e">
        <f>-53.07 + (304.89 * (BA90)) + (90.79 *Crescimento!#REF!) - (3.13 * Crescimento!#REF!*Crescimento!#REF!)</f>
        <v>#REF!</v>
      </c>
      <c r="BD90" s="6" t="e">
        <f>(BE89+(Crescimento!#REF!-(BE89*0.64))/0.8)/1000</f>
        <v>#REF!</v>
      </c>
      <c r="BE90" s="7" t="e">
        <f>-53.07 + (304.89 * (BD90)) + (90.79 *Crescimento!#REF!) - (3.13 * Crescimento!#REF!*Crescimento!#REF!)</f>
        <v>#REF!</v>
      </c>
      <c r="BG90" s="6" t="e">
        <f>(BH89+(Crescimento!#REF!-(BH89*0.64))/0.8)/1000</f>
        <v>#REF!</v>
      </c>
      <c r="BH90" s="7" t="e">
        <f>-53.07 + (304.89 * (BG90)) + (90.79 *Crescimento!#REF!) - (3.13 * Crescimento!#REF!*Crescimento!#REF!)</f>
        <v>#REF!</v>
      </c>
      <c r="BJ90" s="6" t="e">
        <f>(BK89+(Crescimento!#REF!-(BK89*0.64))/0.8)/1000</f>
        <v>#REF!</v>
      </c>
      <c r="BK90" s="7" t="e">
        <f>-53.07 + (304.89 * (BJ90)) + (90.79 *Crescimento!#REF!) - (3.13 * Crescimento!#REF!*Crescimento!#REF!)</f>
        <v>#REF!</v>
      </c>
      <c r="BL90" s="1"/>
      <c r="BM90" s="6" t="e">
        <f>(BN89+(Crescimento!#REF!-(BN89*0.64))/0.8)/1000</f>
        <v>#REF!</v>
      </c>
      <c r="BN90" s="7" t="e">
        <f>-53.07 + (304.89 * (BM90)) + (90.79 *Crescimento!#REF!) - (3.13 * Crescimento!#REF!*Crescimento!#REF!)</f>
        <v>#REF!</v>
      </c>
      <c r="BP90" s="6" t="e">
        <f>(BQ89+(Crescimento!#REF!-(BQ89*0.64))/0.8)/1000</f>
        <v>#REF!</v>
      </c>
      <c r="BQ90" s="7" t="e">
        <f>-53.07 + (304.89 * (BP90)) + (90.79 *Crescimento!#REF!) - (3.13 * Crescimento!#REF!*Crescimento!#REF!)</f>
        <v>#REF!</v>
      </c>
      <c r="BS90" s="6" t="e">
        <f>(BT89+(Crescimento!#REF!-(BT89*0.64))/0.8)/1000</f>
        <v>#REF!</v>
      </c>
      <c r="BT90" s="7" t="e">
        <f>-53.07 + (304.89 * (BS90)) + (90.79 *Crescimento!#REF!) - (3.13 * Crescimento!#REF!*Crescimento!#REF!)</f>
        <v>#REF!</v>
      </c>
      <c r="BV90" s="6" t="e">
        <f>(BW89+(Crescimento!#REF!-(BW89*0.64))/0.8)/1000</f>
        <v>#REF!</v>
      </c>
      <c r="BW90" s="7" t="e">
        <f>-53.07 + (304.89 * (BV90)) + (90.79 *Crescimento!#REF!) - (3.13 * Crescimento!#REF!*Crescimento!#REF!)</f>
        <v>#REF!</v>
      </c>
      <c r="BX90" s="1"/>
      <c r="BY90" s="6" t="e">
        <f>(BZ89+(Crescimento!#REF!-(BZ89*0.64))/0.8)/1000</f>
        <v>#REF!</v>
      </c>
      <c r="BZ90" s="7" t="e">
        <f>-53.07 + (304.89 * (BY90)) + (90.79 *Crescimento!#REF!) - (3.13 * Crescimento!#REF!*Crescimento!#REF!)</f>
        <v>#REF!</v>
      </c>
      <c r="CB90" s="6" t="e">
        <f>(CC89+(Crescimento!#REF!-(CC89*0.64))/0.8)/1000</f>
        <v>#REF!</v>
      </c>
      <c r="CC90" s="7" t="e">
        <f>-53.07 + (304.89 * (CB90)) + (90.79 *Crescimento!#REF!) - (3.13 * Crescimento!#REF!*Crescimento!#REF!)</f>
        <v>#REF!</v>
      </c>
      <c r="CE90" s="6" t="e">
        <f>(CF89+(Crescimento!#REF!-(CF89*0.64))/0.8)/1000</f>
        <v>#REF!</v>
      </c>
      <c r="CF90" s="7" t="e">
        <f>-53.07 + (304.89 * (CE90)) + (90.79 *Crescimento!#REF!) - (3.13 * Crescimento!#REF!*Crescimento!#REF!)</f>
        <v>#REF!</v>
      </c>
      <c r="CH90" s="6" t="e">
        <f>(CI89+(Crescimento!#REF!-(CI89*0.64))/0.8)/1000</f>
        <v>#REF!</v>
      </c>
      <c r="CI90" s="7" t="e">
        <f>-53.07 + (304.89 * (CH90)) + (90.79 *Crescimento!#REF!) - (3.13 * Crescimento!#REF!*Crescimento!#REF!)</f>
        <v>#REF!</v>
      </c>
      <c r="CJ90" s="1"/>
      <c r="CK90" s="6" t="e">
        <f>(CL89+(Crescimento!#REF!-(CL89*0.64))/0.8)/1000</f>
        <v>#REF!</v>
      </c>
      <c r="CL90" s="7" t="e">
        <f>-53.07 + (304.89 * (CK90)) + (90.79 *Crescimento!#REF!) - (3.13 * Crescimento!#REF!*Crescimento!#REF!)</f>
        <v>#REF!</v>
      </c>
      <c r="CN90" s="6" t="e">
        <f>(CO89+(Crescimento!#REF!-(CO89*0.64))/0.8)/1000</f>
        <v>#REF!</v>
      </c>
      <c r="CO90" s="7" t="e">
        <f>-53.07 + (304.89 * (CN90)) + (90.79 *Crescimento!#REF!) - (3.13 * Crescimento!#REF!*Crescimento!#REF!)</f>
        <v>#REF!</v>
      </c>
      <c r="CQ90" s="6" t="e">
        <f>(CR89+(Crescimento!#REF!-(CR89*0.64))/0.8)/1000</f>
        <v>#REF!</v>
      </c>
      <c r="CR90" s="7" t="e">
        <f>-53.07 + (304.89 * (CQ90)) + (90.79 *Crescimento!#REF!) - (3.13 * Crescimento!#REF!*Crescimento!#REF!)</f>
        <v>#REF!</v>
      </c>
    </row>
    <row r="91" spans="2:96" x14ac:dyDescent="0.25">
      <c r="B91" s="6">
        <f>(C90+(Crescimento!$Q$27-(C90*0.64))/0.8)/1000</f>
        <v>1.1187993738011861</v>
      </c>
      <c r="C91" s="8">
        <f>-53.07 + (304.89 * (B91)) + (90.79 *Crescimento!$Q$20) - (3.13 * Crescimento!$Q$20*Crescimento!$Q$20)</f>
        <v>757.4287040082213</v>
      </c>
      <c r="D91" s="1"/>
      <c r="E91" s="6" t="e">
        <f>(F90+(Crescimento!#REF!-(F90*0.64))/0.8)/1000</f>
        <v>#REF!</v>
      </c>
      <c r="F91" s="7" t="e">
        <f>-53.07 + (304.89 * (E91)) + (90.79 *Crescimento!#REF!) - (3.13 * Crescimento!#REF!*Crescimento!#REF!)</f>
        <v>#REF!</v>
      </c>
      <c r="H91" s="6" t="e">
        <f>(I90+(Crescimento!#REF!-(I90*0.64))/0.8)/1000</f>
        <v>#REF!</v>
      </c>
      <c r="I91" s="7" t="e">
        <f>-53.07 + (304.89 * (H91)) + (90.79 *Crescimento!#REF!) - (3.13 * Crescimento!#REF!*Crescimento!#REF!)</f>
        <v>#REF!</v>
      </c>
      <c r="K91" s="6" t="e">
        <f>(L90+(Crescimento!#REF!-(L90*0.64))/0.8)/1000</f>
        <v>#REF!</v>
      </c>
      <c r="L91" s="7" t="e">
        <f>-53.07 + (304.89 * (K91)) + (90.79 *Crescimento!#REF!) - (3.13 * Crescimento!#REF!*Crescimento!#REF!)</f>
        <v>#REF!</v>
      </c>
      <c r="N91" s="6" t="e">
        <f>(O90+(Crescimento!#REF!-(O90*0.64))/0.8)/1000</f>
        <v>#REF!</v>
      </c>
      <c r="O91" s="7" t="e">
        <f>-53.07 + (304.89 * (N91)) + (90.79 *Crescimento!#REF!) - (3.13 * Crescimento!#REF!*Crescimento!#REF!)</f>
        <v>#REF!</v>
      </c>
      <c r="P91" s="1"/>
      <c r="Q91" s="6" t="e">
        <f>(R90+(Crescimento!#REF!-(R90*0.64))/0.8)/1000</f>
        <v>#REF!</v>
      </c>
      <c r="R91" s="7" t="e">
        <f>-53.07 + (304.89 * (Q91)) + (90.79 *Crescimento!#REF!) - (3.13 * Crescimento!#REF!*Crescimento!#REF!)</f>
        <v>#REF!</v>
      </c>
      <c r="T91" s="6" t="e">
        <f>(U90+(Crescimento!#REF!-(U90*0.64))/0.8)/1000</f>
        <v>#REF!</v>
      </c>
      <c r="U91" s="7" t="e">
        <f>-53.07 + (304.89 * (T91)) + (90.79 *Crescimento!#REF!) - (3.13 * Crescimento!#REF!*Crescimento!#REF!)</f>
        <v>#REF!</v>
      </c>
      <c r="W91" s="6" t="e">
        <f>(X90+(Crescimento!#REF!-(X90*0.64))/0.8)/1000</f>
        <v>#REF!</v>
      </c>
      <c r="X91" s="7" t="e">
        <f>-53.07 + (304.89 * (W91)) + (90.79 *Crescimento!#REF!) - (3.13 * Crescimento!#REF!*Crescimento!#REF!)</f>
        <v>#REF!</v>
      </c>
      <c r="Z91" s="6" t="e">
        <f>(AA90+(Crescimento!#REF!-(AA90*0.64))/0.8)/1000</f>
        <v>#REF!</v>
      </c>
      <c r="AA91" s="7" t="e">
        <f>-53.07 + (304.89 * (Z91)) + (90.79 *Crescimento!#REF!) - (3.13 * Crescimento!#REF!*Crescimento!#REF!)</f>
        <v>#REF!</v>
      </c>
      <c r="AB91" s="1"/>
      <c r="AC91" s="6" t="e">
        <f>(AD90+(Crescimento!#REF!-(AD90*0.64))/0.8)/1000</f>
        <v>#REF!</v>
      </c>
      <c r="AD91" s="7" t="e">
        <f>-53.07 + (304.89 * (AC91)) + (90.79 *Crescimento!#REF!) - (3.13 * Crescimento!#REF!*Crescimento!#REF!)</f>
        <v>#REF!</v>
      </c>
      <c r="AF91" s="6" t="e">
        <f>(AG90+(Crescimento!#REF!-(AG90*0.64))/0.8)/1000</f>
        <v>#REF!</v>
      </c>
      <c r="AG91" s="7" t="e">
        <f>-53.07 + (304.89 * (AF91)) + (90.79 *Crescimento!#REF!) - (3.13 * Crescimento!#REF!*Crescimento!#REF!)</f>
        <v>#REF!</v>
      </c>
      <c r="AI91" s="6" t="e">
        <f>(AJ90+(Crescimento!#REF!-(AJ90*0.64))/0.8)/1000</f>
        <v>#REF!</v>
      </c>
      <c r="AJ91" s="7" t="e">
        <f>-53.07 + (304.89 * (AI91)) + (90.79 *Crescimento!#REF!) - (3.13 * Crescimento!#REF!*Crescimento!#REF!)</f>
        <v>#REF!</v>
      </c>
      <c r="AL91" s="6" t="e">
        <f>(AM90+(Crescimento!#REF!-(AM90*0.64))/0.8)/1000</f>
        <v>#REF!</v>
      </c>
      <c r="AM91" s="7" t="e">
        <f>-53.07 + (304.89 * (AL91)) + (90.79 *Crescimento!#REF!) - (3.13 * Crescimento!#REF!*Crescimento!#REF!)</f>
        <v>#REF!</v>
      </c>
      <c r="AN91" s="1"/>
      <c r="AO91" s="6" t="e">
        <f>(AP90+(Crescimento!#REF!-(AP90*0.64))/0.8)/1000</f>
        <v>#REF!</v>
      </c>
      <c r="AP91" s="7" t="e">
        <f>-53.07 + (304.89 * (AO91)) + (90.79 *Crescimento!#REF!) - (3.13 * Crescimento!#REF!*Crescimento!#REF!)</f>
        <v>#REF!</v>
      </c>
      <c r="AR91" s="6" t="e">
        <f>(AS90+(Crescimento!#REF!-(AS90*0.64))/0.8)/1000</f>
        <v>#REF!</v>
      </c>
      <c r="AS91" s="7" t="e">
        <f>-53.07 + (304.89 * (AR91)) + (90.79 *Crescimento!#REF!) - (3.13 * Crescimento!#REF!*Crescimento!#REF!)</f>
        <v>#REF!</v>
      </c>
      <c r="AU91" s="6" t="e">
        <f>(AV90+(Crescimento!#REF!-(AV90*0.64))/0.8)/1000</f>
        <v>#REF!</v>
      </c>
      <c r="AV91" s="7" t="e">
        <f>-53.07 + (304.89 * (AU91)) + (90.79 *Crescimento!#REF!) - (3.13 * Crescimento!#REF!*Crescimento!#REF!)</f>
        <v>#REF!</v>
      </c>
      <c r="AX91" s="6" t="e">
        <f>(AY90+(Crescimento!#REF!-(AY90*0.64))/0.8)/1000</f>
        <v>#REF!</v>
      </c>
      <c r="AY91" s="7" t="e">
        <f>-53.07 + (304.89 * (AX91)) + (90.79 *Crescimento!#REF!) - (3.13 * Crescimento!#REF!*Crescimento!#REF!)</f>
        <v>#REF!</v>
      </c>
      <c r="AZ91" s="1"/>
      <c r="BA91" s="6" t="e">
        <f>(BB90+(Crescimento!#REF!-(BB90*0.64))/0.8)/1000</f>
        <v>#REF!</v>
      </c>
      <c r="BB91" s="7" t="e">
        <f>-53.07 + (304.89 * (BA91)) + (90.79 *Crescimento!#REF!) - (3.13 * Crescimento!#REF!*Crescimento!#REF!)</f>
        <v>#REF!</v>
      </c>
      <c r="BD91" s="6" t="e">
        <f>(BE90+(Crescimento!#REF!-(BE90*0.64))/0.8)/1000</f>
        <v>#REF!</v>
      </c>
      <c r="BE91" s="7" t="e">
        <f>-53.07 + (304.89 * (BD91)) + (90.79 *Crescimento!#REF!) - (3.13 * Crescimento!#REF!*Crescimento!#REF!)</f>
        <v>#REF!</v>
      </c>
      <c r="BG91" s="6" t="e">
        <f>(BH90+(Crescimento!#REF!-(BH90*0.64))/0.8)/1000</f>
        <v>#REF!</v>
      </c>
      <c r="BH91" s="7" t="e">
        <f>-53.07 + (304.89 * (BG91)) + (90.79 *Crescimento!#REF!) - (3.13 * Crescimento!#REF!*Crescimento!#REF!)</f>
        <v>#REF!</v>
      </c>
      <c r="BJ91" s="6" t="e">
        <f>(BK90+(Crescimento!#REF!-(BK90*0.64))/0.8)/1000</f>
        <v>#REF!</v>
      </c>
      <c r="BK91" s="7" t="e">
        <f>-53.07 + (304.89 * (BJ91)) + (90.79 *Crescimento!#REF!) - (3.13 * Crescimento!#REF!*Crescimento!#REF!)</f>
        <v>#REF!</v>
      </c>
      <c r="BL91" s="1"/>
      <c r="BM91" s="6" t="e">
        <f>(BN90+(Crescimento!#REF!-(BN90*0.64))/0.8)/1000</f>
        <v>#REF!</v>
      </c>
      <c r="BN91" s="7" t="e">
        <f>-53.07 + (304.89 * (BM91)) + (90.79 *Crescimento!#REF!) - (3.13 * Crescimento!#REF!*Crescimento!#REF!)</f>
        <v>#REF!</v>
      </c>
      <c r="BP91" s="6" t="e">
        <f>(BQ90+(Crescimento!#REF!-(BQ90*0.64))/0.8)/1000</f>
        <v>#REF!</v>
      </c>
      <c r="BQ91" s="7" t="e">
        <f>-53.07 + (304.89 * (BP91)) + (90.79 *Crescimento!#REF!) - (3.13 * Crescimento!#REF!*Crescimento!#REF!)</f>
        <v>#REF!</v>
      </c>
      <c r="BS91" s="6" t="e">
        <f>(BT90+(Crescimento!#REF!-(BT90*0.64))/0.8)/1000</f>
        <v>#REF!</v>
      </c>
      <c r="BT91" s="7" t="e">
        <f>-53.07 + (304.89 * (BS91)) + (90.79 *Crescimento!#REF!) - (3.13 * Crescimento!#REF!*Crescimento!#REF!)</f>
        <v>#REF!</v>
      </c>
      <c r="BV91" s="6" t="e">
        <f>(BW90+(Crescimento!#REF!-(BW90*0.64))/0.8)/1000</f>
        <v>#REF!</v>
      </c>
      <c r="BW91" s="7" t="e">
        <f>-53.07 + (304.89 * (BV91)) + (90.79 *Crescimento!#REF!) - (3.13 * Crescimento!#REF!*Crescimento!#REF!)</f>
        <v>#REF!</v>
      </c>
      <c r="BX91" s="1"/>
      <c r="BY91" s="6" t="e">
        <f>(BZ90+(Crescimento!#REF!-(BZ90*0.64))/0.8)/1000</f>
        <v>#REF!</v>
      </c>
      <c r="BZ91" s="7" t="e">
        <f>-53.07 + (304.89 * (BY91)) + (90.79 *Crescimento!#REF!) - (3.13 * Crescimento!#REF!*Crescimento!#REF!)</f>
        <v>#REF!</v>
      </c>
      <c r="CB91" s="6" t="e">
        <f>(CC90+(Crescimento!#REF!-(CC90*0.64))/0.8)/1000</f>
        <v>#REF!</v>
      </c>
      <c r="CC91" s="7" t="e">
        <f>-53.07 + (304.89 * (CB91)) + (90.79 *Crescimento!#REF!) - (3.13 * Crescimento!#REF!*Crescimento!#REF!)</f>
        <v>#REF!</v>
      </c>
      <c r="CE91" s="6" t="e">
        <f>(CF90+(Crescimento!#REF!-(CF90*0.64))/0.8)/1000</f>
        <v>#REF!</v>
      </c>
      <c r="CF91" s="7" t="e">
        <f>-53.07 + (304.89 * (CE91)) + (90.79 *Crescimento!#REF!) - (3.13 * Crescimento!#REF!*Crescimento!#REF!)</f>
        <v>#REF!</v>
      </c>
      <c r="CH91" s="6" t="e">
        <f>(CI90+(Crescimento!#REF!-(CI90*0.64))/0.8)/1000</f>
        <v>#REF!</v>
      </c>
      <c r="CI91" s="7" t="e">
        <f>-53.07 + (304.89 * (CH91)) + (90.79 *Crescimento!#REF!) - (3.13 * Crescimento!#REF!*Crescimento!#REF!)</f>
        <v>#REF!</v>
      </c>
      <c r="CJ91" s="1"/>
      <c r="CK91" s="6" t="e">
        <f>(CL90+(Crescimento!#REF!-(CL90*0.64))/0.8)/1000</f>
        <v>#REF!</v>
      </c>
      <c r="CL91" s="7" t="e">
        <f>-53.07 + (304.89 * (CK91)) + (90.79 *Crescimento!#REF!) - (3.13 * Crescimento!#REF!*Crescimento!#REF!)</f>
        <v>#REF!</v>
      </c>
      <c r="CN91" s="6" t="e">
        <f>(CO90+(Crescimento!#REF!-(CO90*0.64))/0.8)/1000</f>
        <v>#REF!</v>
      </c>
      <c r="CO91" s="7" t="e">
        <f>-53.07 + (304.89 * (CN91)) + (90.79 *Crescimento!#REF!) - (3.13 * Crescimento!#REF!*Crescimento!#REF!)</f>
        <v>#REF!</v>
      </c>
      <c r="CQ91" s="6" t="e">
        <f>(CR90+(Crescimento!#REF!-(CR90*0.64))/0.8)/1000</f>
        <v>#REF!</v>
      </c>
      <c r="CR91" s="7" t="e">
        <f>-53.07 + (304.89 * (CQ91)) + (90.79 *Crescimento!#REF!) - (3.13 * Crescimento!#REF!*Crescimento!#REF!)</f>
        <v>#REF!</v>
      </c>
    </row>
    <row r="92" spans="2:96" x14ac:dyDescent="0.25">
      <c r="B92" s="6">
        <f>(C91+(Crescimento!$Q$27-(C91*0.64))/0.8)/1000</f>
        <v>1.1187993738011861</v>
      </c>
      <c r="C92" s="8">
        <f>-53.07 + (304.89 * (B92)) + (90.79 *Crescimento!$Q$20) - (3.13 * Crescimento!$Q$20*Crescimento!$Q$20)</f>
        <v>757.4287040082213</v>
      </c>
      <c r="D92" s="1"/>
      <c r="E92" s="6" t="e">
        <f>(F91+(Crescimento!#REF!-(F91*0.64))/0.8)/1000</f>
        <v>#REF!</v>
      </c>
      <c r="F92" s="7" t="e">
        <f>-53.07 + (304.89 * (E92)) + (90.79 *Crescimento!#REF!) - (3.13 * Crescimento!#REF!*Crescimento!#REF!)</f>
        <v>#REF!</v>
      </c>
      <c r="H92" s="6" t="e">
        <f>(I91+(Crescimento!#REF!-(I91*0.64))/0.8)/1000</f>
        <v>#REF!</v>
      </c>
      <c r="I92" s="7" t="e">
        <f>-53.07 + (304.89 * (H92)) + (90.79 *Crescimento!#REF!) - (3.13 * Crescimento!#REF!*Crescimento!#REF!)</f>
        <v>#REF!</v>
      </c>
      <c r="K92" s="6" t="e">
        <f>(L91+(Crescimento!#REF!-(L91*0.64))/0.8)/1000</f>
        <v>#REF!</v>
      </c>
      <c r="L92" s="7" t="e">
        <f>-53.07 + (304.89 * (K92)) + (90.79 *Crescimento!#REF!) - (3.13 * Crescimento!#REF!*Crescimento!#REF!)</f>
        <v>#REF!</v>
      </c>
      <c r="N92" s="6" t="e">
        <f>(O91+(Crescimento!#REF!-(O91*0.64))/0.8)/1000</f>
        <v>#REF!</v>
      </c>
      <c r="O92" s="7" t="e">
        <f>-53.07 + (304.89 * (N92)) + (90.79 *Crescimento!#REF!) - (3.13 * Crescimento!#REF!*Crescimento!#REF!)</f>
        <v>#REF!</v>
      </c>
      <c r="P92" s="1"/>
      <c r="Q92" s="6" t="e">
        <f>(R91+(Crescimento!#REF!-(R91*0.64))/0.8)/1000</f>
        <v>#REF!</v>
      </c>
      <c r="R92" s="7" t="e">
        <f>-53.07 + (304.89 * (Q92)) + (90.79 *Crescimento!#REF!) - (3.13 * Crescimento!#REF!*Crescimento!#REF!)</f>
        <v>#REF!</v>
      </c>
      <c r="T92" s="6" t="e">
        <f>(U91+(Crescimento!#REF!-(U91*0.64))/0.8)/1000</f>
        <v>#REF!</v>
      </c>
      <c r="U92" s="7" t="e">
        <f>-53.07 + (304.89 * (T92)) + (90.79 *Crescimento!#REF!) - (3.13 * Crescimento!#REF!*Crescimento!#REF!)</f>
        <v>#REF!</v>
      </c>
      <c r="W92" s="6" t="e">
        <f>(X91+(Crescimento!#REF!-(X91*0.64))/0.8)/1000</f>
        <v>#REF!</v>
      </c>
      <c r="X92" s="7" t="e">
        <f>-53.07 + (304.89 * (W92)) + (90.79 *Crescimento!#REF!) - (3.13 * Crescimento!#REF!*Crescimento!#REF!)</f>
        <v>#REF!</v>
      </c>
      <c r="Z92" s="6" t="e">
        <f>(AA91+(Crescimento!#REF!-(AA91*0.64))/0.8)/1000</f>
        <v>#REF!</v>
      </c>
      <c r="AA92" s="7" t="e">
        <f>-53.07 + (304.89 * (Z92)) + (90.79 *Crescimento!#REF!) - (3.13 * Crescimento!#REF!*Crescimento!#REF!)</f>
        <v>#REF!</v>
      </c>
      <c r="AB92" s="1"/>
      <c r="AC92" s="6" t="e">
        <f>(AD91+(Crescimento!#REF!-(AD91*0.64))/0.8)/1000</f>
        <v>#REF!</v>
      </c>
      <c r="AD92" s="7" t="e">
        <f>-53.07 + (304.89 * (AC92)) + (90.79 *Crescimento!#REF!) - (3.13 * Crescimento!#REF!*Crescimento!#REF!)</f>
        <v>#REF!</v>
      </c>
      <c r="AF92" s="6" t="e">
        <f>(AG91+(Crescimento!#REF!-(AG91*0.64))/0.8)/1000</f>
        <v>#REF!</v>
      </c>
      <c r="AG92" s="7" t="e">
        <f>-53.07 + (304.89 * (AF92)) + (90.79 *Crescimento!#REF!) - (3.13 * Crescimento!#REF!*Crescimento!#REF!)</f>
        <v>#REF!</v>
      </c>
      <c r="AI92" s="6" t="e">
        <f>(AJ91+(Crescimento!#REF!-(AJ91*0.64))/0.8)/1000</f>
        <v>#REF!</v>
      </c>
      <c r="AJ92" s="7" t="e">
        <f>-53.07 + (304.89 * (AI92)) + (90.79 *Crescimento!#REF!) - (3.13 * Crescimento!#REF!*Crescimento!#REF!)</f>
        <v>#REF!</v>
      </c>
      <c r="AL92" s="6" t="e">
        <f>(AM91+(Crescimento!#REF!-(AM91*0.64))/0.8)/1000</f>
        <v>#REF!</v>
      </c>
      <c r="AM92" s="7" t="e">
        <f>-53.07 + (304.89 * (AL92)) + (90.79 *Crescimento!#REF!) - (3.13 * Crescimento!#REF!*Crescimento!#REF!)</f>
        <v>#REF!</v>
      </c>
      <c r="AN92" s="1"/>
      <c r="AO92" s="6" t="e">
        <f>(AP91+(Crescimento!#REF!-(AP91*0.64))/0.8)/1000</f>
        <v>#REF!</v>
      </c>
      <c r="AP92" s="7" t="e">
        <f>-53.07 + (304.89 * (AO92)) + (90.79 *Crescimento!#REF!) - (3.13 * Crescimento!#REF!*Crescimento!#REF!)</f>
        <v>#REF!</v>
      </c>
      <c r="AR92" s="6" t="e">
        <f>(AS91+(Crescimento!#REF!-(AS91*0.64))/0.8)/1000</f>
        <v>#REF!</v>
      </c>
      <c r="AS92" s="7" t="e">
        <f>-53.07 + (304.89 * (AR92)) + (90.79 *Crescimento!#REF!) - (3.13 * Crescimento!#REF!*Crescimento!#REF!)</f>
        <v>#REF!</v>
      </c>
      <c r="AU92" s="6" t="e">
        <f>(AV91+(Crescimento!#REF!-(AV91*0.64))/0.8)/1000</f>
        <v>#REF!</v>
      </c>
      <c r="AV92" s="7" t="e">
        <f>-53.07 + (304.89 * (AU92)) + (90.79 *Crescimento!#REF!) - (3.13 * Crescimento!#REF!*Crescimento!#REF!)</f>
        <v>#REF!</v>
      </c>
      <c r="AX92" s="6" t="e">
        <f>(AY91+(Crescimento!#REF!-(AY91*0.64))/0.8)/1000</f>
        <v>#REF!</v>
      </c>
      <c r="AY92" s="7" t="e">
        <f>-53.07 + (304.89 * (AX92)) + (90.79 *Crescimento!#REF!) - (3.13 * Crescimento!#REF!*Crescimento!#REF!)</f>
        <v>#REF!</v>
      </c>
      <c r="AZ92" s="1"/>
      <c r="BA92" s="6" t="e">
        <f>(BB91+(Crescimento!#REF!-(BB91*0.64))/0.8)/1000</f>
        <v>#REF!</v>
      </c>
      <c r="BB92" s="7" t="e">
        <f>-53.07 + (304.89 * (BA92)) + (90.79 *Crescimento!#REF!) - (3.13 * Crescimento!#REF!*Crescimento!#REF!)</f>
        <v>#REF!</v>
      </c>
      <c r="BD92" s="6" t="e">
        <f>(BE91+(Crescimento!#REF!-(BE91*0.64))/0.8)/1000</f>
        <v>#REF!</v>
      </c>
      <c r="BE92" s="7" t="e">
        <f>-53.07 + (304.89 * (BD92)) + (90.79 *Crescimento!#REF!) - (3.13 * Crescimento!#REF!*Crescimento!#REF!)</f>
        <v>#REF!</v>
      </c>
      <c r="BG92" s="6" t="e">
        <f>(BH91+(Crescimento!#REF!-(BH91*0.64))/0.8)/1000</f>
        <v>#REF!</v>
      </c>
      <c r="BH92" s="7" t="e">
        <f>-53.07 + (304.89 * (BG92)) + (90.79 *Crescimento!#REF!) - (3.13 * Crescimento!#REF!*Crescimento!#REF!)</f>
        <v>#REF!</v>
      </c>
      <c r="BJ92" s="6" t="e">
        <f>(BK91+(Crescimento!#REF!-(BK91*0.64))/0.8)/1000</f>
        <v>#REF!</v>
      </c>
      <c r="BK92" s="7" t="e">
        <f>-53.07 + (304.89 * (BJ92)) + (90.79 *Crescimento!#REF!) - (3.13 * Crescimento!#REF!*Crescimento!#REF!)</f>
        <v>#REF!</v>
      </c>
      <c r="BL92" s="1"/>
      <c r="BM92" s="6" t="e">
        <f>(BN91+(Crescimento!#REF!-(BN91*0.64))/0.8)/1000</f>
        <v>#REF!</v>
      </c>
      <c r="BN92" s="7" t="e">
        <f>-53.07 + (304.89 * (BM92)) + (90.79 *Crescimento!#REF!) - (3.13 * Crescimento!#REF!*Crescimento!#REF!)</f>
        <v>#REF!</v>
      </c>
      <c r="BP92" s="6" t="e">
        <f>(BQ91+(Crescimento!#REF!-(BQ91*0.64))/0.8)/1000</f>
        <v>#REF!</v>
      </c>
      <c r="BQ92" s="7" t="e">
        <f>-53.07 + (304.89 * (BP92)) + (90.79 *Crescimento!#REF!) - (3.13 * Crescimento!#REF!*Crescimento!#REF!)</f>
        <v>#REF!</v>
      </c>
      <c r="BS92" s="6" t="e">
        <f>(BT91+(Crescimento!#REF!-(BT91*0.64))/0.8)/1000</f>
        <v>#REF!</v>
      </c>
      <c r="BT92" s="7" t="e">
        <f>-53.07 + (304.89 * (BS92)) + (90.79 *Crescimento!#REF!) - (3.13 * Crescimento!#REF!*Crescimento!#REF!)</f>
        <v>#REF!</v>
      </c>
      <c r="BV92" s="6" t="e">
        <f>(BW91+(Crescimento!#REF!-(BW91*0.64))/0.8)/1000</f>
        <v>#REF!</v>
      </c>
      <c r="BW92" s="7" t="e">
        <f>-53.07 + (304.89 * (BV92)) + (90.79 *Crescimento!#REF!) - (3.13 * Crescimento!#REF!*Crescimento!#REF!)</f>
        <v>#REF!</v>
      </c>
      <c r="BX92" s="1"/>
      <c r="BY92" s="6" t="e">
        <f>(BZ91+(Crescimento!#REF!-(BZ91*0.64))/0.8)/1000</f>
        <v>#REF!</v>
      </c>
      <c r="BZ92" s="7" t="e">
        <f>-53.07 + (304.89 * (BY92)) + (90.79 *Crescimento!#REF!) - (3.13 * Crescimento!#REF!*Crescimento!#REF!)</f>
        <v>#REF!</v>
      </c>
      <c r="CB92" s="6" t="e">
        <f>(CC91+(Crescimento!#REF!-(CC91*0.64))/0.8)/1000</f>
        <v>#REF!</v>
      </c>
      <c r="CC92" s="7" t="e">
        <f>-53.07 + (304.89 * (CB92)) + (90.79 *Crescimento!#REF!) - (3.13 * Crescimento!#REF!*Crescimento!#REF!)</f>
        <v>#REF!</v>
      </c>
      <c r="CE92" s="6" t="e">
        <f>(CF91+(Crescimento!#REF!-(CF91*0.64))/0.8)/1000</f>
        <v>#REF!</v>
      </c>
      <c r="CF92" s="7" t="e">
        <f>-53.07 + (304.89 * (CE92)) + (90.79 *Crescimento!#REF!) - (3.13 * Crescimento!#REF!*Crescimento!#REF!)</f>
        <v>#REF!</v>
      </c>
      <c r="CH92" s="6" t="e">
        <f>(CI91+(Crescimento!#REF!-(CI91*0.64))/0.8)/1000</f>
        <v>#REF!</v>
      </c>
      <c r="CI92" s="7" t="e">
        <f>-53.07 + (304.89 * (CH92)) + (90.79 *Crescimento!#REF!) - (3.13 * Crescimento!#REF!*Crescimento!#REF!)</f>
        <v>#REF!</v>
      </c>
      <c r="CJ92" s="1"/>
      <c r="CK92" s="6" t="e">
        <f>(CL91+(Crescimento!#REF!-(CL91*0.64))/0.8)/1000</f>
        <v>#REF!</v>
      </c>
      <c r="CL92" s="7" t="e">
        <f>-53.07 + (304.89 * (CK92)) + (90.79 *Crescimento!#REF!) - (3.13 * Crescimento!#REF!*Crescimento!#REF!)</f>
        <v>#REF!</v>
      </c>
      <c r="CN92" s="6" t="e">
        <f>(CO91+(Crescimento!#REF!-(CO91*0.64))/0.8)/1000</f>
        <v>#REF!</v>
      </c>
      <c r="CO92" s="7" t="e">
        <f>-53.07 + (304.89 * (CN92)) + (90.79 *Crescimento!#REF!) - (3.13 * Crescimento!#REF!*Crescimento!#REF!)</f>
        <v>#REF!</v>
      </c>
      <c r="CQ92" s="6" t="e">
        <f>(CR91+(Crescimento!#REF!-(CR91*0.64))/0.8)/1000</f>
        <v>#REF!</v>
      </c>
      <c r="CR92" s="7" t="e">
        <f>-53.07 + (304.89 * (CQ92)) + (90.79 *Crescimento!#REF!) - (3.13 * Crescimento!#REF!*Crescimento!#REF!)</f>
        <v>#REF!</v>
      </c>
    </row>
    <row r="93" spans="2:96" x14ac:dyDescent="0.25">
      <c r="B93" s="6">
        <f>(C92+(Crescimento!$Q$27-(C92*0.64))/0.8)/1000</f>
        <v>1.1187993738011861</v>
      </c>
      <c r="C93" s="8">
        <f>-53.07 + (304.89 * (B93)) + (90.79 *Crescimento!$Q$20) - (3.13 * Crescimento!$Q$20*Crescimento!$Q$20)</f>
        <v>757.4287040082213</v>
      </c>
      <c r="D93" s="1"/>
      <c r="E93" s="6" t="e">
        <f>(F92+(Crescimento!#REF!-(F92*0.64))/0.8)/1000</f>
        <v>#REF!</v>
      </c>
      <c r="F93" s="7" t="e">
        <f>-53.07 + (304.89 * (E93)) + (90.79 *Crescimento!#REF!) - (3.13 * Crescimento!#REF!*Crescimento!#REF!)</f>
        <v>#REF!</v>
      </c>
      <c r="H93" s="6" t="e">
        <f>(I92+(Crescimento!#REF!-(I92*0.64))/0.8)/1000</f>
        <v>#REF!</v>
      </c>
      <c r="I93" s="7" t="e">
        <f>-53.07 + (304.89 * (H93)) + (90.79 *Crescimento!#REF!) - (3.13 * Crescimento!#REF!*Crescimento!#REF!)</f>
        <v>#REF!</v>
      </c>
      <c r="K93" s="6" t="e">
        <f>(L92+(Crescimento!#REF!-(L92*0.64))/0.8)/1000</f>
        <v>#REF!</v>
      </c>
      <c r="L93" s="7" t="e">
        <f>-53.07 + (304.89 * (K93)) + (90.79 *Crescimento!#REF!) - (3.13 * Crescimento!#REF!*Crescimento!#REF!)</f>
        <v>#REF!</v>
      </c>
      <c r="N93" s="6" t="e">
        <f>(O92+(Crescimento!#REF!-(O92*0.64))/0.8)/1000</f>
        <v>#REF!</v>
      </c>
      <c r="O93" s="7" t="e">
        <f>-53.07 + (304.89 * (N93)) + (90.79 *Crescimento!#REF!) - (3.13 * Crescimento!#REF!*Crescimento!#REF!)</f>
        <v>#REF!</v>
      </c>
      <c r="P93" s="1"/>
      <c r="Q93" s="6" t="e">
        <f>(R92+(Crescimento!#REF!-(R92*0.64))/0.8)/1000</f>
        <v>#REF!</v>
      </c>
      <c r="R93" s="7" t="e">
        <f>-53.07 + (304.89 * (Q93)) + (90.79 *Crescimento!#REF!) - (3.13 * Crescimento!#REF!*Crescimento!#REF!)</f>
        <v>#REF!</v>
      </c>
      <c r="T93" s="6" t="e">
        <f>(U92+(Crescimento!#REF!-(U92*0.64))/0.8)/1000</f>
        <v>#REF!</v>
      </c>
      <c r="U93" s="7" t="e">
        <f>-53.07 + (304.89 * (T93)) + (90.79 *Crescimento!#REF!) - (3.13 * Crescimento!#REF!*Crescimento!#REF!)</f>
        <v>#REF!</v>
      </c>
      <c r="W93" s="6" t="e">
        <f>(X92+(Crescimento!#REF!-(X92*0.64))/0.8)/1000</f>
        <v>#REF!</v>
      </c>
      <c r="X93" s="7" t="e">
        <f>-53.07 + (304.89 * (W93)) + (90.79 *Crescimento!#REF!) - (3.13 * Crescimento!#REF!*Crescimento!#REF!)</f>
        <v>#REF!</v>
      </c>
      <c r="Z93" s="6" t="e">
        <f>(AA92+(Crescimento!#REF!-(AA92*0.64))/0.8)/1000</f>
        <v>#REF!</v>
      </c>
      <c r="AA93" s="7" t="e">
        <f>-53.07 + (304.89 * (Z93)) + (90.79 *Crescimento!#REF!) - (3.13 * Crescimento!#REF!*Crescimento!#REF!)</f>
        <v>#REF!</v>
      </c>
      <c r="AB93" s="1"/>
      <c r="AC93" s="6" t="e">
        <f>(AD92+(Crescimento!#REF!-(AD92*0.64))/0.8)/1000</f>
        <v>#REF!</v>
      </c>
      <c r="AD93" s="7" t="e">
        <f>-53.07 + (304.89 * (AC93)) + (90.79 *Crescimento!#REF!) - (3.13 * Crescimento!#REF!*Crescimento!#REF!)</f>
        <v>#REF!</v>
      </c>
      <c r="AF93" s="6" t="e">
        <f>(AG92+(Crescimento!#REF!-(AG92*0.64))/0.8)/1000</f>
        <v>#REF!</v>
      </c>
      <c r="AG93" s="7" t="e">
        <f>-53.07 + (304.89 * (AF93)) + (90.79 *Crescimento!#REF!) - (3.13 * Crescimento!#REF!*Crescimento!#REF!)</f>
        <v>#REF!</v>
      </c>
      <c r="AI93" s="6" t="e">
        <f>(AJ92+(Crescimento!#REF!-(AJ92*0.64))/0.8)/1000</f>
        <v>#REF!</v>
      </c>
      <c r="AJ93" s="7" t="e">
        <f>-53.07 + (304.89 * (AI93)) + (90.79 *Crescimento!#REF!) - (3.13 * Crescimento!#REF!*Crescimento!#REF!)</f>
        <v>#REF!</v>
      </c>
      <c r="AL93" s="6" t="e">
        <f>(AM92+(Crescimento!#REF!-(AM92*0.64))/0.8)/1000</f>
        <v>#REF!</v>
      </c>
      <c r="AM93" s="7" t="e">
        <f>-53.07 + (304.89 * (AL93)) + (90.79 *Crescimento!#REF!) - (3.13 * Crescimento!#REF!*Crescimento!#REF!)</f>
        <v>#REF!</v>
      </c>
      <c r="AN93" s="1"/>
      <c r="AO93" s="6" t="e">
        <f>(AP92+(Crescimento!#REF!-(AP92*0.64))/0.8)/1000</f>
        <v>#REF!</v>
      </c>
      <c r="AP93" s="7" t="e">
        <f>-53.07 + (304.89 * (AO93)) + (90.79 *Crescimento!#REF!) - (3.13 * Crescimento!#REF!*Crescimento!#REF!)</f>
        <v>#REF!</v>
      </c>
      <c r="AR93" s="6" t="e">
        <f>(AS92+(Crescimento!#REF!-(AS92*0.64))/0.8)/1000</f>
        <v>#REF!</v>
      </c>
      <c r="AS93" s="7" t="e">
        <f>-53.07 + (304.89 * (AR93)) + (90.79 *Crescimento!#REF!) - (3.13 * Crescimento!#REF!*Crescimento!#REF!)</f>
        <v>#REF!</v>
      </c>
      <c r="AU93" s="6" t="e">
        <f>(AV92+(Crescimento!#REF!-(AV92*0.64))/0.8)/1000</f>
        <v>#REF!</v>
      </c>
      <c r="AV93" s="7" t="e">
        <f>-53.07 + (304.89 * (AU93)) + (90.79 *Crescimento!#REF!) - (3.13 * Crescimento!#REF!*Crescimento!#REF!)</f>
        <v>#REF!</v>
      </c>
      <c r="AX93" s="6" t="e">
        <f>(AY92+(Crescimento!#REF!-(AY92*0.64))/0.8)/1000</f>
        <v>#REF!</v>
      </c>
      <c r="AY93" s="7" t="e">
        <f>-53.07 + (304.89 * (AX93)) + (90.79 *Crescimento!#REF!) - (3.13 * Crescimento!#REF!*Crescimento!#REF!)</f>
        <v>#REF!</v>
      </c>
      <c r="AZ93" s="1"/>
      <c r="BA93" s="6" t="e">
        <f>(BB92+(Crescimento!#REF!-(BB92*0.64))/0.8)/1000</f>
        <v>#REF!</v>
      </c>
      <c r="BB93" s="7" t="e">
        <f>-53.07 + (304.89 * (BA93)) + (90.79 *Crescimento!#REF!) - (3.13 * Crescimento!#REF!*Crescimento!#REF!)</f>
        <v>#REF!</v>
      </c>
      <c r="BD93" s="6" t="e">
        <f>(BE92+(Crescimento!#REF!-(BE92*0.64))/0.8)/1000</f>
        <v>#REF!</v>
      </c>
      <c r="BE93" s="7" t="e">
        <f>-53.07 + (304.89 * (BD93)) + (90.79 *Crescimento!#REF!) - (3.13 * Crescimento!#REF!*Crescimento!#REF!)</f>
        <v>#REF!</v>
      </c>
      <c r="BG93" s="6" t="e">
        <f>(BH92+(Crescimento!#REF!-(BH92*0.64))/0.8)/1000</f>
        <v>#REF!</v>
      </c>
      <c r="BH93" s="7" t="e">
        <f>-53.07 + (304.89 * (BG93)) + (90.79 *Crescimento!#REF!) - (3.13 * Crescimento!#REF!*Crescimento!#REF!)</f>
        <v>#REF!</v>
      </c>
      <c r="BJ93" s="6" t="e">
        <f>(BK92+(Crescimento!#REF!-(BK92*0.64))/0.8)/1000</f>
        <v>#REF!</v>
      </c>
      <c r="BK93" s="7" t="e">
        <f>-53.07 + (304.89 * (BJ93)) + (90.79 *Crescimento!#REF!) - (3.13 * Crescimento!#REF!*Crescimento!#REF!)</f>
        <v>#REF!</v>
      </c>
      <c r="BL93" s="1"/>
      <c r="BM93" s="6" t="e">
        <f>(BN92+(Crescimento!#REF!-(BN92*0.64))/0.8)/1000</f>
        <v>#REF!</v>
      </c>
      <c r="BN93" s="7" t="e">
        <f>-53.07 + (304.89 * (BM93)) + (90.79 *Crescimento!#REF!) - (3.13 * Crescimento!#REF!*Crescimento!#REF!)</f>
        <v>#REF!</v>
      </c>
      <c r="BP93" s="6" t="e">
        <f>(BQ92+(Crescimento!#REF!-(BQ92*0.64))/0.8)/1000</f>
        <v>#REF!</v>
      </c>
      <c r="BQ93" s="7" t="e">
        <f>-53.07 + (304.89 * (BP93)) + (90.79 *Crescimento!#REF!) - (3.13 * Crescimento!#REF!*Crescimento!#REF!)</f>
        <v>#REF!</v>
      </c>
      <c r="BS93" s="6" t="e">
        <f>(BT92+(Crescimento!#REF!-(BT92*0.64))/0.8)/1000</f>
        <v>#REF!</v>
      </c>
      <c r="BT93" s="7" t="e">
        <f>-53.07 + (304.89 * (BS93)) + (90.79 *Crescimento!#REF!) - (3.13 * Crescimento!#REF!*Crescimento!#REF!)</f>
        <v>#REF!</v>
      </c>
      <c r="BV93" s="6" t="e">
        <f>(BW92+(Crescimento!#REF!-(BW92*0.64))/0.8)/1000</f>
        <v>#REF!</v>
      </c>
      <c r="BW93" s="7" t="e">
        <f>-53.07 + (304.89 * (BV93)) + (90.79 *Crescimento!#REF!) - (3.13 * Crescimento!#REF!*Crescimento!#REF!)</f>
        <v>#REF!</v>
      </c>
      <c r="BX93" s="1"/>
      <c r="BY93" s="6" t="e">
        <f>(BZ92+(Crescimento!#REF!-(BZ92*0.64))/0.8)/1000</f>
        <v>#REF!</v>
      </c>
      <c r="BZ93" s="7" t="e">
        <f>-53.07 + (304.89 * (BY93)) + (90.79 *Crescimento!#REF!) - (3.13 * Crescimento!#REF!*Crescimento!#REF!)</f>
        <v>#REF!</v>
      </c>
      <c r="CB93" s="6" t="e">
        <f>(CC92+(Crescimento!#REF!-(CC92*0.64))/0.8)/1000</f>
        <v>#REF!</v>
      </c>
      <c r="CC93" s="7" t="e">
        <f>-53.07 + (304.89 * (CB93)) + (90.79 *Crescimento!#REF!) - (3.13 * Crescimento!#REF!*Crescimento!#REF!)</f>
        <v>#REF!</v>
      </c>
      <c r="CE93" s="6" t="e">
        <f>(CF92+(Crescimento!#REF!-(CF92*0.64))/0.8)/1000</f>
        <v>#REF!</v>
      </c>
      <c r="CF93" s="7" t="e">
        <f>-53.07 + (304.89 * (CE93)) + (90.79 *Crescimento!#REF!) - (3.13 * Crescimento!#REF!*Crescimento!#REF!)</f>
        <v>#REF!</v>
      </c>
      <c r="CH93" s="6" t="e">
        <f>(CI92+(Crescimento!#REF!-(CI92*0.64))/0.8)/1000</f>
        <v>#REF!</v>
      </c>
      <c r="CI93" s="7" t="e">
        <f>-53.07 + (304.89 * (CH93)) + (90.79 *Crescimento!#REF!) - (3.13 * Crescimento!#REF!*Crescimento!#REF!)</f>
        <v>#REF!</v>
      </c>
      <c r="CJ93" s="1"/>
      <c r="CK93" s="6" t="e">
        <f>(CL92+(Crescimento!#REF!-(CL92*0.64))/0.8)/1000</f>
        <v>#REF!</v>
      </c>
      <c r="CL93" s="7" t="e">
        <f>-53.07 + (304.89 * (CK93)) + (90.79 *Crescimento!#REF!) - (3.13 * Crescimento!#REF!*Crescimento!#REF!)</f>
        <v>#REF!</v>
      </c>
      <c r="CN93" s="6" t="e">
        <f>(CO92+(Crescimento!#REF!-(CO92*0.64))/0.8)/1000</f>
        <v>#REF!</v>
      </c>
      <c r="CO93" s="7" t="e">
        <f>-53.07 + (304.89 * (CN93)) + (90.79 *Crescimento!#REF!) - (3.13 * Crescimento!#REF!*Crescimento!#REF!)</f>
        <v>#REF!</v>
      </c>
      <c r="CQ93" s="6" t="e">
        <f>(CR92+(Crescimento!#REF!-(CR92*0.64))/0.8)/1000</f>
        <v>#REF!</v>
      </c>
      <c r="CR93" s="7" t="e">
        <f>-53.07 + (304.89 * (CQ93)) + (90.79 *Crescimento!#REF!) - (3.13 * Crescimento!#REF!*Crescimento!#REF!)</f>
        <v>#REF!</v>
      </c>
    </row>
    <row r="94" spans="2:96" x14ac:dyDescent="0.25">
      <c r="B94" s="6">
        <f>(C93+(Crescimento!$Q$27-(C93*0.64))/0.8)/1000</f>
        <v>1.1187993738011861</v>
      </c>
      <c r="C94" s="8">
        <f>-53.07 + (304.89 * (B94)) + (90.79 *Crescimento!$Q$20) - (3.13 * Crescimento!$Q$20*Crescimento!$Q$20)</f>
        <v>757.4287040082213</v>
      </c>
      <c r="D94" s="1"/>
      <c r="E94" s="6" t="e">
        <f>(F93+(Crescimento!#REF!-(F93*0.64))/0.8)/1000</f>
        <v>#REF!</v>
      </c>
      <c r="F94" s="7" t="e">
        <f>-53.07 + (304.89 * (E94)) + (90.79 *Crescimento!#REF!) - (3.13 * Crescimento!#REF!*Crescimento!#REF!)</f>
        <v>#REF!</v>
      </c>
      <c r="H94" s="6" t="e">
        <f>(I93+(Crescimento!#REF!-(I93*0.64))/0.8)/1000</f>
        <v>#REF!</v>
      </c>
      <c r="I94" s="7" t="e">
        <f>-53.07 + (304.89 * (H94)) + (90.79 *Crescimento!#REF!) - (3.13 * Crescimento!#REF!*Crescimento!#REF!)</f>
        <v>#REF!</v>
      </c>
      <c r="K94" s="6" t="e">
        <f>(L93+(Crescimento!#REF!-(L93*0.64))/0.8)/1000</f>
        <v>#REF!</v>
      </c>
      <c r="L94" s="7" t="e">
        <f>-53.07 + (304.89 * (K94)) + (90.79 *Crescimento!#REF!) - (3.13 * Crescimento!#REF!*Crescimento!#REF!)</f>
        <v>#REF!</v>
      </c>
      <c r="N94" s="6" t="e">
        <f>(O93+(Crescimento!#REF!-(O93*0.64))/0.8)/1000</f>
        <v>#REF!</v>
      </c>
      <c r="O94" s="7" t="e">
        <f>-53.07 + (304.89 * (N94)) + (90.79 *Crescimento!#REF!) - (3.13 * Crescimento!#REF!*Crescimento!#REF!)</f>
        <v>#REF!</v>
      </c>
      <c r="P94" s="1"/>
      <c r="Q94" s="6" t="e">
        <f>(R93+(Crescimento!#REF!-(R93*0.64))/0.8)/1000</f>
        <v>#REF!</v>
      </c>
      <c r="R94" s="7" t="e">
        <f>-53.07 + (304.89 * (Q94)) + (90.79 *Crescimento!#REF!) - (3.13 * Crescimento!#REF!*Crescimento!#REF!)</f>
        <v>#REF!</v>
      </c>
      <c r="T94" s="6" t="e">
        <f>(U93+(Crescimento!#REF!-(U93*0.64))/0.8)/1000</f>
        <v>#REF!</v>
      </c>
      <c r="U94" s="7" t="e">
        <f>-53.07 + (304.89 * (T94)) + (90.79 *Crescimento!#REF!) - (3.13 * Crescimento!#REF!*Crescimento!#REF!)</f>
        <v>#REF!</v>
      </c>
      <c r="W94" s="6" t="e">
        <f>(X93+(Crescimento!#REF!-(X93*0.64))/0.8)/1000</f>
        <v>#REF!</v>
      </c>
      <c r="X94" s="7" t="e">
        <f>-53.07 + (304.89 * (W94)) + (90.79 *Crescimento!#REF!) - (3.13 * Crescimento!#REF!*Crescimento!#REF!)</f>
        <v>#REF!</v>
      </c>
      <c r="Z94" s="6" t="e">
        <f>(AA93+(Crescimento!#REF!-(AA93*0.64))/0.8)/1000</f>
        <v>#REF!</v>
      </c>
      <c r="AA94" s="7" t="e">
        <f>-53.07 + (304.89 * (Z94)) + (90.79 *Crescimento!#REF!) - (3.13 * Crescimento!#REF!*Crescimento!#REF!)</f>
        <v>#REF!</v>
      </c>
      <c r="AB94" s="1"/>
      <c r="AC94" s="6" t="e">
        <f>(AD93+(Crescimento!#REF!-(AD93*0.64))/0.8)/1000</f>
        <v>#REF!</v>
      </c>
      <c r="AD94" s="7" t="e">
        <f>-53.07 + (304.89 * (AC94)) + (90.79 *Crescimento!#REF!) - (3.13 * Crescimento!#REF!*Crescimento!#REF!)</f>
        <v>#REF!</v>
      </c>
      <c r="AF94" s="6" t="e">
        <f>(AG93+(Crescimento!#REF!-(AG93*0.64))/0.8)/1000</f>
        <v>#REF!</v>
      </c>
      <c r="AG94" s="7" t="e">
        <f>-53.07 + (304.89 * (AF94)) + (90.79 *Crescimento!#REF!) - (3.13 * Crescimento!#REF!*Crescimento!#REF!)</f>
        <v>#REF!</v>
      </c>
      <c r="AI94" s="6" t="e">
        <f>(AJ93+(Crescimento!#REF!-(AJ93*0.64))/0.8)/1000</f>
        <v>#REF!</v>
      </c>
      <c r="AJ94" s="7" t="e">
        <f>-53.07 + (304.89 * (AI94)) + (90.79 *Crescimento!#REF!) - (3.13 * Crescimento!#REF!*Crescimento!#REF!)</f>
        <v>#REF!</v>
      </c>
      <c r="AL94" s="6" t="e">
        <f>(AM93+(Crescimento!#REF!-(AM93*0.64))/0.8)/1000</f>
        <v>#REF!</v>
      </c>
      <c r="AM94" s="7" t="e">
        <f>-53.07 + (304.89 * (AL94)) + (90.79 *Crescimento!#REF!) - (3.13 * Crescimento!#REF!*Crescimento!#REF!)</f>
        <v>#REF!</v>
      </c>
      <c r="AN94" s="1"/>
      <c r="AO94" s="6" t="e">
        <f>(AP93+(Crescimento!#REF!-(AP93*0.64))/0.8)/1000</f>
        <v>#REF!</v>
      </c>
      <c r="AP94" s="7" t="e">
        <f>-53.07 + (304.89 * (AO94)) + (90.79 *Crescimento!#REF!) - (3.13 * Crescimento!#REF!*Crescimento!#REF!)</f>
        <v>#REF!</v>
      </c>
      <c r="AR94" s="6" t="e">
        <f>(AS93+(Crescimento!#REF!-(AS93*0.64))/0.8)/1000</f>
        <v>#REF!</v>
      </c>
      <c r="AS94" s="7" t="e">
        <f>-53.07 + (304.89 * (AR94)) + (90.79 *Crescimento!#REF!) - (3.13 * Crescimento!#REF!*Crescimento!#REF!)</f>
        <v>#REF!</v>
      </c>
      <c r="AU94" s="6" t="e">
        <f>(AV93+(Crescimento!#REF!-(AV93*0.64))/0.8)/1000</f>
        <v>#REF!</v>
      </c>
      <c r="AV94" s="7" t="e">
        <f>-53.07 + (304.89 * (AU94)) + (90.79 *Crescimento!#REF!) - (3.13 * Crescimento!#REF!*Crescimento!#REF!)</f>
        <v>#REF!</v>
      </c>
      <c r="AX94" s="6" t="e">
        <f>(AY93+(Crescimento!#REF!-(AY93*0.64))/0.8)/1000</f>
        <v>#REF!</v>
      </c>
      <c r="AY94" s="7" t="e">
        <f>-53.07 + (304.89 * (AX94)) + (90.79 *Crescimento!#REF!) - (3.13 * Crescimento!#REF!*Crescimento!#REF!)</f>
        <v>#REF!</v>
      </c>
      <c r="AZ94" s="1"/>
      <c r="BA94" s="6" t="e">
        <f>(BB93+(Crescimento!#REF!-(BB93*0.64))/0.8)/1000</f>
        <v>#REF!</v>
      </c>
      <c r="BB94" s="7" t="e">
        <f>-53.07 + (304.89 * (BA94)) + (90.79 *Crescimento!#REF!) - (3.13 * Crescimento!#REF!*Crescimento!#REF!)</f>
        <v>#REF!</v>
      </c>
      <c r="BD94" s="6" t="e">
        <f>(BE93+(Crescimento!#REF!-(BE93*0.64))/0.8)/1000</f>
        <v>#REF!</v>
      </c>
      <c r="BE94" s="7" t="e">
        <f>-53.07 + (304.89 * (BD94)) + (90.79 *Crescimento!#REF!) - (3.13 * Crescimento!#REF!*Crescimento!#REF!)</f>
        <v>#REF!</v>
      </c>
      <c r="BG94" s="6" t="e">
        <f>(BH93+(Crescimento!#REF!-(BH93*0.64))/0.8)/1000</f>
        <v>#REF!</v>
      </c>
      <c r="BH94" s="7" t="e">
        <f>-53.07 + (304.89 * (BG94)) + (90.79 *Crescimento!#REF!) - (3.13 * Crescimento!#REF!*Crescimento!#REF!)</f>
        <v>#REF!</v>
      </c>
      <c r="BJ94" s="6" t="e">
        <f>(BK93+(Crescimento!#REF!-(BK93*0.64))/0.8)/1000</f>
        <v>#REF!</v>
      </c>
      <c r="BK94" s="7" t="e">
        <f>-53.07 + (304.89 * (BJ94)) + (90.79 *Crescimento!#REF!) - (3.13 * Crescimento!#REF!*Crescimento!#REF!)</f>
        <v>#REF!</v>
      </c>
      <c r="BL94" s="1"/>
      <c r="BM94" s="6" t="e">
        <f>(BN93+(Crescimento!#REF!-(BN93*0.64))/0.8)/1000</f>
        <v>#REF!</v>
      </c>
      <c r="BN94" s="7" t="e">
        <f>-53.07 + (304.89 * (BM94)) + (90.79 *Crescimento!#REF!) - (3.13 * Crescimento!#REF!*Crescimento!#REF!)</f>
        <v>#REF!</v>
      </c>
      <c r="BP94" s="6" t="e">
        <f>(BQ93+(Crescimento!#REF!-(BQ93*0.64))/0.8)/1000</f>
        <v>#REF!</v>
      </c>
      <c r="BQ94" s="7" t="e">
        <f>-53.07 + (304.89 * (BP94)) + (90.79 *Crescimento!#REF!) - (3.13 * Crescimento!#REF!*Crescimento!#REF!)</f>
        <v>#REF!</v>
      </c>
      <c r="BS94" s="6" t="e">
        <f>(BT93+(Crescimento!#REF!-(BT93*0.64))/0.8)/1000</f>
        <v>#REF!</v>
      </c>
      <c r="BT94" s="7" t="e">
        <f>-53.07 + (304.89 * (BS94)) + (90.79 *Crescimento!#REF!) - (3.13 * Crescimento!#REF!*Crescimento!#REF!)</f>
        <v>#REF!</v>
      </c>
      <c r="BV94" s="6" t="e">
        <f>(BW93+(Crescimento!#REF!-(BW93*0.64))/0.8)/1000</f>
        <v>#REF!</v>
      </c>
      <c r="BW94" s="7" t="e">
        <f>-53.07 + (304.89 * (BV94)) + (90.79 *Crescimento!#REF!) - (3.13 * Crescimento!#REF!*Crescimento!#REF!)</f>
        <v>#REF!</v>
      </c>
      <c r="BX94" s="1"/>
      <c r="BY94" s="6" t="e">
        <f>(BZ93+(Crescimento!#REF!-(BZ93*0.64))/0.8)/1000</f>
        <v>#REF!</v>
      </c>
      <c r="BZ94" s="7" t="e">
        <f>-53.07 + (304.89 * (BY94)) + (90.79 *Crescimento!#REF!) - (3.13 * Crescimento!#REF!*Crescimento!#REF!)</f>
        <v>#REF!</v>
      </c>
      <c r="CB94" s="6" t="e">
        <f>(CC93+(Crescimento!#REF!-(CC93*0.64))/0.8)/1000</f>
        <v>#REF!</v>
      </c>
      <c r="CC94" s="7" t="e">
        <f>-53.07 + (304.89 * (CB94)) + (90.79 *Crescimento!#REF!) - (3.13 * Crescimento!#REF!*Crescimento!#REF!)</f>
        <v>#REF!</v>
      </c>
      <c r="CE94" s="6" t="e">
        <f>(CF93+(Crescimento!#REF!-(CF93*0.64))/0.8)/1000</f>
        <v>#REF!</v>
      </c>
      <c r="CF94" s="7" t="e">
        <f>-53.07 + (304.89 * (CE94)) + (90.79 *Crescimento!#REF!) - (3.13 * Crescimento!#REF!*Crescimento!#REF!)</f>
        <v>#REF!</v>
      </c>
      <c r="CH94" s="6" t="e">
        <f>(CI93+(Crescimento!#REF!-(CI93*0.64))/0.8)/1000</f>
        <v>#REF!</v>
      </c>
      <c r="CI94" s="7" t="e">
        <f>-53.07 + (304.89 * (CH94)) + (90.79 *Crescimento!#REF!) - (3.13 * Crescimento!#REF!*Crescimento!#REF!)</f>
        <v>#REF!</v>
      </c>
      <c r="CJ94" s="1"/>
      <c r="CK94" s="6" t="e">
        <f>(CL93+(Crescimento!#REF!-(CL93*0.64))/0.8)/1000</f>
        <v>#REF!</v>
      </c>
      <c r="CL94" s="7" t="e">
        <f>-53.07 + (304.89 * (CK94)) + (90.79 *Crescimento!#REF!) - (3.13 * Crescimento!#REF!*Crescimento!#REF!)</f>
        <v>#REF!</v>
      </c>
      <c r="CN94" s="6" t="e">
        <f>(CO93+(Crescimento!#REF!-(CO93*0.64))/0.8)/1000</f>
        <v>#REF!</v>
      </c>
      <c r="CO94" s="7" t="e">
        <f>-53.07 + (304.89 * (CN94)) + (90.79 *Crescimento!#REF!) - (3.13 * Crescimento!#REF!*Crescimento!#REF!)</f>
        <v>#REF!</v>
      </c>
      <c r="CQ94" s="6" t="e">
        <f>(CR93+(Crescimento!#REF!-(CR93*0.64))/0.8)/1000</f>
        <v>#REF!</v>
      </c>
      <c r="CR94" s="7" t="e">
        <f>-53.07 + (304.89 * (CQ94)) + (90.79 *Crescimento!#REF!) - (3.13 * Crescimento!#REF!*Crescimento!#REF!)</f>
        <v>#REF!</v>
      </c>
    </row>
    <row r="95" spans="2:96" x14ac:dyDescent="0.25">
      <c r="B95" s="6">
        <f>(C94+(Crescimento!$Q$27-(C94*0.64))/0.8)/1000</f>
        <v>1.1187993738011861</v>
      </c>
      <c r="C95" s="8">
        <f>-53.07 + (304.89 * (B95)) + (90.79 *Crescimento!$Q$20) - (3.13 * Crescimento!$Q$20*Crescimento!$Q$20)</f>
        <v>757.4287040082213</v>
      </c>
      <c r="D95" s="1"/>
      <c r="E95" s="6" t="e">
        <f>(F94+(Crescimento!#REF!-(F94*0.64))/0.8)/1000</f>
        <v>#REF!</v>
      </c>
      <c r="F95" s="7" t="e">
        <f>-53.07 + (304.89 * (E95)) + (90.79 *Crescimento!#REF!) - (3.13 * Crescimento!#REF!*Crescimento!#REF!)</f>
        <v>#REF!</v>
      </c>
      <c r="H95" s="6" t="e">
        <f>(I94+(Crescimento!#REF!-(I94*0.64))/0.8)/1000</f>
        <v>#REF!</v>
      </c>
      <c r="I95" s="7" t="e">
        <f>-53.07 + (304.89 * (H95)) + (90.79 *Crescimento!#REF!) - (3.13 * Crescimento!#REF!*Crescimento!#REF!)</f>
        <v>#REF!</v>
      </c>
      <c r="K95" s="6" t="e">
        <f>(L94+(Crescimento!#REF!-(L94*0.64))/0.8)/1000</f>
        <v>#REF!</v>
      </c>
      <c r="L95" s="7" t="e">
        <f>-53.07 + (304.89 * (K95)) + (90.79 *Crescimento!#REF!) - (3.13 * Crescimento!#REF!*Crescimento!#REF!)</f>
        <v>#REF!</v>
      </c>
      <c r="N95" s="6" t="e">
        <f>(O94+(Crescimento!#REF!-(O94*0.64))/0.8)/1000</f>
        <v>#REF!</v>
      </c>
      <c r="O95" s="7" t="e">
        <f>-53.07 + (304.89 * (N95)) + (90.79 *Crescimento!#REF!) - (3.13 * Crescimento!#REF!*Crescimento!#REF!)</f>
        <v>#REF!</v>
      </c>
      <c r="P95" s="1"/>
      <c r="Q95" s="6" t="e">
        <f>(R94+(Crescimento!#REF!-(R94*0.64))/0.8)/1000</f>
        <v>#REF!</v>
      </c>
      <c r="R95" s="7" t="e">
        <f>-53.07 + (304.89 * (Q95)) + (90.79 *Crescimento!#REF!) - (3.13 * Crescimento!#REF!*Crescimento!#REF!)</f>
        <v>#REF!</v>
      </c>
      <c r="T95" s="6" t="e">
        <f>(U94+(Crescimento!#REF!-(U94*0.64))/0.8)/1000</f>
        <v>#REF!</v>
      </c>
      <c r="U95" s="7" t="e">
        <f>-53.07 + (304.89 * (T95)) + (90.79 *Crescimento!#REF!) - (3.13 * Crescimento!#REF!*Crescimento!#REF!)</f>
        <v>#REF!</v>
      </c>
      <c r="W95" s="6" t="e">
        <f>(X94+(Crescimento!#REF!-(X94*0.64))/0.8)/1000</f>
        <v>#REF!</v>
      </c>
      <c r="X95" s="7" t="e">
        <f>-53.07 + (304.89 * (W95)) + (90.79 *Crescimento!#REF!) - (3.13 * Crescimento!#REF!*Crescimento!#REF!)</f>
        <v>#REF!</v>
      </c>
      <c r="Z95" s="6" t="e">
        <f>(AA94+(Crescimento!#REF!-(AA94*0.64))/0.8)/1000</f>
        <v>#REF!</v>
      </c>
      <c r="AA95" s="7" t="e">
        <f>-53.07 + (304.89 * (Z95)) + (90.79 *Crescimento!#REF!) - (3.13 * Crescimento!#REF!*Crescimento!#REF!)</f>
        <v>#REF!</v>
      </c>
      <c r="AB95" s="1"/>
      <c r="AC95" s="6" t="e">
        <f>(AD94+(Crescimento!#REF!-(AD94*0.64))/0.8)/1000</f>
        <v>#REF!</v>
      </c>
      <c r="AD95" s="7" t="e">
        <f>-53.07 + (304.89 * (AC95)) + (90.79 *Crescimento!#REF!) - (3.13 * Crescimento!#REF!*Crescimento!#REF!)</f>
        <v>#REF!</v>
      </c>
      <c r="AF95" s="6" t="e">
        <f>(AG94+(Crescimento!#REF!-(AG94*0.64))/0.8)/1000</f>
        <v>#REF!</v>
      </c>
      <c r="AG95" s="7" t="e">
        <f>-53.07 + (304.89 * (AF95)) + (90.79 *Crescimento!#REF!) - (3.13 * Crescimento!#REF!*Crescimento!#REF!)</f>
        <v>#REF!</v>
      </c>
      <c r="AI95" s="6" t="e">
        <f>(AJ94+(Crescimento!#REF!-(AJ94*0.64))/0.8)/1000</f>
        <v>#REF!</v>
      </c>
      <c r="AJ95" s="7" t="e">
        <f>-53.07 + (304.89 * (AI95)) + (90.79 *Crescimento!#REF!) - (3.13 * Crescimento!#REF!*Crescimento!#REF!)</f>
        <v>#REF!</v>
      </c>
      <c r="AL95" s="6" t="e">
        <f>(AM94+(Crescimento!#REF!-(AM94*0.64))/0.8)/1000</f>
        <v>#REF!</v>
      </c>
      <c r="AM95" s="7" t="e">
        <f>-53.07 + (304.89 * (AL95)) + (90.79 *Crescimento!#REF!) - (3.13 * Crescimento!#REF!*Crescimento!#REF!)</f>
        <v>#REF!</v>
      </c>
      <c r="AN95" s="1"/>
      <c r="AO95" s="6" t="e">
        <f>(AP94+(Crescimento!#REF!-(AP94*0.64))/0.8)/1000</f>
        <v>#REF!</v>
      </c>
      <c r="AP95" s="7" t="e">
        <f>-53.07 + (304.89 * (AO95)) + (90.79 *Crescimento!#REF!) - (3.13 * Crescimento!#REF!*Crescimento!#REF!)</f>
        <v>#REF!</v>
      </c>
      <c r="AR95" s="6" t="e">
        <f>(AS94+(Crescimento!#REF!-(AS94*0.64))/0.8)/1000</f>
        <v>#REF!</v>
      </c>
      <c r="AS95" s="7" t="e">
        <f>-53.07 + (304.89 * (AR95)) + (90.79 *Crescimento!#REF!) - (3.13 * Crescimento!#REF!*Crescimento!#REF!)</f>
        <v>#REF!</v>
      </c>
      <c r="AU95" s="6" t="e">
        <f>(AV94+(Crescimento!#REF!-(AV94*0.64))/0.8)/1000</f>
        <v>#REF!</v>
      </c>
      <c r="AV95" s="7" t="e">
        <f>-53.07 + (304.89 * (AU95)) + (90.79 *Crescimento!#REF!) - (3.13 * Crescimento!#REF!*Crescimento!#REF!)</f>
        <v>#REF!</v>
      </c>
      <c r="AX95" s="6" t="e">
        <f>(AY94+(Crescimento!#REF!-(AY94*0.64))/0.8)/1000</f>
        <v>#REF!</v>
      </c>
      <c r="AY95" s="7" t="e">
        <f>-53.07 + (304.89 * (AX95)) + (90.79 *Crescimento!#REF!) - (3.13 * Crescimento!#REF!*Crescimento!#REF!)</f>
        <v>#REF!</v>
      </c>
      <c r="AZ95" s="1"/>
      <c r="BA95" s="6" t="e">
        <f>(BB94+(Crescimento!#REF!-(BB94*0.64))/0.8)/1000</f>
        <v>#REF!</v>
      </c>
      <c r="BB95" s="7" t="e">
        <f>-53.07 + (304.89 * (BA95)) + (90.79 *Crescimento!#REF!) - (3.13 * Crescimento!#REF!*Crescimento!#REF!)</f>
        <v>#REF!</v>
      </c>
      <c r="BD95" s="6" t="e">
        <f>(BE94+(Crescimento!#REF!-(BE94*0.64))/0.8)/1000</f>
        <v>#REF!</v>
      </c>
      <c r="BE95" s="7" t="e">
        <f>-53.07 + (304.89 * (BD95)) + (90.79 *Crescimento!#REF!) - (3.13 * Crescimento!#REF!*Crescimento!#REF!)</f>
        <v>#REF!</v>
      </c>
      <c r="BG95" s="6" t="e">
        <f>(BH94+(Crescimento!#REF!-(BH94*0.64))/0.8)/1000</f>
        <v>#REF!</v>
      </c>
      <c r="BH95" s="7" t="e">
        <f>-53.07 + (304.89 * (BG95)) + (90.79 *Crescimento!#REF!) - (3.13 * Crescimento!#REF!*Crescimento!#REF!)</f>
        <v>#REF!</v>
      </c>
      <c r="BJ95" s="6" t="e">
        <f>(BK94+(Crescimento!#REF!-(BK94*0.64))/0.8)/1000</f>
        <v>#REF!</v>
      </c>
      <c r="BK95" s="7" t="e">
        <f>-53.07 + (304.89 * (BJ95)) + (90.79 *Crescimento!#REF!) - (3.13 * Crescimento!#REF!*Crescimento!#REF!)</f>
        <v>#REF!</v>
      </c>
      <c r="BL95" s="1"/>
      <c r="BM95" s="6" t="e">
        <f>(BN94+(Crescimento!#REF!-(BN94*0.64))/0.8)/1000</f>
        <v>#REF!</v>
      </c>
      <c r="BN95" s="7" t="e">
        <f>-53.07 + (304.89 * (BM95)) + (90.79 *Crescimento!#REF!) - (3.13 * Crescimento!#REF!*Crescimento!#REF!)</f>
        <v>#REF!</v>
      </c>
      <c r="BP95" s="6" t="e">
        <f>(BQ94+(Crescimento!#REF!-(BQ94*0.64))/0.8)/1000</f>
        <v>#REF!</v>
      </c>
      <c r="BQ95" s="7" t="e">
        <f>-53.07 + (304.89 * (BP95)) + (90.79 *Crescimento!#REF!) - (3.13 * Crescimento!#REF!*Crescimento!#REF!)</f>
        <v>#REF!</v>
      </c>
      <c r="BS95" s="6" t="e">
        <f>(BT94+(Crescimento!#REF!-(BT94*0.64))/0.8)/1000</f>
        <v>#REF!</v>
      </c>
      <c r="BT95" s="7" t="e">
        <f>-53.07 + (304.89 * (BS95)) + (90.79 *Crescimento!#REF!) - (3.13 * Crescimento!#REF!*Crescimento!#REF!)</f>
        <v>#REF!</v>
      </c>
      <c r="BV95" s="6" t="e">
        <f>(BW94+(Crescimento!#REF!-(BW94*0.64))/0.8)/1000</f>
        <v>#REF!</v>
      </c>
      <c r="BW95" s="7" t="e">
        <f>-53.07 + (304.89 * (BV95)) + (90.79 *Crescimento!#REF!) - (3.13 * Crescimento!#REF!*Crescimento!#REF!)</f>
        <v>#REF!</v>
      </c>
      <c r="BX95" s="1"/>
      <c r="BY95" s="6" t="e">
        <f>(BZ94+(Crescimento!#REF!-(BZ94*0.64))/0.8)/1000</f>
        <v>#REF!</v>
      </c>
      <c r="BZ95" s="7" t="e">
        <f>-53.07 + (304.89 * (BY95)) + (90.79 *Crescimento!#REF!) - (3.13 * Crescimento!#REF!*Crescimento!#REF!)</f>
        <v>#REF!</v>
      </c>
      <c r="CB95" s="6" t="e">
        <f>(CC94+(Crescimento!#REF!-(CC94*0.64))/0.8)/1000</f>
        <v>#REF!</v>
      </c>
      <c r="CC95" s="7" t="e">
        <f>-53.07 + (304.89 * (CB95)) + (90.79 *Crescimento!#REF!) - (3.13 * Crescimento!#REF!*Crescimento!#REF!)</f>
        <v>#REF!</v>
      </c>
      <c r="CE95" s="6" t="e">
        <f>(CF94+(Crescimento!#REF!-(CF94*0.64))/0.8)/1000</f>
        <v>#REF!</v>
      </c>
      <c r="CF95" s="7" t="e">
        <f>-53.07 + (304.89 * (CE95)) + (90.79 *Crescimento!#REF!) - (3.13 * Crescimento!#REF!*Crescimento!#REF!)</f>
        <v>#REF!</v>
      </c>
      <c r="CH95" s="6" t="e">
        <f>(CI94+(Crescimento!#REF!-(CI94*0.64))/0.8)/1000</f>
        <v>#REF!</v>
      </c>
      <c r="CI95" s="7" t="e">
        <f>-53.07 + (304.89 * (CH95)) + (90.79 *Crescimento!#REF!) - (3.13 * Crescimento!#REF!*Crescimento!#REF!)</f>
        <v>#REF!</v>
      </c>
      <c r="CJ95" s="1"/>
      <c r="CK95" s="6" t="e">
        <f>(CL94+(Crescimento!#REF!-(CL94*0.64))/0.8)/1000</f>
        <v>#REF!</v>
      </c>
      <c r="CL95" s="7" t="e">
        <f>-53.07 + (304.89 * (CK95)) + (90.79 *Crescimento!#REF!) - (3.13 * Crescimento!#REF!*Crescimento!#REF!)</f>
        <v>#REF!</v>
      </c>
      <c r="CN95" s="6" t="e">
        <f>(CO94+(Crescimento!#REF!-(CO94*0.64))/0.8)/1000</f>
        <v>#REF!</v>
      </c>
      <c r="CO95" s="7" t="e">
        <f>-53.07 + (304.89 * (CN95)) + (90.79 *Crescimento!#REF!) - (3.13 * Crescimento!#REF!*Crescimento!#REF!)</f>
        <v>#REF!</v>
      </c>
      <c r="CQ95" s="6" t="e">
        <f>(CR94+(Crescimento!#REF!-(CR94*0.64))/0.8)/1000</f>
        <v>#REF!</v>
      </c>
      <c r="CR95" s="7" t="e">
        <f>-53.07 + (304.89 * (CQ95)) + (90.79 *Crescimento!#REF!) - (3.13 * Crescimento!#REF!*Crescimento!#REF!)</f>
        <v>#REF!</v>
      </c>
    </row>
    <row r="96" spans="2:96" x14ac:dyDescent="0.25">
      <c r="B96" s="6">
        <f>(C95+(Crescimento!$Q$27-(C95*0.64))/0.8)/1000</f>
        <v>1.1187993738011861</v>
      </c>
      <c r="C96" s="8">
        <f>-53.07 + (304.89 * (B96)) + (90.79 *Crescimento!$Q$20) - (3.13 * Crescimento!$Q$20*Crescimento!$Q$20)</f>
        <v>757.4287040082213</v>
      </c>
      <c r="D96" s="1"/>
      <c r="E96" s="6" t="e">
        <f>(F95+(Crescimento!#REF!-(F95*0.64))/0.8)/1000</f>
        <v>#REF!</v>
      </c>
      <c r="F96" s="7" t="e">
        <f>-53.07 + (304.89 * (E96)) + (90.79 *Crescimento!#REF!) - (3.13 * Crescimento!#REF!*Crescimento!#REF!)</f>
        <v>#REF!</v>
      </c>
      <c r="H96" s="6" t="e">
        <f>(I95+(Crescimento!#REF!-(I95*0.64))/0.8)/1000</f>
        <v>#REF!</v>
      </c>
      <c r="I96" s="7" t="e">
        <f>-53.07 + (304.89 * (H96)) + (90.79 *Crescimento!#REF!) - (3.13 * Crescimento!#REF!*Crescimento!#REF!)</f>
        <v>#REF!</v>
      </c>
      <c r="K96" s="6" t="e">
        <f>(L95+(Crescimento!#REF!-(L95*0.64))/0.8)/1000</f>
        <v>#REF!</v>
      </c>
      <c r="L96" s="7" t="e">
        <f>-53.07 + (304.89 * (K96)) + (90.79 *Crescimento!#REF!) - (3.13 * Crescimento!#REF!*Crescimento!#REF!)</f>
        <v>#REF!</v>
      </c>
      <c r="N96" s="6" t="e">
        <f>(O95+(Crescimento!#REF!-(O95*0.64))/0.8)/1000</f>
        <v>#REF!</v>
      </c>
      <c r="O96" s="7" t="e">
        <f>-53.07 + (304.89 * (N96)) + (90.79 *Crescimento!#REF!) - (3.13 * Crescimento!#REF!*Crescimento!#REF!)</f>
        <v>#REF!</v>
      </c>
      <c r="P96" s="1"/>
      <c r="Q96" s="6" t="e">
        <f>(R95+(Crescimento!#REF!-(R95*0.64))/0.8)/1000</f>
        <v>#REF!</v>
      </c>
      <c r="R96" s="7" t="e">
        <f>-53.07 + (304.89 * (Q96)) + (90.79 *Crescimento!#REF!) - (3.13 * Crescimento!#REF!*Crescimento!#REF!)</f>
        <v>#REF!</v>
      </c>
      <c r="T96" s="6" t="e">
        <f>(U95+(Crescimento!#REF!-(U95*0.64))/0.8)/1000</f>
        <v>#REF!</v>
      </c>
      <c r="U96" s="7" t="e">
        <f>-53.07 + (304.89 * (T96)) + (90.79 *Crescimento!#REF!) - (3.13 * Crescimento!#REF!*Crescimento!#REF!)</f>
        <v>#REF!</v>
      </c>
      <c r="W96" s="6" t="e">
        <f>(X95+(Crescimento!#REF!-(X95*0.64))/0.8)/1000</f>
        <v>#REF!</v>
      </c>
      <c r="X96" s="7" t="e">
        <f>-53.07 + (304.89 * (W96)) + (90.79 *Crescimento!#REF!) - (3.13 * Crescimento!#REF!*Crescimento!#REF!)</f>
        <v>#REF!</v>
      </c>
      <c r="Z96" s="6" t="e">
        <f>(AA95+(Crescimento!#REF!-(AA95*0.64))/0.8)/1000</f>
        <v>#REF!</v>
      </c>
      <c r="AA96" s="7" t="e">
        <f>-53.07 + (304.89 * (Z96)) + (90.79 *Crescimento!#REF!) - (3.13 * Crescimento!#REF!*Crescimento!#REF!)</f>
        <v>#REF!</v>
      </c>
      <c r="AB96" s="1"/>
      <c r="AC96" s="6" t="e">
        <f>(AD95+(Crescimento!#REF!-(AD95*0.64))/0.8)/1000</f>
        <v>#REF!</v>
      </c>
      <c r="AD96" s="7" t="e">
        <f>-53.07 + (304.89 * (AC96)) + (90.79 *Crescimento!#REF!) - (3.13 * Crescimento!#REF!*Crescimento!#REF!)</f>
        <v>#REF!</v>
      </c>
      <c r="AF96" s="6" t="e">
        <f>(AG95+(Crescimento!#REF!-(AG95*0.64))/0.8)/1000</f>
        <v>#REF!</v>
      </c>
      <c r="AG96" s="7" t="e">
        <f>-53.07 + (304.89 * (AF96)) + (90.79 *Crescimento!#REF!) - (3.13 * Crescimento!#REF!*Crescimento!#REF!)</f>
        <v>#REF!</v>
      </c>
      <c r="AI96" s="6" t="e">
        <f>(AJ95+(Crescimento!#REF!-(AJ95*0.64))/0.8)/1000</f>
        <v>#REF!</v>
      </c>
      <c r="AJ96" s="7" t="e">
        <f>-53.07 + (304.89 * (AI96)) + (90.79 *Crescimento!#REF!) - (3.13 * Crescimento!#REF!*Crescimento!#REF!)</f>
        <v>#REF!</v>
      </c>
      <c r="AL96" s="6" t="e">
        <f>(AM95+(Crescimento!#REF!-(AM95*0.64))/0.8)/1000</f>
        <v>#REF!</v>
      </c>
      <c r="AM96" s="7" t="e">
        <f>-53.07 + (304.89 * (AL96)) + (90.79 *Crescimento!#REF!) - (3.13 * Crescimento!#REF!*Crescimento!#REF!)</f>
        <v>#REF!</v>
      </c>
      <c r="AN96" s="1"/>
      <c r="AO96" s="6" t="e">
        <f>(AP95+(Crescimento!#REF!-(AP95*0.64))/0.8)/1000</f>
        <v>#REF!</v>
      </c>
      <c r="AP96" s="7" t="e">
        <f>-53.07 + (304.89 * (AO96)) + (90.79 *Crescimento!#REF!) - (3.13 * Crescimento!#REF!*Crescimento!#REF!)</f>
        <v>#REF!</v>
      </c>
      <c r="AR96" s="6" t="e">
        <f>(AS95+(Crescimento!#REF!-(AS95*0.64))/0.8)/1000</f>
        <v>#REF!</v>
      </c>
      <c r="AS96" s="7" t="e">
        <f>-53.07 + (304.89 * (AR96)) + (90.79 *Crescimento!#REF!) - (3.13 * Crescimento!#REF!*Crescimento!#REF!)</f>
        <v>#REF!</v>
      </c>
      <c r="AU96" s="6" t="e">
        <f>(AV95+(Crescimento!#REF!-(AV95*0.64))/0.8)/1000</f>
        <v>#REF!</v>
      </c>
      <c r="AV96" s="7" t="e">
        <f>-53.07 + (304.89 * (AU96)) + (90.79 *Crescimento!#REF!) - (3.13 * Crescimento!#REF!*Crescimento!#REF!)</f>
        <v>#REF!</v>
      </c>
      <c r="AX96" s="6" t="e">
        <f>(AY95+(Crescimento!#REF!-(AY95*0.64))/0.8)/1000</f>
        <v>#REF!</v>
      </c>
      <c r="AY96" s="7" t="e">
        <f>-53.07 + (304.89 * (AX96)) + (90.79 *Crescimento!#REF!) - (3.13 * Crescimento!#REF!*Crescimento!#REF!)</f>
        <v>#REF!</v>
      </c>
      <c r="AZ96" s="1"/>
      <c r="BA96" s="6" t="e">
        <f>(BB95+(Crescimento!#REF!-(BB95*0.64))/0.8)/1000</f>
        <v>#REF!</v>
      </c>
      <c r="BB96" s="7" t="e">
        <f>-53.07 + (304.89 * (BA96)) + (90.79 *Crescimento!#REF!) - (3.13 * Crescimento!#REF!*Crescimento!#REF!)</f>
        <v>#REF!</v>
      </c>
      <c r="BD96" s="6" t="e">
        <f>(BE95+(Crescimento!#REF!-(BE95*0.64))/0.8)/1000</f>
        <v>#REF!</v>
      </c>
      <c r="BE96" s="7" t="e">
        <f>-53.07 + (304.89 * (BD96)) + (90.79 *Crescimento!#REF!) - (3.13 * Crescimento!#REF!*Crescimento!#REF!)</f>
        <v>#REF!</v>
      </c>
      <c r="BG96" s="6" t="e">
        <f>(BH95+(Crescimento!#REF!-(BH95*0.64))/0.8)/1000</f>
        <v>#REF!</v>
      </c>
      <c r="BH96" s="7" t="e">
        <f>-53.07 + (304.89 * (BG96)) + (90.79 *Crescimento!#REF!) - (3.13 * Crescimento!#REF!*Crescimento!#REF!)</f>
        <v>#REF!</v>
      </c>
      <c r="BJ96" s="6" t="e">
        <f>(BK95+(Crescimento!#REF!-(BK95*0.64))/0.8)/1000</f>
        <v>#REF!</v>
      </c>
      <c r="BK96" s="7" t="e">
        <f>-53.07 + (304.89 * (BJ96)) + (90.79 *Crescimento!#REF!) - (3.13 * Crescimento!#REF!*Crescimento!#REF!)</f>
        <v>#REF!</v>
      </c>
      <c r="BL96" s="1"/>
      <c r="BM96" s="6" t="e">
        <f>(BN95+(Crescimento!#REF!-(BN95*0.64))/0.8)/1000</f>
        <v>#REF!</v>
      </c>
      <c r="BN96" s="7" t="e">
        <f>-53.07 + (304.89 * (BM96)) + (90.79 *Crescimento!#REF!) - (3.13 * Crescimento!#REF!*Crescimento!#REF!)</f>
        <v>#REF!</v>
      </c>
      <c r="BP96" s="6" t="e">
        <f>(BQ95+(Crescimento!#REF!-(BQ95*0.64))/0.8)/1000</f>
        <v>#REF!</v>
      </c>
      <c r="BQ96" s="7" t="e">
        <f>-53.07 + (304.89 * (BP96)) + (90.79 *Crescimento!#REF!) - (3.13 * Crescimento!#REF!*Crescimento!#REF!)</f>
        <v>#REF!</v>
      </c>
      <c r="BS96" s="6" t="e">
        <f>(BT95+(Crescimento!#REF!-(BT95*0.64))/0.8)/1000</f>
        <v>#REF!</v>
      </c>
      <c r="BT96" s="7" t="e">
        <f>-53.07 + (304.89 * (BS96)) + (90.79 *Crescimento!#REF!) - (3.13 * Crescimento!#REF!*Crescimento!#REF!)</f>
        <v>#REF!</v>
      </c>
      <c r="BV96" s="6" t="e">
        <f>(BW95+(Crescimento!#REF!-(BW95*0.64))/0.8)/1000</f>
        <v>#REF!</v>
      </c>
      <c r="BW96" s="7" t="e">
        <f>-53.07 + (304.89 * (BV96)) + (90.79 *Crescimento!#REF!) - (3.13 * Crescimento!#REF!*Crescimento!#REF!)</f>
        <v>#REF!</v>
      </c>
      <c r="BX96" s="1"/>
      <c r="BY96" s="6" t="e">
        <f>(BZ95+(Crescimento!#REF!-(BZ95*0.64))/0.8)/1000</f>
        <v>#REF!</v>
      </c>
      <c r="BZ96" s="7" t="e">
        <f>-53.07 + (304.89 * (BY96)) + (90.79 *Crescimento!#REF!) - (3.13 * Crescimento!#REF!*Crescimento!#REF!)</f>
        <v>#REF!</v>
      </c>
      <c r="CB96" s="6" t="e">
        <f>(CC95+(Crescimento!#REF!-(CC95*0.64))/0.8)/1000</f>
        <v>#REF!</v>
      </c>
      <c r="CC96" s="7" t="e">
        <f>-53.07 + (304.89 * (CB96)) + (90.79 *Crescimento!#REF!) - (3.13 * Crescimento!#REF!*Crescimento!#REF!)</f>
        <v>#REF!</v>
      </c>
      <c r="CE96" s="6" t="e">
        <f>(CF95+(Crescimento!#REF!-(CF95*0.64))/0.8)/1000</f>
        <v>#REF!</v>
      </c>
      <c r="CF96" s="7" t="e">
        <f>-53.07 + (304.89 * (CE96)) + (90.79 *Crescimento!#REF!) - (3.13 * Crescimento!#REF!*Crescimento!#REF!)</f>
        <v>#REF!</v>
      </c>
      <c r="CH96" s="6" t="e">
        <f>(CI95+(Crescimento!#REF!-(CI95*0.64))/0.8)/1000</f>
        <v>#REF!</v>
      </c>
      <c r="CI96" s="7" t="e">
        <f>-53.07 + (304.89 * (CH96)) + (90.79 *Crescimento!#REF!) - (3.13 * Crescimento!#REF!*Crescimento!#REF!)</f>
        <v>#REF!</v>
      </c>
      <c r="CJ96" s="1"/>
      <c r="CK96" s="6" t="e">
        <f>(CL95+(Crescimento!#REF!-(CL95*0.64))/0.8)/1000</f>
        <v>#REF!</v>
      </c>
      <c r="CL96" s="7" t="e">
        <f>-53.07 + (304.89 * (CK96)) + (90.79 *Crescimento!#REF!) - (3.13 * Crescimento!#REF!*Crescimento!#REF!)</f>
        <v>#REF!</v>
      </c>
      <c r="CN96" s="6" t="e">
        <f>(CO95+(Crescimento!#REF!-(CO95*0.64))/0.8)/1000</f>
        <v>#REF!</v>
      </c>
      <c r="CO96" s="7" t="e">
        <f>-53.07 + (304.89 * (CN96)) + (90.79 *Crescimento!#REF!) - (3.13 * Crescimento!#REF!*Crescimento!#REF!)</f>
        <v>#REF!</v>
      </c>
      <c r="CQ96" s="6" t="e">
        <f>(CR95+(Crescimento!#REF!-(CR95*0.64))/0.8)/1000</f>
        <v>#REF!</v>
      </c>
      <c r="CR96" s="7" t="e">
        <f>-53.07 + (304.89 * (CQ96)) + (90.79 *Crescimento!#REF!) - (3.13 * Crescimento!#REF!*Crescimento!#REF!)</f>
        <v>#REF!</v>
      </c>
    </row>
    <row r="97" spans="2:96" x14ac:dyDescent="0.25">
      <c r="B97" s="6">
        <f>(C96+(Crescimento!$Q$27-(C96*0.64))/0.8)/1000</f>
        <v>1.1187993738011861</v>
      </c>
      <c r="C97" s="8">
        <f>-53.07 + (304.89 * (B97)) + (90.79 *Crescimento!$Q$20) - (3.13 * Crescimento!$Q$20*Crescimento!$Q$20)</f>
        <v>757.4287040082213</v>
      </c>
      <c r="D97" s="1"/>
      <c r="E97" s="6" t="e">
        <f>(F96+(Crescimento!#REF!-(F96*0.64))/0.8)/1000</f>
        <v>#REF!</v>
      </c>
      <c r="F97" s="7" t="e">
        <f>-53.07 + (304.89 * (E97)) + (90.79 *Crescimento!#REF!) - (3.13 * Crescimento!#REF!*Crescimento!#REF!)</f>
        <v>#REF!</v>
      </c>
      <c r="H97" s="6" t="e">
        <f>(I96+(Crescimento!#REF!-(I96*0.64))/0.8)/1000</f>
        <v>#REF!</v>
      </c>
      <c r="I97" s="7" t="e">
        <f>-53.07 + (304.89 * (H97)) + (90.79 *Crescimento!#REF!) - (3.13 * Crescimento!#REF!*Crescimento!#REF!)</f>
        <v>#REF!</v>
      </c>
      <c r="K97" s="6" t="e">
        <f>(L96+(Crescimento!#REF!-(L96*0.64))/0.8)/1000</f>
        <v>#REF!</v>
      </c>
      <c r="L97" s="7" t="e">
        <f>-53.07 + (304.89 * (K97)) + (90.79 *Crescimento!#REF!) - (3.13 * Crescimento!#REF!*Crescimento!#REF!)</f>
        <v>#REF!</v>
      </c>
      <c r="N97" s="6" t="e">
        <f>(O96+(Crescimento!#REF!-(O96*0.64))/0.8)/1000</f>
        <v>#REF!</v>
      </c>
      <c r="O97" s="7" t="e">
        <f>-53.07 + (304.89 * (N97)) + (90.79 *Crescimento!#REF!) - (3.13 * Crescimento!#REF!*Crescimento!#REF!)</f>
        <v>#REF!</v>
      </c>
      <c r="P97" s="1"/>
      <c r="Q97" s="6" t="e">
        <f>(R96+(Crescimento!#REF!-(R96*0.64))/0.8)/1000</f>
        <v>#REF!</v>
      </c>
      <c r="R97" s="7" t="e">
        <f>-53.07 + (304.89 * (Q97)) + (90.79 *Crescimento!#REF!) - (3.13 * Crescimento!#REF!*Crescimento!#REF!)</f>
        <v>#REF!</v>
      </c>
      <c r="T97" s="6" t="e">
        <f>(U96+(Crescimento!#REF!-(U96*0.64))/0.8)/1000</f>
        <v>#REF!</v>
      </c>
      <c r="U97" s="7" t="e">
        <f>-53.07 + (304.89 * (T97)) + (90.79 *Crescimento!#REF!) - (3.13 * Crescimento!#REF!*Crescimento!#REF!)</f>
        <v>#REF!</v>
      </c>
      <c r="W97" s="6" t="e">
        <f>(X96+(Crescimento!#REF!-(X96*0.64))/0.8)/1000</f>
        <v>#REF!</v>
      </c>
      <c r="X97" s="7" t="e">
        <f>-53.07 + (304.89 * (W97)) + (90.79 *Crescimento!#REF!) - (3.13 * Crescimento!#REF!*Crescimento!#REF!)</f>
        <v>#REF!</v>
      </c>
      <c r="Z97" s="6" t="e">
        <f>(AA96+(Crescimento!#REF!-(AA96*0.64))/0.8)/1000</f>
        <v>#REF!</v>
      </c>
      <c r="AA97" s="7" t="e">
        <f>-53.07 + (304.89 * (Z97)) + (90.79 *Crescimento!#REF!) - (3.13 * Crescimento!#REF!*Crescimento!#REF!)</f>
        <v>#REF!</v>
      </c>
      <c r="AB97" s="1"/>
      <c r="AC97" s="6" t="e">
        <f>(AD96+(Crescimento!#REF!-(AD96*0.64))/0.8)/1000</f>
        <v>#REF!</v>
      </c>
      <c r="AD97" s="7" t="e">
        <f>-53.07 + (304.89 * (AC97)) + (90.79 *Crescimento!#REF!) - (3.13 * Crescimento!#REF!*Crescimento!#REF!)</f>
        <v>#REF!</v>
      </c>
      <c r="AF97" s="6" t="e">
        <f>(AG96+(Crescimento!#REF!-(AG96*0.64))/0.8)/1000</f>
        <v>#REF!</v>
      </c>
      <c r="AG97" s="7" t="e">
        <f>-53.07 + (304.89 * (AF97)) + (90.79 *Crescimento!#REF!) - (3.13 * Crescimento!#REF!*Crescimento!#REF!)</f>
        <v>#REF!</v>
      </c>
      <c r="AI97" s="6" t="e">
        <f>(AJ96+(Crescimento!#REF!-(AJ96*0.64))/0.8)/1000</f>
        <v>#REF!</v>
      </c>
      <c r="AJ97" s="7" t="e">
        <f>-53.07 + (304.89 * (AI97)) + (90.79 *Crescimento!#REF!) - (3.13 * Crescimento!#REF!*Crescimento!#REF!)</f>
        <v>#REF!</v>
      </c>
      <c r="AL97" s="6" t="e">
        <f>(AM96+(Crescimento!#REF!-(AM96*0.64))/0.8)/1000</f>
        <v>#REF!</v>
      </c>
      <c r="AM97" s="7" t="e">
        <f>-53.07 + (304.89 * (AL97)) + (90.79 *Crescimento!#REF!) - (3.13 * Crescimento!#REF!*Crescimento!#REF!)</f>
        <v>#REF!</v>
      </c>
      <c r="AN97" s="1"/>
      <c r="AO97" s="6" t="e">
        <f>(AP96+(Crescimento!#REF!-(AP96*0.64))/0.8)/1000</f>
        <v>#REF!</v>
      </c>
      <c r="AP97" s="7" t="e">
        <f>-53.07 + (304.89 * (AO97)) + (90.79 *Crescimento!#REF!) - (3.13 * Crescimento!#REF!*Crescimento!#REF!)</f>
        <v>#REF!</v>
      </c>
      <c r="AR97" s="6" t="e">
        <f>(AS96+(Crescimento!#REF!-(AS96*0.64))/0.8)/1000</f>
        <v>#REF!</v>
      </c>
      <c r="AS97" s="7" t="e">
        <f>-53.07 + (304.89 * (AR97)) + (90.79 *Crescimento!#REF!) - (3.13 * Crescimento!#REF!*Crescimento!#REF!)</f>
        <v>#REF!</v>
      </c>
      <c r="AU97" s="6" t="e">
        <f>(AV96+(Crescimento!#REF!-(AV96*0.64))/0.8)/1000</f>
        <v>#REF!</v>
      </c>
      <c r="AV97" s="7" t="e">
        <f>-53.07 + (304.89 * (AU97)) + (90.79 *Crescimento!#REF!) - (3.13 * Crescimento!#REF!*Crescimento!#REF!)</f>
        <v>#REF!</v>
      </c>
      <c r="AX97" s="6" t="e">
        <f>(AY96+(Crescimento!#REF!-(AY96*0.64))/0.8)/1000</f>
        <v>#REF!</v>
      </c>
      <c r="AY97" s="7" t="e">
        <f>-53.07 + (304.89 * (AX97)) + (90.79 *Crescimento!#REF!) - (3.13 * Crescimento!#REF!*Crescimento!#REF!)</f>
        <v>#REF!</v>
      </c>
      <c r="AZ97" s="1"/>
      <c r="BA97" s="6" t="e">
        <f>(BB96+(Crescimento!#REF!-(BB96*0.64))/0.8)/1000</f>
        <v>#REF!</v>
      </c>
      <c r="BB97" s="7" t="e">
        <f>-53.07 + (304.89 * (BA97)) + (90.79 *Crescimento!#REF!) - (3.13 * Crescimento!#REF!*Crescimento!#REF!)</f>
        <v>#REF!</v>
      </c>
      <c r="BD97" s="6" t="e">
        <f>(BE96+(Crescimento!#REF!-(BE96*0.64))/0.8)/1000</f>
        <v>#REF!</v>
      </c>
      <c r="BE97" s="7" t="e">
        <f>-53.07 + (304.89 * (BD97)) + (90.79 *Crescimento!#REF!) - (3.13 * Crescimento!#REF!*Crescimento!#REF!)</f>
        <v>#REF!</v>
      </c>
      <c r="BG97" s="6" t="e">
        <f>(BH96+(Crescimento!#REF!-(BH96*0.64))/0.8)/1000</f>
        <v>#REF!</v>
      </c>
      <c r="BH97" s="7" t="e">
        <f>-53.07 + (304.89 * (BG97)) + (90.79 *Crescimento!#REF!) - (3.13 * Crescimento!#REF!*Crescimento!#REF!)</f>
        <v>#REF!</v>
      </c>
      <c r="BJ97" s="6" t="e">
        <f>(BK96+(Crescimento!#REF!-(BK96*0.64))/0.8)/1000</f>
        <v>#REF!</v>
      </c>
      <c r="BK97" s="7" t="e">
        <f>-53.07 + (304.89 * (BJ97)) + (90.79 *Crescimento!#REF!) - (3.13 * Crescimento!#REF!*Crescimento!#REF!)</f>
        <v>#REF!</v>
      </c>
      <c r="BL97" s="1"/>
      <c r="BM97" s="6" t="e">
        <f>(BN96+(Crescimento!#REF!-(BN96*0.64))/0.8)/1000</f>
        <v>#REF!</v>
      </c>
      <c r="BN97" s="7" t="e">
        <f>-53.07 + (304.89 * (BM97)) + (90.79 *Crescimento!#REF!) - (3.13 * Crescimento!#REF!*Crescimento!#REF!)</f>
        <v>#REF!</v>
      </c>
      <c r="BP97" s="6" t="e">
        <f>(BQ96+(Crescimento!#REF!-(BQ96*0.64))/0.8)/1000</f>
        <v>#REF!</v>
      </c>
      <c r="BQ97" s="7" t="e">
        <f>-53.07 + (304.89 * (BP97)) + (90.79 *Crescimento!#REF!) - (3.13 * Crescimento!#REF!*Crescimento!#REF!)</f>
        <v>#REF!</v>
      </c>
      <c r="BS97" s="6" t="e">
        <f>(BT96+(Crescimento!#REF!-(BT96*0.64))/0.8)/1000</f>
        <v>#REF!</v>
      </c>
      <c r="BT97" s="7" t="e">
        <f>-53.07 + (304.89 * (BS97)) + (90.79 *Crescimento!#REF!) - (3.13 * Crescimento!#REF!*Crescimento!#REF!)</f>
        <v>#REF!</v>
      </c>
      <c r="BV97" s="6" t="e">
        <f>(BW96+(Crescimento!#REF!-(BW96*0.64))/0.8)/1000</f>
        <v>#REF!</v>
      </c>
      <c r="BW97" s="7" t="e">
        <f>-53.07 + (304.89 * (BV97)) + (90.79 *Crescimento!#REF!) - (3.13 * Crescimento!#REF!*Crescimento!#REF!)</f>
        <v>#REF!</v>
      </c>
      <c r="BX97" s="1"/>
      <c r="BY97" s="6" t="e">
        <f>(BZ96+(Crescimento!#REF!-(BZ96*0.64))/0.8)/1000</f>
        <v>#REF!</v>
      </c>
      <c r="BZ97" s="7" t="e">
        <f>-53.07 + (304.89 * (BY97)) + (90.79 *Crescimento!#REF!) - (3.13 * Crescimento!#REF!*Crescimento!#REF!)</f>
        <v>#REF!</v>
      </c>
      <c r="CB97" s="6" t="e">
        <f>(CC96+(Crescimento!#REF!-(CC96*0.64))/0.8)/1000</f>
        <v>#REF!</v>
      </c>
      <c r="CC97" s="7" t="e">
        <f>-53.07 + (304.89 * (CB97)) + (90.79 *Crescimento!#REF!) - (3.13 * Crescimento!#REF!*Crescimento!#REF!)</f>
        <v>#REF!</v>
      </c>
      <c r="CE97" s="6" t="e">
        <f>(CF96+(Crescimento!#REF!-(CF96*0.64))/0.8)/1000</f>
        <v>#REF!</v>
      </c>
      <c r="CF97" s="7" t="e">
        <f>-53.07 + (304.89 * (CE97)) + (90.79 *Crescimento!#REF!) - (3.13 * Crescimento!#REF!*Crescimento!#REF!)</f>
        <v>#REF!</v>
      </c>
      <c r="CH97" s="6" t="e">
        <f>(CI96+(Crescimento!#REF!-(CI96*0.64))/0.8)/1000</f>
        <v>#REF!</v>
      </c>
      <c r="CI97" s="7" t="e">
        <f>-53.07 + (304.89 * (CH97)) + (90.79 *Crescimento!#REF!) - (3.13 * Crescimento!#REF!*Crescimento!#REF!)</f>
        <v>#REF!</v>
      </c>
      <c r="CJ97" s="1"/>
      <c r="CK97" s="6" t="e">
        <f>(CL96+(Crescimento!#REF!-(CL96*0.64))/0.8)/1000</f>
        <v>#REF!</v>
      </c>
      <c r="CL97" s="7" t="e">
        <f>-53.07 + (304.89 * (CK97)) + (90.79 *Crescimento!#REF!) - (3.13 * Crescimento!#REF!*Crescimento!#REF!)</f>
        <v>#REF!</v>
      </c>
      <c r="CN97" s="6" t="e">
        <f>(CO96+(Crescimento!#REF!-(CO96*0.64))/0.8)/1000</f>
        <v>#REF!</v>
      </c>
      <c r="CO97" s="7" t="e">
        <f>-53.07 + (304.89 * (CN97)) + (90.79 *Crescimento!#REF!) - (3.13 * Crescimento!#REF!*Crescimento!#REF!)</f>
        <v>#REF!</v>
      </c>
      <c r="CQ97" s="6" t="e">
        <f>(CR96+(Crescimento!#REF!-(CR96*0.64))/0.8)/1000</f>
        <v>#REF!</v>
      </c>
      <c r="CR97" s="7" t="e">
        <f>-53.07 + (304.89 * (CQ97)) + (90.79 *Crescimento!#REF!) - (3.13 * Crescimento!#REF!*Crescimento!#REF!)</f>
        <v>#REF!</v>
      </c>
    </row>
    <row r="98" spans="2:96" x14ac:dyDescent="0.25">
      <c r="B98" s="6">
        <f>(C97+(Crescimento!$Q$27-(C97*0.64))/0.8)/1000</f>
        <v>1.1187993738011861</v>
      </c>
      <c r="C98" s="8">
        <f>-53.07 + (304.89 * (B98)) + (90.79 *Crescimento!$Q$20) - (3.13 * Crescimento!$Q$20*Crescimento!$Q$20)</f>
        <v>757.4287040082213</v>
      </c>
      <c r="D98" s="1"/>
      <c r="E98" s="6" t="e">
        <f>(F97+(Crescimento!#REF!-(F97*0.64))/0.8)/1000</f>
        <v>#REF!</v>
      </c>
      <c r="F98" s="7" t="e">
        <f>-53.07 + (304.89 * (E98)) + (90.79 *Crescimento!#REF!) - (3.13 * Crescimento!#REF!*Crescimento!#REF!)</f>
        <v>#REF!</v>
      </c>
      <c r="H98" s="6" t="e">
        <f>(I97+(Crescimento!#REF!-(I97*0.64))/0.8)/1000</f>
        <v>#REF!</v>
      </c>
      <c r="I98" s="7" t="e">
        <f>-53.07 + (304.89 * (H98)) + (90.79 *Crescimento!#REF!) - (3.13 * Crescimento!#REF!*Crescimento!#REF!)</f>
        <v>#REF!</v>
      </c>
      <c r="K98" s="6" t="e">
        <f>(L97+(Crescimento!#REF!-(L97*0.64))/0.8)/1000</f>
        <v>#REF!</v>
      </c>
      <c r="L98" s="7" t="e">
        <f>-53.07 + (304.89 * (K98)) + (90.79 *Crescimento!#REF!) - (3.13 * Crescimento!#REF!*Crescimento!#REF!)</f>
        <v>#REF!</v>
      </c>
      <c r="N98" s="6" t="e">
        <f>(O97+(Crescimento!#REF!-(O97*0.64))/0.8)/1000</f>
        <v>#REF!</v>
      </c>
      <c r="O98" s="7" t="e">
        <f>-53.07 + (304.89 * (N98)) + (90.79 *Crescimento!#REF!) - (3.13 * Crescimento!#REF!*Crescimento!#REF!)</f>
        <v>#REF!</v>
      </c>
      <c r="P98" s="1"/>
      <c r="Q98" s="6" t="e">
        <f>(R97+(Crescimento!#REF!-(R97*0.64))/0.8)/1000</f>
        <v>#REF!</v>
      </c>
      <c r="R98" s="7" t="e">
        <f>-53.07 + (304.89 * (Q98)) + (90.79 *Crescimento!#REF!) - (3.13 * Crescimento!#REF!*Crescimento!#REF!)</f>
        <v>#REF!</v>
      </c>
      <c r="T98" s="6" t="e">
        <f>(U97+(Crescimento!#REF!-(U97*0.64))/0.8)/1000</f>
        <v>#REF!</v>
      </c>
      <c r="U98" s="7" t="e">
        <f>-53.07 + (304.89 * (T98)) + (90.79 *Crescimento!#REF!) - (3.13 * Crescimento!#REF!*Crescimento!#REF!)</f>
        <v>#REF!</v>
      </c>
      <c r="W98" s="6" t="e">
        <f>(X97+(Crescimento!#REF!-(X97*0.64))/0.8)/1000</f>
        <v>#REF!</v>
      </c>
      <c r="X98" s="7" t="e">
        <f>-53.07 + (304.89 * (W98)) + (90.79 *Crescimento!#REF!) - (3.13 * Crescimento!#REF!*Crescimento!#REF!)</f>
        <v>#REF!</v>
      </c>
      <c r="Z98" s="6" t="e">
        <f>(AA97+(Crescimento!#REF!-(AA97*0.64))/0.8)/1000</f>
        <v>#REF!</v>
      </c>
      <c r="AA98" s="7" t="e">
        <f>-53.07 + (304.89 * (Z98)) + (90.79 *Crescimento!#REF!) - (3.13 * Crescimento!#REF!*Crescimento!#REF!)</f>
        <v>#REF!</v>
      </c>
      <c r="AB98" s="1"/>
      <c r="AC98" s="6" t="e">
        <f>(AD97+(Crescimento!#REF!-(AD97*0.64))/0.8)/1000</f>
        <v>#REF!</v>
      </c>
      <c r="AD98" s="7" t="e">
        <f>-53.07 + (304.89 * (AC98)) + (90.79 *Crescimento!#REF!) - (3.13 * Crescimento!#REF!*Crescimento!#REF!)</f>
        <v>#REF!</v>
      </c>
      <c r="AF98" s="6" t="e">
        <f>(AG97+(Crescimento!#REF!-(AG97*0.64))/0.8)/1000</f>
        <v>#REF!</v>
      </c>
      <c r="AG98" s="7" t="e">
        <f>-53.07 + (304.89 * (AF98)) + (90.79 *Crescimento!#REF!) - (3.13 * Crescimento!#REF!*Crescimento!#REF!)</f>
        <v>#REF!</v>
      </c>
      <c r="AI98" s="6" t="e">
        <f>(AJ97+(Crescimento!#REF!-(AJ97*0.64))/0.8)/1000</f>
        <v>#REF!</v>
      </c>
      <c r="AJ98" s="7" t="e">
        <f>-53.07 + (304.89 * (AI98)) + (90.79 *Crescimento!#REF!) - (3.13 * Crescimento!#REF!*Crescimento!#REF!)</f>
        <v>#REF!</v>
      </c>
      <c r="AL98" s="6" t="e">
        <f>(AM97+(Crescimento!#REF!-(AM97*0.64))/0.8)/1000</f>
        <v>#REF!</v>
      </c>
      <c r="AM98" s="7" t="e">
        <f>-53.07 + (304.89 * (AL98)) + (90.79 *Crescimento!#REF!) - (3.13 * Crescimento!#REF!*Crescimento!#REF!)</f>
        <v>#REF!</v>
      </c>
      <c r="AN98" s="1"/>
      <c r="AO98" s="6" t="e">
        <f>(AP97+(Crescimento!#REF!-(AP97*0.64))/0.8)/1000</f>
        <v>#REF!</v>
      </c>
      <c r="AP98" s="7" t="e">
        <f>-53.07 + (304.89 * (AO98)) + (90.79 *Crescimento!#REF!) - (3.13 * Crescimento!#REF!*Crescimento!#REF!)</f>
        <v>#REF!</v>
      </c>
      <c r="AR98" s="6" t="e">
        <f>(AS97+(Crescimento!#REF!-(AS97*0.64))/0.8)/1000</f>
        <v>#REF!</v>
      </c>
      <c r="AS98" s="7" t="e">
        <f>-53.07 + (304.89 * (AR98)) + (90.79 *Crescimento!#REF!) - (3.13 * Crescimento!#REF!*Crescimento!#REF!)</f>
        <v>#REF!</v>
      </c>
      <c r="AU98" s="6" t="e">
        <f>(AV97+(Crescimento!#REF!-(AV97*0.64))/0.8)/1000</f>
        <v>#REF!</v>
      </c>
      <c r="AV98" s="7" t="e">
        <f>-53.07 + (304.89 * (AU98)) + (90.79 *Crescimento!#REF!) - (3.13 * Crescimento!#REF!*Crescimento!#REF!)</f>
        <v>#REF!</v>
      </c>
      <c r="AX98" s="6" t="e">
        <f>(AY97+(Crescimento!#REF!-(AY97*0.64))/0.8)/1000</f>
        <v>#REF!</v>
      </c>
      <c r="AY98" s="7" t="e">
        <f>-53.07 + (304.89 * (AX98)) + (90.79 *Crescimento!#REF!) - (3.13 * Crescimento!#REF!*Crescimento!#REF!)</f>
        <v>#REF!</v>
      </c>
      <c r="AZ98" s="1"/>
      <c r="BA98" s="6" t="e">
        <f>(BB97+(Crescimento!#REF!-(BB97*0.64))/0.8)/1000</f>
        <v>#REF!</v>
      </c>
      <c r="BB98" s="7" t="e">
        <f>-53.07 + (304.89 * (BA98)) + (90.79 *Crescimento!#REF!) - (3.13 * Crescimento!#REF!*Crescimento!#REF!)</f>
        <v>#REF!</v>
      </c>
      <c r="BD98" s="6" t="e">
        <f>(BE97+(Crescimento!#REF!-(BE97*0.64))/0.8)/1000</f>
        <v>#REF!</v>
      </c>
      <c r="BE98" s="7" t="e">
        <f>-53.07 + (304.89 * (BD98)) + (90.79 *Crescimento!#REF!) - (3.13 * Crescimento!#REF!*Crescimento!#REF!)</f>
        <v>#REF!</v>
      </c>
      <c r="BG98" s="6" t="e">
        <f>(BH97+(Crescimento!#REF!-(BH97*0.64))/0.8)/1000</f>
        <v>#REF!</v>
      </c>
      <c r="BH98" s="7" t="e">
        <f>-53.07 + (304.89 * (BG98)) + (90.79 *Crescimento!#REF!) - (3.13 * Crescimento!#REF!*Crescimento!#REF!)</f>
        <v>#REF!</v>
      </c>
      <c r="BJ98" s="6" t="e">
        <f>(BK97+(Crescimento!#REF!-(BK97*0.64))/0.8)/1000</f>
        <v>#REF!</v>
      </c>
      <c r="BK98" s="7" t="e">
        <f>-53.07 + (304.89 * (BJ98)) + (90.79 *Crescimento!#REF!) - (3.13 * Crescimento!#REF!*Crescimento!#REF!)</f>
        <v>#REF!</v>
      </c>
      <c r="BL98" s="1"/>
      <c r="BM98" s="6" t="e">
        <f>(BN97+(Crescimento!#REF!-(BN97*0.64))/0.8)/1000</f>
        <v>#REF!</v>
      </c>
      <c r="BN98" s="7" t="e">
        <f>-53.07 + (304.89 * (BM98)) + (90.79 *Crescimento!#REF!) - (3.13 * Crescimento!#REF!*Crescimento!#REF!)</f>
        <v>#REF!</v>
      </c>
      <c r="BP98" s="6" t="e">
        <f>(BQ97+(Crescimento!#REF!-(BQ97*0.64))/0.8)/1000</f>
        <v>#REF!</v>
      </c>
      <c r="BQ98" s="7" t="e">
        <f>-53.07 + (304.89 * (BP98)) + (90.79 *Crescimento!#REF!) - (3.13 * Crescimento!#REF!*Crescimento!#REF!)</f>
        <v>#REF!</v>
      </c>
      <c r="BS98" s="6" t="e">
        <f>(BT97+(Crescimento!#REF!-(BT97*0.64))/0.8)/1000</f>
        <v>#REF!</v>
      </c>
      <c r="BT98" s="7" t="e">
        <f>-53.07 + (304.89 * (BS98)) + (90.79 *Crescimento!#REF!) - (3.13 * Crescimento!#REF!*Crescimento!#REF!)</f>
        <v>#REF!</v>
      </c>
      <c r="BV98" s="6" t="e">
        <f>(BW97+(Crescimento!#REF!-(BW97*0.64))/0.8)/1000</f>
        <v>#REF!</v>
      </c>
      <c r="BW98" s="7" t="e">
        <f>-53.07 + (304.89 * (BV98)) + (90.79 *Crescimento!#REF!) - (3.13 * Crescimento!#REF!*Crescimento!#REF!)</f>
        <v>#REF!</v>
      </c>
      <c r="BX98" s="1"/>
      <c r="BY98" s="6" t="e">
        <f>(BZ97+(Crescimento!#REF!-(BZ97*0.64))/0.8)/1000</f>
        <v>#REF!</v>
      </c>
      <c r="BZ98" s="7" t="e">
        <f>-53.07 + (304.89 * (BY98)) + (90.79 *Crescimento!#REF!) - (3.13 * Crescimento!#REF!*Crescimento!#REF!)</f>
        <v>#REF!</v>
      </c>
      <c r="CB98" s="6" t="e">
        <f>(CC97+(Crescimento!#REF!-(CC97*0.64))/0.8)/1000</f>
        <v>#REF!</v>
      </c>
      <c r="CC98" s="7" t="e">
        <f>-53.07 + (304.89 * (CB98)) + (90.79 *Crescimento!#REF!) - (3.13 * Crescimento!#REF!*Crescimento!#REF!)</f>
        <v>#REF!</v>
      </c>
      <c r="CE98" s="6" t="e">
        <f>(CF97+(Crescimento!#REF!-(CF97*0.64))/0.8)/1000</f>
        <v>#REF!</v>
      </c>
      <c r="CF98" s="7" t="e">
        <f>-53.07 + (304.89 * (CE98)) + (90.79 *Crescimento!#REF!) - (3.13 * Crescimento!#REF!*Crescimento!#REF!)</f>
        <v>#REF!</v>
      </c>
      <c r="CH98" s="6" t="e">
        <f>(CI97+(Crescimento!#REF!-(CI97*0.64))/0.8)/1000</f>
        <v>#REF!</v>
      </c>
      <c r="CI98" s="7" t="e">
        <f>-53.07 + (304.89 * (CH98)) + (90.79 *Crescimento!#REF!) - (3.13 * Crescimento!#REF!*Crescimento!#REF!)</f>
        <v>#REF!</v>
      </c>
      <c r="CJ98" s="1"/>
      <c r="CK98" s="6" t="e">
        <f>(CL97+(Crescimento!#REF!-(CL97*0.64))/0.8)/1000</f>
        <v>#REF!</v>
      </c>
      <c r="CL98" s="7" t="e">
        <f>-53.07 + (304.89 * (CK98)) + (90.79 *Crescimento!#REF!) - (3.13 * Crescimento!#REF!*Crescimento!#REF!)</f>
        <v>#REF!</v>
      </c>
      <c r="CN98" s="6" t="e">
        <f>(CO97+(Crescimento!#REF!-(CO97*0.64))/0.8)/1000</f>
        <v>#REF!</v>
      </c>
      <c r="CO98" s="7" t="e">
        <f>-53.07 + (304.89 * (CN98)) + (90.79 *Crescimento!#REF!) - (3.13 * Crescimento!#REF!*Crescimento!#REF!)</f>
        <v>#REF!</v>
      </c>
      <c r="CQ98" s="6" t="e">
        <f>(CR97+(Crescimento!#REF!-(CR97*0.64))/0.8)/1000</f>
        <v>#REF!</v>
      </c>
      <c r="CR98" s="7" t="e">
        <f>-53.07 + (304.89 * (CQ98)) + (90.79 *Crescimento!#REF!) - (3.13 * Crescimento!#REF!*Crescimento!#REF!)</f>
        <v>#REF!</v>
      </c>
    </row>
    <row r="99" spans="2:96" x14ac:dyDescent="0.25">
      <c r="B99" s="6">
        <f>(C98+(Crescimento!$Q$27-(C98*0.64))/0.8)/1000</f>
        <v>1.1187993738011861</v>
      </c>
      <c r="C99" s="8">
        <f>-53.07 + (304.89 * (B99)) + (90.79 *Crescimento!$Q$20) - (3.13 * Crescimento!$Q$20*Crescimento!$Q$20)</f>
        <v>757.4287040082213</v>
      </c>
      <c r="D99" s="1"/>
      <c r="E99" s="6" t="e">
        <f>(F98+(Crescimento!#REF!-(F98*0.64))/0.8)/1000</f>
        <v>#REF!</v>
      </c>
      <c r="F99" s="7" t="e">
        <f>-53.07 + (304.89 * (E99)) + (90.79 *Crescimento!#REF!) - (3.13 * Crescimento!#REF!*Crescimento!#REF!)</f>
        <v>#REF!</v>
      </c>
      <c r="H99" s="6" t="e">
        <f>(I98+(Crescimento!#REF!-(I98*0.64))/0.8)/1000</f>
        <v>#REF!</v>
      </c>
      <c r="I99" s="7" t="e">
        <f>-53.07 + (304.89 * (H99)) + (90.79 *Crescimento!#REF!) - (3.13 * Crescimento!#REF!*Crescimento!#REF!)</f>
        <v>#REF!</v>
      </c>
      <c r="K99" s="6" t="e">
        <f>(L98+(Crescimento!#REF!-(L98*0.64))/0.8)/1000</f>
        <v>#REF!</v>
      </c>
      <c r="L99" s="7" t="e">
        <f>-53.07 + (304.89 * (K99)) + (90.79 *Crescimento!#REF!) - (3.13 * Crescimento!#REF!*Crescimento!#REF!)</f>
        <v>#REF!</v>
      </c>
      <c r="N99" s="6" t="e">
        <f>(O98+(Crescimento!#REF!-(O98*0.64))/0.8)/1000</f>
        <v>#REF!</v>
      </c>
      <c r="O99" s="7" t="e">
        <f>-53.07 + (304.89 * (N99)) + (90.79 *Crescimento!#REF!) - (3.13 * Crescimento!#REF!*Crescimento!#REF!)</f>
        <v>#REF!</v>
      </c>
      <c r="P99" s="1"/>
      <c r="Q99" s="6" t="e">
        <f>(R98+(Crescimento!#REF!-(R98*0.64))/0.8)/1000</f>
        <v>#REF!</v>
      </c>
      <c r="R99" s="7" t="e">
        <f>-53.07 + (304.89 * (Q99)) + (90.79 *Crescimento!#REF!) - (3.13 * Crescimento!#REF!*Crescimento!#REF!)</f>
        <v>#REF!</v>
      </c>
      <c r="T99" s="6" t="e">
        <f>(U98+(Crescimento!#REF!-(U98*0.64))/0.8)/1000</f>
        <v>#REF!</v>
      </c>
      <c r="U99" s="7" t="e">
        <f>-53.07 + (304.89 * (T99)) + (90.79 *Crescimento!#REF!) - (3.13 * Crescimento!#REF!*Crescimento!#REF!)</f>
        <v>#REF!</v>
      </c>
      <c r="W99" s="6" t="e">
        <f>(X98+(Crescimento!#REF!-(X98*0.64))/0.8)/1000</f>
        <v>#REF!</v>
      </c>
      <c r="X99" s="7" t="e">
        <f>-53.07 + (304.89 * (W99)) + (90.79 *Crescimento!#REF!) - (3.13 * Crescimento!#REF!*Crescimento!#REF!)</f>
        <v>#REF!</v>
      </c>
      <c r="Z99" s="6" t="e">
        <f>(AA98+(Crescimento!#REF!-(AA98*0.64))/0.8)/1000</f>
        <v>#REF!</v>
      </c>
      <c r="AA99" s="7" t="e">
        <f>-53.07 + (304.89 * (Z99)) + (90.79 *Crescimento!#REF!) - (3.13 * Crescimento!#REF!*Crescimento!#REF!)</f>
        <v>#REF!</v>
      </c>
      <c r="AB99" s="1"/>
      <c r="AC99" s="6" t="e">
        <f>(AD98+(Crescimento!#REF!-(AD98*0.64))/0.8)/1000</f>
        <v>#REF!</v>
      </c>
      <c r="AD99" s="7" t="e">
        <f>-53.07 + (304.89 * (AC99)) + (90.79 *Crescimento!#REF!) - (3.13 * Crescimento!#REF!*Crescimento!#REF!)</f>
        <v>#REF!</v>
      </c>
      <c r="AF99" s="6" t="e">
        <f>(AG98+(Crescimento!#REF!-(AG98*0.64))/0.8)/1000</f>
        <v>#REF!</v>
      </c>
      <c r="AG99" s="7" t="e">
        <f>-53.07 + (304.89 * (AF99)) + (90.79 *Crescimento!#REF!) - (3.13 * Crescimento!#REF!*Crescimento!#REF!)</f>
        <v>#REF!</v>
      </c>
      <c r="AI99" s="6" t="e">
        <f>(AJ98+(Crescimento!#REF!-(AJ98*0.64))/0.8)/1000</f>
        <v>#REF!</v>
      </c>
      <c r="AJ99" s="7" t="e">
        <f>-53.07 + (304.89 * (AI99)) + (90.79 *Crescimento!#REF!) - (3.13 * Crescimento!#REF!*Crescimento!#REF!)</f>
        <v>#REF!</v>
      </c>
      <c r="AL99" s="6" t="e">
        <f>(AM98+(Crescimento!#REF!-(AM98*0.64))/0.8)/1000</f>
        <v>#REF!</v>
      </c>
      <c r="AM99" s="7" t="e">
        <f>-53.07 + (304.89 * (AL99)) + (90.79 *Crescimento!#REF!) - (3.13 * Crescimento!#REF!*Crescimento!#REF!)</f>
        <v>#REF!</v>
      </c>
      <c r="AN99" s="1"/>
      <c r="AO99" s="6" t="e">
        <f>(AP98+(Crescimento!#REF!-(AP98*0.64))/0.8)/1000</f>
        <v>#REF!</v>
      </c>
      <c r="AP99" s="7" t="e">
        <f>-53.07 + (304.89 * (AO99)) + (90.79 *Crescimento!#REF!) - (3.13 * Crescimento!#REF!*Crescimento!#REF!)</f>
        <v>#REF!</v>
      </c>
      <c r="AR99" s="6" t="e">
        <f>(AS98+(Crescimento!#REF!-(AS98*0.64))/0.8)/1000</f>
        <v>#REF!</v>
      </c>
      <c r="AS99" s="7" t="e">
        <f>-53.07 + (304.89 * (AR99)) + (90.79 *Crescimento!#REF!) - (3.13 * Crescimento!#REF!*Crescimento!#REF!)</f>
        <v>#REF!</v>
      </c>
      <c r="AU99" s="6" t="e">
        <f>(AV98+(Crescimento!#REF!-(AV98*0.64))/0.8)/1000</f>
        <v>#REF!</v>
      </c>
      <c r="AV99" s="7" t="e">
        <f>-53.07 + (304.89 * (AU99)) + (90.79 *Crescimento!#REF!) - (3.13 * Crescimento!#REF!*Crescimento!#REF!)</f>
        <v>#REF!</v>
      </c>
      <c r="AX99" s="6" t="e">
        <f>(AY98+(Crescimento!#REF!-(AY98*0.64))/0.8)/1000</f>
        <v>#REF!</v>
      </c>
      <c r="AY99" s="7" t="e">
        <f>-53.07 + (304.89 * (AX99)) + (90.79 *Crescimento!#REF!) - (3.13 * Crescimento!#REF!*Crescimento!#REF!)</f>
        <v>#REF!</v>
      </c>
      <c r="AZ99" s="1"/>
      <c r="BA99" s="6" t="e">
        <f>(BB98+(Crescimento!#REF!-(BB98*0.64))/0.8)/1000</f>
        <v>#REF!</v>
      </c>
      <c r="BB99" s="7" t="e">
        <f>-53.07 + (304.89 * (BA99)) + (90.79 *Crescimento!#REF!) - (3.13 * Crescimento!#REF!*Crescimento!#REF!)</f>
        <v>#REF!</v>
      </c>
      <c r="BD99" s="6" t="e">
        <f>(BE98+(Crescimento!#REF!-(BE98*0.64))/0.8)/1000</f>
        <v>#REF!</v>
      </c>
      <c r="BE99" s="7" t="e">
        <f>-53.07 + (304.89 * (BD99)) + (90.79 *Crescimento!#REF!) - (3.13 * Crescimento!#REF!*Crescimento!#REF!)</f>
        <v>#REF!</v>
      </c>
      <c r="BG99" s="6" t="e">
        <f>(BH98+(Crescimento!#REF!-(BH98*0.64))/0.8)/1000</f>
        <v>#REF!</v>
      </c>
      <c r="BH99" s="7" t="e">
        <f>-53.07 + (304.89 * (BG99)) + (90.79 *Crescimento!#REF!) - (3.13 * Crescimento!#REF!*Crescimento!#REF!)</f>
        <v>#REF!</v>
      </c>
      <c r="BJ99" s="6" t="e">
        <f>(BK98+(Crescimento!#REF!-(BK98*0.64))/0.8)/1000</f>
        <v>#REF!</v>
      </c>
      <c r="BK99" s="7" t="e">
        <f>-53.07 + (304.89 * (BJ99)) + (90.79 *Crescimento!#REF!) - (3.13 * Crescimento!#REF!*Crescimento!#REF!)</f>
        <v>#REF!</v>
      </c>
      <c r="BL99" s="1"/>
      <c r="BM99" s="6" t="e">
        <f>(BN98+(Crescimento!#REF!-(BN98*0.64))/0.8)/1000</f>
        <v>#REF!</v>
      </c>
      <c r="BN99" s="7" t="e">
        <f>-53.07 + (304.89 * (BM99)) + (90.79 *Crescimento!#REF!) - (3.13 * Crescimento!#REF!*Crescimento!#REF!)</f>
        <v>#REF!</v>
      </c>
      <c r="BP99" s="6" t="e">
        <f>(BQ98+(Crescimento!#REF!-(BQ98*0.64))/0.8)/1000</f>
        <v>#REF!</v>
      </c>
      <c r="BQ99" s="7" t="e">
        <f>-53.07 + (304.89 * (BP99)) + (90.79 *Crescimento!#REF!) - (3.13 * Crescimento!#REF!*Crescimento!#REF!)</f>
        <v>#REF!</v>
      </c>
      <c r="BS99" s="6" t="e">
        <f>(BT98+(Crescimento!#REF!-(BT98*0.64))/0.8)/1000</f>
        <v>#REF!</v>
      </c>
      <c r="BT99" s="7" t="e">
        <f>-53.07 + (304.89 * (BS99)) + (90.79 *Crescimento!#REF!) - (3.13 * Crescimento!#REF!*Crescimento!#REF!)</f>
        <v>#REF!</v>
      </c>
      <c r="BV99" s="6" t="e">
        <f>(BW98+(Crescimento!#REF!-(BW98*0.64))/0.8)/1000</f>
        <v>#REF!</v>
      </c>
      <c r="BW99" s="7" t="e">
        <f>-53.07 + (304.89 * (BV99)) + (90.79 *Crescimento!#REF!) - (3.13 * Crescimento!#REF!*Crescimento!#REF!)</f>
        <v>#REF!</v>
      </c>
      <c r="BX99" s="1"/>
      <c r="BY99" s="6" t="e">
        <f>(BZ98+(Crescimento!#REF!-(BZ98*0.64))/0.8)/1000</f>
        <v>#REF!</v>
      </c>
      <c r="BZ99" s="7" t="e">
        <f>-53.07 + (304.89 * (BY99)) + (90.79 *Crescimento!#REF!) - (3.13 * Crescimento!#REF!*Crescimento!#REF!)</f>
        <v>#REF!</v>
      </c>
      <c r="CB99" s="6" t="e">
        <f>(CC98+(Crescimento!#REF!-(CC98*0.64))/0.8)/1000</f>
        <v>#REF!</v>
      </c>
      <c r="CC99" s="7" t="e">
        <f>-53.07 + (304.89 * (CB99)) + (90.79 *Crescimento!#REF!) - (3.13 * Crescimento!#REF!*Crescimento!#REF!)</f>
        <v>#REF!</v>
      </c>
      <c r="CE99" s="6" t="e">
        <f>(CF98+(Crescimento!#REF!-(CF98*0.64))/0.8)/1000</f>
        <v>#REF!</v>
      </c>
      <c r="CF99" s="7" t="e">
        <f>-53.07 + (304.89 * (CE99)) + (90.79 *Crescimento!#REF!) - (3.13 * Crescimento!#REF!*Crescimento!#REF!)</f>
        <v>#REF!</v>
      </c>
      <c r="CH99" s="6" t="e">
        <f>(CI98+(Crescimento!#REF!-(CI98*0.64))/0.8)/1000</f>
        <v>#REF!</v>
      </c>
      <c r="CI99" s="7" t="e">
        <f>-53.07 + (304.89 * (CH99)) + (90.79 *Crescimento!#REF!) - (3.13 * Crescimento!#REF!*Crescimento!#REF!)</f>
        <v>#REF!</v>
      </c>
      <c r="CJ99" s="1"/>
      <c r="CK99" s="6" t="e">
        <f>(CL98+(Crescimento!#REF!-(CL98*0.64))/0.8)/1000</f>
        <v>#REF!</v>
      </c>
      <c r="CL99" s="7" t="e">
        <f>-53.07 + (304.89 * (CK99)) + (90.79 *Crescimento!#REF!) - (3.13 * Crescimento!#REF!*Crescimento!#REF!)</f>
        <v>#REF!</v>
      </c>
      <c r="CN99" s="6" t="e">
        <f>(CO98+(Crescimento!#REF!-(CO98*0.64))/0.8)/1000</f>
        <v>#REF!</v>
      </c>
      <c r="CO99" s="7" t="e">
        <f>-53.07 + (304.89 * (CN99)) + (90.79 *Crescimento!#REF!) - (3.13 * Crescimento!#REF!*Crescimento!#REF!)</f>
        <v>#REF!</v>
      </c>
      <c r="CQ99" s="6" t="e">
        <f>(CR98+(Crescimento!#REF!-(CR98*0.64))/0.8)/1000</f>
        <v>#REF!</v>
      </c>
      <c r="CR99" s="7" t="e">
        <f>-53.07 + (304.89 * (CQ99)) + (90.79 *Crescimento!#REF!) - (3.13 * Crescimento!#REF!*Crescimento!#REF!)</f>
        <v>#REF!</v>
      </c>
    </row>
    <row r="100" spans="2:96" x14ac:dyDescent="0.25">
      <c r="B100" s="6">
        <f>(C99+(Crescimento!$Q$27-(C99*0.64))/0.8)/1000</f>
        <v>1.1187993738011861</v>
      </c>
      <c r="C100" s="8">
        <f>-53.07 + (304.89 * (B100)) + (90.79 *Crescimento!$Q$20) - (3.13 * Crescimento!$Q$20*Crescimento!$Q$20)</f>
        <v>757.4287040082213</v>
      </c>
      <c r="D100" s="1"/>
      <c r="E100" s="6" t="e">
        <f>(F99+(Crescimento!#REF!-(F99*0.64))/0.8)/1000</f>
        <v>#REF!</v>
      </c>
      <c r="F100" s="7" t="e">
        <f>-53.07 + (304.89 * (E100)) + (90.79 *Crescimento!#REF!) - (3.13 * Crescimento!#REF!*Crescimento!#REF!)</f>
        <v>#REF!</v>
      </c>
      <c r="H100" s="6" t="e">
        <f>(I99+(Crescimento!#REF!-(I99*0.64))/0.8)/1000</f>
        <v>#REF!</v>
      </c>
      <c r="I100" s="7" t="e">
        <f>-53.07 + (304.89 * (H100)) + (90.79 *Crescimento!#REF!) - (3.13 * Crescimento!#REF!*Crescimento!#REF!)</f>
        <v>#REF!</v>
      </c>
      <c r="K100" s="6" t="e">
        <f>(L99+(Crescimento!#REF!-(L99*0.64))/0.8)/1000</f>
        <v>#REF!</v>
      </c>
      <c r="L100" s="7" t="e">
        <f>-53.07 + (304.89 * (K100)) + (90.79 *Crescimento!#REF!) - (3.13 * Crescimento!#REF!*Crescimento!#REF!)</f>
        <v>#REF!</v>
      </c>
      <c r="N100" s="6" t="e">
        <f>(O99+(Crescimento!#REF!-(O99*0.64))/0.8)/1000</f>
        <v>#REF!</v>
      </c>
      <c r="O100" s="7" t="e">
        <f>-53.07 + (304.89 * (N100)) + (90.79 *Crescimento!#REF!) - (3.13 * Crescimento!#REF!*Crescimento!#REF!)</f>
        <v>#REF!</v>
      </c>
      <c r="P100" s="1"/>
      <c r="Q100" s="6" t="e">
        <f>(R99+(Crescimento!#REF!-(R99*0.64))/0.8)/1000</f>
        <v>#REF!</v>
      </c>
      <c r="R100" s="7" t="e">
        <f>-53.07 + (304.89 * (Q100)) + (90.79 *Crescimento!#REF!) - (3.13 * Crescimento!#REF!*Crescimento!#REF!)</f>
        <v>#REF!</v>
      </c>
      <c r="T100" s="6" t="e">
        <f>(U99+(Crescimento!#REF!-(U99*0.64))/0.8)/1000</f>
        <v>#REF!</v>
      </c>
      <c r="U100" s="7" t="e">
        <f>-53.07 + (304.89 * (T100)) + (90.79 *Crescimento!#REF!) - (3.13 * Crescimento!#REF!*Crescimento!#REF!)</f>
        <v>#REF!</v>
      </c>
      <c r="W100" s="6" t="e">
        <f>(X99+(Crescimento!#REF!-(X99*0.64))/0.8)/1000</f>
        <v>#REF!</v>
      </c>
      <c r="X100" s="7" t="e">
        <f>-53.07 + (304.89 * (W100)) + (90.79 *Crescimento!#REF!) - (3.13 * Crescimento!#REF!*Crescimento!#REF!)</f>
        <v>#REF!</v>
      </c>
      <c r="Z100" s="6" t="e">
        <f>(AA99+(Crescimento!#REF!-(AA99*0.64))/0.8)/1000</f>
        <v>#REF!</v>
      </c>
      <c r="AA100" s="7" t="e">
        <f>-53.07 + (304.89 * (Z100)) + (90.79 *Crescimento!#REF!) - (3.13 * Crescimento!#REF!*Crescimento!#REF!)</f>
        <v>#REF!</v>
      </c>
      <c r="AB100" s="1"/>
      <c r="AC100" s="6" t="e">
        <f>(AD99+(Crescimento!#REF!-(AD99*0.64))/0.8)/1000</f>
        <v>#REF!</v>
      </c>
      <c r="AD100" s="7" t="e">
        <f>-53.07 + (304.89 * (AC100)) + (90.79 *Crescimento!#REF!) - (3.13 * Crescimento!#REF!*Crescimento!#REF!)</f>
        <v>#REF!</v>
      </c>
      <c r="AF100" s="6" t="e">
        <f>(AG99+(Crescimento!#REF!-(AG99*0.64))/0.8)/1000</f>
        <v>#REF!</v>
      </c>
      <c r="AG100" s="7" t="e">
        <f>-53.07 + (304.89 * (AF100)) + (90.79 *Crescimento!#REF!) - (3.13 * Crescimento!#REF!*Crescimento!#REF!)</f>
        <v>#REF!</v>
      </c>
      <c r="AI100" s="6" t="e">
        <f>(AJ99+(Crescimento!#REF!-(AJ99*0.64))/0.8)/1000</f>
        <v>#REF!</v>
      </c>
      <c r="AJ100" s="7" t="e">
        <f>-53.07 + (304.89 * (AI100)) + (90.79 *Crescimento!#REF!) - (3.13 * Crescimento!#REF!*Crescimento!#REF!)</f>
        <v>#REF!</v>
      </c>
      <c r="AL100" s="6" t="e">
        <f>(AM99+(Crescimento!#REF!-(AM99*0.64))/0.8)/1000</f>
        <v>#REF!</v>
      </c>
      <c r="AM100" s="7" t="e">
        <f>-53.07 + (304.89 * (AL100)) + (90.79 *Crescimento!#REF!) - (3.13 * Crescimento!#REF!*Crescimento!#REF!)</f>
        <v>#REF!</v>
      </c>
      <c r="AN100" s="1"/>
      <c r="AO100" s="6" t="e">
        <f>(AP99+(Crescimento!#REF!-(AP99*0.64))/0.8)/1000</f>
        <v>#REF!</v>
      </c>
      <c r="AP100" s="7" t="e">
        <f>-53.07 + (304.89 * (AO100)) + (90.79 *Crescimento!#REF!) - (3.13 * Crescimento!#REF!*Crescimento!#REF!)</f>
        <v>#REF!</v>
      </c>
      <c r="AR100" s="6" t="e">
        <f>(AS99+(Crescimento!#REF!-(AS99*0.64))/0.8)/1000</f>
        <v>#REF!</v>
      </c>
      <c r="AS100" s="7" t="e">
        <f>-53.07 + (304.89 * (AR100)) + (90.79 *Crescimento!#REF!) - (3.13 * Crescimento!#REF!*Crescimento!#REF!)</f>
        <v>#REF!</v>
      </c>
      <c r="AU100" s="6" t="e">
        <f>(AV99+(Crescimento!#REF!-(AV99*0.64))/0.8)/1000</f>
        <v>#REF!</v>
      </c>
      <c r="AV100" s="7" t="e">
        <f>-53.07 + (304.89 * (AU100)) + (90.79 *Crescimento!#REF!) - (3.13 * Crescimento!#REF!*Crescimento!#REF!)</f>
        <v>#REF!</v>
      </c>
      <c r="AX100" s="6" t="e">
        <f>(AY99+(Crescimento!#REF!-(AY99*0.64))/0.8)/1000</f>
        <v>#REF!</v>
      </c>
      <c r="AY100" s="7" t="e">
        <f>-53.07 + (304.89 * (AX100)) + (90.79 *Crescimento!#REF!) - (3.13 * Crescimento!#REF!*Crescimento!#REF!)</f>
        <v>#REF!</v>
      </c>
      <c r="AZ100" s="1"/>
      <c r="BA100" s="6" t="e">
        <f>(BB99+(Crescimento!#REF!-(BB99*0.64))/0.8)/1000</f>
        <v>#REF!</v>
      </c>
      <c r="BB100" s="7" t="e">
        <f>-53.07 + (304.89 * (BA100)) + (90.79 *Crescimento!#REF!) - (3.13 * Crescimento!#REF!*Crescimento!#REF!)</f>
        <v>#REF!</v>
      </c>
      <c r="BD100" s="6" t="e">
        <f>(BE99+(Crescimento!#REF!-(BE99*0.64))/0.8)/1000</f>
        <v>#REF!</v>
      </c>
      <c r="BE100" s="7" t="e">
        <f>-53.07 + (304.89 * (BD100)) + (90.79 *Crescimento!#REF!) - (3.13 * Crescimento!#REF!*Crescimento!#REF!)</f>
        <v>#REF!</v>
      </c>
      <c r="BG100" s="6" t="e">
        <f>(BH99+(Crescimento!#REF!-(BH99*0.64))/0.8)/1000</f>
        <v>#REF!</v>
      </c>
      <c r="BH100" s="7" t="e">
        <f>-53.07 + (304.89 * (BG100)) + (90.79 *Crescimento!#REF!) - (3.13 * Crescimento!#REF!*Crescimento!#REF!)</f>
        <v>#REF!</v>
      </c>
      <c r="BJ100" s="6" t="e">
        <f>(BK99+(Crescimento!#REF!-(BK99*0.64))/0.8)/1000</f>
        <v>#REF!</v>
      </c>
      <c r="BK100" s="7" t="e">
        <f>-53.07 + (304.89 * (BJ100)) + (90.79 *Crescimento!#REF!) - (3.13 * Crescimento!#REF!*Crescimento!#REF!)</f>
        <v>#REF!</v>
      </c>
      <c r="BL100" s="1"/>
      <c r="BM100" s="6" t="e">
        <f>(BN99+(Crescimento!#REF!-(BN99*0.64))/0.8)/1000</f>
        <v>#REF!</v>
      </c>
      <c r="BN100" s="7" t="e">
        <f>-53.07 + (304.89 * (BM100)) + (90.79 *Crescimento!#REF!) - (3.13 * Crescimento!#REF!*Crescimento!#REF!)</f>
        <v>#REF!</v>
      </c>
      <c r="BP100" s="6" t="e">
        <f>(BQ99+(Crescimento!#REF!-(BQ99*0.64))/0.8)/1000</f>
        <v>#REF!</v>
      </c>
      <c r="BQ100" s="7" t="e">
        <f>-53.07 + (304.89 * (BP100)) + (90.79 *Crescimento!#REF!) - (3.13 * Crescimento!#REF!*Crescimento!#REF!)</f>
        <v>#REF!</v>
      </c>
      <c r="BS100" s="6" t="e">
        <f>(BT99+(Crescimento!#REF!-(BT99*0.64))/0.8)/1000</f>
        <v>#REF!</v>
      </c>
      <c r="BT100" s="7" t="e">
        <f>-53.07 + (304.89 * (BS100)) + (90.79 *Crescimento!#REF!) - (3.13 * Crescimento!#REF!*Crescimento!#REF!)</f>
        <v>#REF!</v>
      </c>
      <c r="BV100" s="6" t="e">
        <f>(BW99+(Crescimento!#REF!-(BW99*0.64))/0.8)/1000</f>
        <v>#REF!</v>
      </c>
      <c r="BW100" s="7" t="e">
        <f>-53.07 + (304.89 * (BV100)) + (90.79 *Crescimento!#REF!) - (3.13 * Crescimento!#REF!*Crescimento!#REF!)</f>
        <v>#REF!</v>
      </c>
      <c r="BX100" s="1"/>
      <c r="BY100" s="6" t="e">
        <f>(BZ99+(Crescimento!#REF!-(BZ99*0.64))/0.8)/1000</f>
        <v>#REF!</v>
      </c>
      <c r="BZ100" s="7" t="e">
        <f>-53.07 + (304.89 * (BY100)) + (90.79 *Crescimento!#REF!) - (3.13 * Crescimento!#REF!*Crescimento!#REF!)</f>
        <v>#REF!</v>
      </c>
      <c r="CB100" s="6" t="e">
        <f>(CC99+(Crescimento!#REF!-(CC99*0.64))/0.8)/1000</f>
        <v>#REF!</v>
      </c>
      <c r="CC100" s="7" t="e">
        <f>-53.07 + (304.89 * (CB100)) + (90.79 *Crescimento!#REF!) - (3.13 * Crescimento!#REF!*Crescimento!#REF!)</f>
        <v>#REF!</v>
      </c>
      <c r="CE100" s="6" t="e">
        <f>(CF99+(Crescimento!#REF!-(CF99*0.64))/0.8)/1000</f>
        <v>#REF!</v>
      </c>
      <c r="CF100" s="7" t="e">
        <f>-53.07 + (304.89 * (CE100)) + (90.79 *Crescimento!#REF!) - (3.13 * Crescimento!#REF!*Crescimento!#REF!)</f>
        <v>#REF!</v>
      </c>
      <c r="CH100" s="6" t="e">
        <f>(CI99+(Crescimento!#REF!-(CI99*0.64))/0.8)/1000</f>
        <v>#REF!</v>
      </c>
      <c r="CI100" s="7" t="e">
        <f>-53.07 + (304.89 * (CH100)) + (90.79 *Crescimento!#REF!) - (3.13 * Crescimento!#REF!*Crescimento!#REF!)</f>
        <v>#REF!</v>
      </c>
      <c r="CJ100" s="1"/>
      <c r="CK100" s="6" t="e">
        <f>(CL99+(Crescimento!#REF!-(CL99*0.64))/0.8)/1000</f>
        <v>#REF!</v>
      </c>
      <c r="CL100" s="7" t="e">
        <f>-53.07 + (304.89 * (CK100)) + (90.79 *Crescimento!#REF!) - (3.13 * Crescimento!#REF!*Crescimento!#REF!)</f>
        <v>#REF!</v>
      </c>
      <c r="CN100" s="6" t="e">
        <f>(CO99+(Crescimento!#REF!-(CO99*0.64))/0.8)/1000</f>
        <v>#REF!</v>
      </c>
      <c r="CO100" s="7" t="e">
        <f>-53.07 + (304.89 * (CN100)) + (90.79 *Crescimento!#REF!) - (3.13 * Crescimento!#REF!*Crescimento!#REF!)</f>
        <v>#REF!</v>
      </c>
      <c r="CQ100" s="6" t="e">
        <f>(CR99+(Crescimento!#REF!-(CR99*0.64))/0.8)/1000</f>
        <v>#REF!</v>
      </c>
      <c r="CR100" s="7" t="e">
        <f>-53.07 + (304.89 * (CQ100)) + (90.79 *Crescimento!#REF!) - (3.13 * Crescimento!#REF!*Crescimento!#REF!)</f>
        <v>#REF!</v>
      </c>
    </row>
    <row r="101" spans="2:96" x14ac:dyDescent="0.25">
      <c r="B101" s="6">
        <f>(C100+(Crescimento!$Q$27-(C100*0.64))/0.8)/1000</f>
        <v>1.1187993738011861</v>
      </c>
      <c r="C101" s="8">
        <f>-53.07 + (304.89 * (B101)) + (90.79 *Crescimento!$Q$20) - (3.13 * Crescimento!$Q$20*Crescimento!$Q$20)</f>
        <v>757.4287040082213</v>
      </c>
      <c r="D101" s="1"/>
      <c r="E101" s="6" t="e">
        <f>(F100+(Crescimento!#REF!-(F100*0.64))/0.8)/1000</f>
        <v>#REF!</v>
      </c>
      <c r="F101" s="7" t="e">
        <f>-53.07 + (304.89 * (E101)) + (90.79 *Crescimento!#REF!) - (3.13 * Crescimento!#REF!*Crescimento!#REF!)</f>
        <v>#REF!</v>
      </c>
      <c r="H101" s="6" t="e">
        <f>(I100+(Crescimento!#REF!-(I100*0.64))/0.8)/1000</f>
        <v>#REF!</v>
      </c>
      <c r="I101" s="7" t="e">
        <f>-53.07 + (304.89 * (H101)) + (90.79 *Crescimento!#REF!) - (3.13 * Crescimento!#REF!*Crescimento!#REF!)</f>
        <v>#REF!</v>
      </c>
      <c r="K101" s="6" t="e">
        <f>(L100+(Crescimento!#REF!-(L100*0.64))/0.8)/1000</f>
        <v>#REF!</v>
      </c>
      <c r="L101" s="7" t="e">
        <f>-53.07 + (304.89 * (K101)) + (90.79 *Crescimento!#REF!) - (3.13 * Crescimento!#REF!*Crescimento!#REF!)</f>
        <v>#REF!</v>
      </c>
      <c r="N101" s="6" t="e">
        <f>(O100+(Crescimento!#REF!-(O100*0.64))/0.8)/1000</f>
        <v>#REF!</v>
      </c>
      <c r="O101" s="7" t="e">
        <f>-53.07 + (304.89 * (N101)) + (90.79 *Crescimento!#REF!) - (3.13 * Crescimento!#REF!*Crescimento!#REF!)</f>
        <v>#REF!</v>
      </c>
      <c r="P101" s="1"/>
      <c r="Q101" s="6" t="e">
        <f>(R100+(Crescimento!#REF!-(R100*0.64))/0.8)/1000</f>
        <v>#REF!</v>
      </c>
      <c r="R101" s="7" t="e">
        <f>-53.07 + (304.89 * (Q101)) + (90.79 *Crescimento!#REF!) - (3.13 * Crescimento!#REF!*Crescimento!#REF!)</f>
        <v>#REF!</v>
      </c>
      <c r="T101" s="6" t="e">
        <f>(U100+(Crescimento!#REF!-(U100*0.64))/0.8)/1000</f>
        <v>#REF!</v>
      </c>
      <c r="U101" s="7" t="e">
        <f>-53.07 + (304.89 * (T101)) + (90.79 *Crescimento!#REF!) - (3.13 * Crescimento!#REF!*Crescimento!#REF!)</f>
        <v>#REF!</v>
      </c>
      <c r="W101" s="6" t="e">
        <f>(X100+(Crescimento!#REF!-(X100*0.64))/0.8)/1000</f>
        <v>#REF!</v>
      </c>
      <c r="X101" s="7" t="e">
        <f>-53.07 + (304.89 * (W101)) + (90.79 *Crescimento!#REF!) - (3.13 * Crescimento!#REF!*Crescimento!#REF!)</f>
        <v>#REF!</v>
      </c>
      <c r="Z101" s="6" t="e">
        <f>(AA100+(Crescimento!#REF!-(AA100*0.64))/0.8)/1000</f>
        <v>#REF!</v>
      </c>
      <c r="AA101" s="7" t="e">
        <f>-53.07 + (304.89 * (Z101)) + (90.79 *Crescimento!#REF!) - (3.13 * Crescimento!#REF!*Crescimento!#REF!)</f>
        <v>#REF!</v>
      </c>
      <c r="AB101" s="1"/>
      <c r="AC101" s="6" t="e">
        <f>(AD100+(Crescimento!#REF!-(AD100*0.64))/0.8)/1000</f>
        <v>#REF!</v>
      </c>
      <c r="AD101" s="7" t="e">
        <f>-53.07 + (304.89 * (AC101)) + (90.79 *Crescimento!#REF!) - (3.13 * Crescimento!#REF!*Crescimento!#REF!)</f>
        <v>#REF!</v>
      </c>
      <c r="AF101" s="6" t="e">
        <f>(AG100+(Crescimento!#REF!-(AG100*0.64))/0.8)/1000</f>
        <v>#REF!</v>
      </c>
      <c r="AG101" s="7" t="e">
        <f>-53.07 + (304.89 * (AF101)) + (90.79 *Crescimento!#REF!) - (3.13 * Crescimento!#REF!*Crescimento!#REF!)</f>
        <v>#REF!</v>
      </c>
      <c r="AI101" s="6" t="e">
        <f>(AJ100+(Crescimento!#REF!-(AJ100*0.64))/0.8)/1000</f>
        <v>#REF!</v>
      </c>
      <c r="AJ101" s="7" t="e">
        <f>-53.07 + (304.89 * (AI101)) + (90.79 *Crescimento!#REF!) - (3.13 * Crescimento!#REF!*Crescimento!#REF!)</f>
        <v>#REF!</v>
      </c>
      <c r="AL101" s="6" t="e">
        <f>(AM100+(Crescimento!#REF!-(AM100*0.64))/0.8)/1000</f>
        <v>#REF!</v>
      </c>
      <c r="AM101" s="7" t="e">
        <f>-53.07 + (304.89 * (AL101)) + (90.79 *Crescimento!#REF!) - (3.13 * Crescimento!#REF!*Crescimento!#REF!)</f>
        <v>#REF!</v>
      </c>
      <c r="AN101" s="1"/>
      <c r="AO101" s="6" t="e">
        <f>(AP100+(Crescimento!#REF!-(AP100*0.64))/0.8)/1000</f>
        <v>#REF!</v>
      </c>
      <c r="AP101" s="7" t="e">
        <f>-53.07 + (304.89 * (AO101)) + (90.79 *Crescimento!#REF!) - (3.13 * Crescimento!#REF!*Crescimento!#REF!)</f>
        <v>#REF!</v>
      </c>
      <c r="AR101" s="6" t="e">
        <f>(AS100+(Crescimento!#REF!-(AS100*0.64))/0.8)/1000</f>
        <v>#REF!</v>
      </c>
      <c r="AS101" s="7" t="e">
        <f>-53.07 + (304.89 * (AR101)) + (90.79 *Crescimento!#REF!) - (3.13 * Crescimento!#REF!*Crescimento!#REF!)</f>
        <v>#REF!</v>
      </c>
      <c r="AU101" s="6" t="e">
        <f>(AV100+(Crescimento!#REF!-(AV100*0.64))/0.8)/1000</f>
        <v>#REF!</v>
      </c>
      <c r="AV101" s="7" t="e">
        <f>-53.07 + (304.89 * (AU101)) + (90.79 *Crescimento!#REF!) - (3.13 * Crescimento!#REF!*Crescimento!#REF!)</f>
        <v>#REF!</v>
      </c>
      <c r="AX101" s="6" t="e">
        <f>(AY100+(Crescimento!#REF!-(AY100*0.64))/0.8)/1000</f>
        <v>#REF!</v>
      </c>
      <c r="AY101" s="7" t="e">
        <f>-53.07 + (304.89 * (AX101)) + (90.79 *Crescimento!#REF!) - (3.13 * Crescimento!#REF!*Crescimento!#REF!)</f>
        <v>#REF!</v>
      </c>
      <c r="AZ101" s="1"/>
      <c r="BA101" s="6" t="e">
        <f>(BB100+(Crescimento!#REF!-(BB100*0.64))/0.8)/1000</f>
        <v>#REF!</v>
      </c>
      <c r="BB101" s="7" t="e">
        <f>-53.07 + (304.89 * (BA101)) + (90.79 *Crescimento!#REF!) - (3.13 * Crescimento!#REF!*Crescimento!#REF!)</f>
        <v>#REF!</v>
      </c>
      <c r="BD101" s="6" t="e">
        <f>(BE100+(Crescimento!#REF!-(BE100*0.64))/0.8)/1000</f>
        <v>#REF!</v>
      </c>
      <c r="BE101" s="7" t="e">
        <f>-53.07 + (304.89 * (BD101)) + (90.79 *Crescimento!#REF!) - (3.13 * Crescimento!#REF!*Crescimento!#REF!)</f>
        <v>#REF!</v>
      </c>
      <c r="BG101" s="6" t="e">
        <f>(BH100+(Crescimento!#REF!-(BH100*0.64))/0.8)/1000</f>
        <v>#REF!</v>
      </c>
      <c r="BH101" s="7" t="e">
        <f>-53.07 + (304.89 * (BG101)) + (90.79 *Crescimento!#REF!) - (3.13 * Crescimento!#REF!*Crescimento!#REF!)</f>
        <v>#REF!</v>
      </c>
      <c r="BJ101" s="6" t="e">
        <f>(BK100+(Crescimento!#REF!-(BK100*0.64))/0.8)/1000</f>
        <v>#REF!</v>
      </c>
      <c r="BK101" s="7" t="e">
        <f>-53.07 + (304.89 * (BJ101)) + (90.79 *Crescimento!#REF!) - (3.13 * Crescimento!#REF!*Crescimento!#REF!)</f>
        <v>#REF!</v>
      </c>
      <c r="BL101" s="1"/>
      <c r="BM101" s="6" t="e">
        <f>(BN100+(Crescimento!#REF!-(BN100*0.64))/0.8)/1000</f>
        <v>#REF!</v>
      </c>
      <c r="BN101" s="7" t="e">
        <f>-53.07 + (304.89 * (BM101)) + (90.79 *Crescimento!#REF!) - (3.13 * Crescimento!#REF!*Crescimento!#REF!)</f>
        <v>#REF!</v>
      </c>
      <c r="BP101" s="6" t="e">
        <f>(BQ100+(Crescimento!#REF!-(BQ100*0.64))/0.8)/1000</f>
        <v>#REF!</v>
      </c>
      <c r="BQ101" s="7" t="e">
        <f>-53.07 + (304.89 * (BP101)) + (90.79 *Crescimento!#REF!) - (3.13 * Crescimento!#REF!*Crescimento!#REF!)</f>
        <v>#REF!</v>
      </c>
      <c r="BS101" s="6" t="e">
        <f>(BT100+(Crescimento!#REF!-(BT100*0.64))/0.8)/1000</f>
        <v>#REF!</v>
      </c>
      <c r="BT101" s="7" t="e">
        <f>-53.07 + (304.89 * (BS101)) + (90.79 *Crescimento!#REF!) - (3.13 * Crescimento!#REF!*Crescimento!#REF!)</f>
        <v>#REF!</v>
      </c>
      <c r="BV101" s="6" t="e">
        <f>(BW100+(Crescimento!#REF!-(BW100*0.64))/0.8)/1000</f>
        <v>#REF!</v>
      </c>
      <c r="BW101" s="7" t="e">
        <f>-53.07 + (304.89 * (BV101)) + (90.79 *Crescimento!#REF!) - (3.13 * Crescimento!#REF!*Crescimento!#REF!)</f>
        <v>#REF!</v>
      </c>
      <c r="BX101" s="1"/>
      <c r="BY101" s="6" t="e">
        <f>(BZ100+(Crescimento!#REF!-(BZ100*0.64))/0.8)/1000</f>
        <v>#REF!</v>
      </c>
      <c r="BZ101" s="7" t="e">
        <f>-53.07 + (304.89 * (BY101)) + (90.79 *Crescimento!#REF!) - (3.13 * Crescimento!#REF!*Crescimento!#REF!)</f>
        <v>#REF!</v>
      </c>
      <c r="CB101" s="6" t="e">
        <f>(CC100+(Crescimento!#REF!-(CC100*0.64))/0.8)/1000</f>
        <v>#REF!</v>
      </c>
      <c r="CC101" s="7" t="e">
        <f>-53.07 + (304.89 * (CB101)) + (90.79 *Crescimento!#REF!) - (3.13 * Crescimento!#REF!*Crescimento!#REF!)</f>
        <v>#REF!</v>
      </c>
      <c r="CE101" s="6" t="e">
        <f>(CF100+(Crescimento!#REF!-(CF100*0.64))/0.8)/1000</f>
        <v>#REF!</v>
      </c>
      <c r="CF101" s="7" t="e">
        <f>-53.07 + (304.89 * (CE101)) + (90.79 *Crescimento!#REF!) - (3.13 * Crescimento!#REF!*Crescimento!#REF!)</f>
        <v>#REF!</v>
      </c>
      <c r="CH101" s="6" t="e">
        <f>(CI100+(Crescimento!#REF!-(CI100*0.64))/0.8)/1000</f>
        <v>#REF!</v>
      </c>
      <c r="CI101" s="7" t="e">
        <f>-53.07 + (304.89 * (CH101)) + (90.79 *Crescimento!#REF!) - (3.13 * Crescimento!#REF!*Crescimento!#REF!)</f>
        <v>#REF!</v>
      </c>
      <c r="CJ101" s="1"/>
      <c r="CK101" s="6" t="e">
        <f>(CL100+(Crescimento!#REF!-(CL100*0.64))/0.8)/1000</f>
        <v>#REF!</v>
      </c>
      <c r="CL101" s="7" t="e">
        <f>-53.07 + (304.89 * (CK101)) + (90.79 *Crescimento!#REF!) - (3.13 * Crescimento!#REF!*Crescimento!#REF!)</f>
        <v>#REF!</v>
      </c>
      <c r="CN101" s="6" t="e">
        <f>(CO100+(Crescimento!#REF!-(CO100*0.64))/0.8)/1000</f>
        <v>#REF!</v>
      </c>
      <c r="CO101" s="7" t="e">
        <f>-53.07 + (304.89 * (CN101)) + (90.79 *Crescimento!#REF!) - (3.13 * Crescimento!#REF!*Crescimento!#REF!)</f>
        <v>#REF!</v>
      </c>
      <c r="CQ101" s="6" t="e">
        <f>(CR100+(Crescimento!#REF!-(CR100*0.64))/0.8)/1000</f>
        <v>#REF!</v>
      </c>
      <c r="CR101" s="7" t="e">
        <f>-53.07 + (304.89 * (CQ101)) + (90.79 *Crescimento!#REF!) - (3.13 * Crescimento!#REF!*Crescimento!#REF!)</f>
        <v>#REF!</v>
      </c>
    </row>
    <row r="102" spans="2:96" x14ac:dyDescent="0.25">
      <c r="B102" s="6">
        <f>(C101+(Crescimento!$Q$27-(C101*0.64))/0.8)/1000</f>
        <v>1.1187993738011861</v>
      </c>
      <c r="C102" s="8">
        <f>-53.07 + (304.89 * (B102)) + (90.79 *Crescimento!$Q$20) - (3.13 * Crescimento!$Q$20*Crescimento!$Q$20)</f>
        <v>757.4287040082213</v>
      </c>
      <c r="D102" s="1"/>
      <c r="E102" s="6" t="e">
        <f>(F101+(Crescimento!#REF!-(F101*0.64))/0.8)/1000</f>
        <v>#REF!</v>
      </c>
      <c r="F102" s="7" t="e">
        <f>-53.07 + (304.89 * (E102)) + (90.79 *Crescimento!#REF!) - (3.13 * Crescimento!#REF!*Crescimento!#REF!)</f>
        <v>#REF!</v>
      </c>
      <c r="H102" s="6" t="e">
        <f>(I101+(Crescimento!#REF!-(I101*0.64))/0.8)/1000</f>
        <v>#REF!</v>
      </c>
      <c r="I102" s="7" t="e">
        <f>-53.07 + (304.89 * (H102)) + (90.79 *Crescimento!#REF!) - (3.13 * Crescimento!#REF!*Crescimento!#REF!)</f>
        <v>#REF!</v>
      </c>
      <c r="K102" s="6" t="e">
        <f>(L101+(Crescimento!#REF!-(L101*0.64))/0.8)/1000</f>
        <v>#REF!</v>
      </c>
      <c r="L102" s="7" t="e">
        <f>-53.07 + (304.89 * (K102)) + (90.79 *Crescimento!#REF!) - (3.13 * Crescimento!#REF!*Crescimento!#REF!)</f>
        <v>#REF!</v>
      </c>
      <c r="N102" s="6" t="e">
        <f>(O101+(Crescimento!#REF!-(O101*0.64))/0.8)/1000</f>
        <v>#REF!</v>
      </c>
      <c r="O102" s="7" t="e">
        <f>-53.07 + (304.89 * (N102)) + (90.79 *Crescimento!#REF!) - (3.13 * Crescimento!#REF!*Crescimento!#REF!)</f>
        <v>#REF!</v>
      </c>
      <c r="P102" s="1"/>
      <c r="Q102" s="6" t="e">
        <f>(R101+(Crescimento!#REF!-(R101*0.64))/0.8)/1000</f>
        <v>#REF!</v>
      </c>
      <c r="R102" s="7" t="e">
        <f>-53.07 + (304.89 * (Q102)) + (90.79 *Crescimento!#REF!) - (3.13 * Crescimento!#REF!*Crescimento!#REF!)</f>
        <v>#REF!</v>
      </c>
      <c r="T102" s="6" t="e">
        <f>(U101+(Crescimento!#REF!-(U101*0.64))/0.8)/1000</f>
        <v>#REF!</v>
      </c>
      <c r="U102" s="7" t="e">
        <f>-53.07 + (304.89 * (T102)) + (90.79 *Crescimento!#REF!) - (3.13 * Crescimento!#REF!*Crescimento!#REF!)</f>
        <v>#REF!</v>
      </c>
      <c r="W102" s="6" t="e">
        <f>(X101+(Crescimento!#REF!-(X101*0.64))/0.8)/1000</f>
        <v>#REF!</v>
      </c>
      <c r="X102" s="7" t="e">
        <f>-53.07 + (304.89 * (W102)) + (90.79 *Crescimento!#REF!) - (3.13 * Crescimento!#REF!*Crescimento!#REF!)</f>
        <v>#REF!</v>
      </c>
      <c r="Z102" s="6" t="e">
        <f>(AA101+(Crescimento!#REF!-(AA101*0.64))/0.8)/1000</f>
        <v>#REF!</v>
      </c>
      <c r="AA102" s="7" t="e">
        <f>-53.07 + (304.89 * (Z102)) + (90.79 *Crescimento!#REF!) - (3.13 * Crescimento!#REF!*Crescimento!#REF!)</f>
        <v>#REF!</v>
      </c>
      <c r="AB102" s="1"/>
      <c r="AC102" s="6" t="e">
        <f>(AD101+(Crescimento!#REF!-(AD101*0.64))/0.8)/1000</f>
        <v>#REF!</v>
      </c>
      <c r="AD102" s="7" t="e">
        <f>-53.07 + (304.89 * (AC102)) + (90.79 *Crescimento!#REF!) - (3.13 * Crescimento!#REF!*Crescimento!#REF!)</f>
        <v>#REF!</v>
      </c>
      <c r="AF102" s="6" t="e">
        <f>(AG101+(Crescimento!#REF!-(AG101*0.64))/0.8)/1000</f>
        <v>#REF!</v>
      </c>
      <c r="AG102" s="7" t="e">
        <f>-53.07 + (304.89 * (AF102)) + (90.79 *Crescimento!#REF!) - (3.13 * Crescimento!#REF!*Crescimento!#REF!)</f>
        <v>#REF!</v>
      </c>
      <c r="AI102" s="6" t="e">
        <f>(AJ101+(Crescimento!#REF!-(AJ101*0.64))/0.8)/1000</f>
        <v>#REF!</v>
      </c>
      <c r="AJ102" s="7" t="e">
        <f>-53.07 + (304.89 * (AI102)) + (90.79 *Crescimento!#REF!) - (3.13 * Crescimento!#REF!*Crescimento!#REF!)</f>
        <v>#REF!</v>
      </c>
      <c r="AL102" s="6" t="e">
        <f>(AM101+(Crescimento!#REF!-(AM101*0.64))/0.8)/1000</f>
        <v>#REF!</v>
      </c>
      <c r="AM102" s="7" t="e">
        <f>-53.07 + (304.89 * (AL102)) + (90.79 *Crescimento!#REF!) - (3.13 * Crescimento!#REF!*Crescimento!#REF!)</f>
        <v>#REF!</v>
      </c>
      <c r="AN102" s="1"/>
      <c r="AO102" s="6" t="e">
        <f>(AP101+(Crescimento!#REF!-(AP101*0.64))/0.8)/1000</f>
        <v>#REF!</v>
      </c>
      <c r="AP102" s="7" t="e">
        <f>-53.07 + (304.89 * (AO102)) + (90.79 *Crescimento!#REF!) - (3.13 * Crescimento!#REF!*Crescimento!#REF!)</f>
        <v>#REF!</v>
      </c>
      <c r="AR102" s="6" t="e">
        <f>(AS101+(Crescimento!#REF!-(AS101*0.64))/0.8)/1000</f>
        <v>#REF!</v>
      </c>
      <c r="AS102" s="7" t="e">
        <f>-53.07 + (304.89 * (AR102)) + (90.79 *Crescimento!#REF!) - (3.13 * Crescimento!#REF!*Crescimento!#REF!)</f>
        <v>#REF!</v>
      </c>
      <c r="AU102" s="6" t="e">
        <f>(AV101+(Crescimento!#REF!-(AV101*0.64))/0.8)/1000</f>
        <v>#REF!</v>
      </c>
      <c r="AV102" s="7" t="e">
        <f>-53.07 + (304.89 * (AU102)) + (90.79 *Crescimento!#REF!) - (3.13 * Crescimento!#REF!*Crescimento!#REF!)</f>
        <v>#REF!</v>
      </c>
      <c r="AX102" s="6" t="e">
        <f>(AY101+(Crescimento!#REF!-(AY101*0.64))/0.8)/1000</f>
        <v>#REF!</v>
      </c>
      <c r="AY102" s="7" t="e">
        <f>-53.07 + (304.89 * (AX102)) + (90.79 *Crescimento!#REF!) - (3.13 * Crescimento!#REF!*Crescimento!#REF!)</f>
        <v>#REF!</v>
      </c>
      <c r="AZ102" s="1"/>
      <c r="BA102" s="6" t="e">
        <f>(BB101+(Crescimento!#REF!-(BB101*0.64))/0.8)/1000</f>
        <v>#REF!</v>
      </c>
      <c r="BB102" s="7" t="e">
        <f>-53.07 + (304.89 * (BA102)) + (90.79 *Crescimento!#REF!) - (3.13 * Crescimento!#REF!*Crescimento!#REF!)</f>
        <v>#REF!</v>
      </c>
      <c r="BD102" s="6" t="e">
        <f>(BE101+(Crescimento!#REF!-(BE101*0.64))/0.8)/1000</f>
        <v>#REF!</v>
      </c>
      <c r="BE102" s="7" t="e">
        <f>-53.07 + (304.89 * (BD102)) + (90.79 *Crescimento!#REF!) - (3.13 * Crescimento!#REF!*Crescimento!#REF!)</f>
        <v>#REF!</v>
      </c>
      <c r="BG102" s="6" t="e">
        <f>(BH101+(Crescimento!#REF!-(BH101*0.64))/0.8)/1000</f>
        <v>#REF!</v>
      </c>
      <c r="BH102" s="7" t="e">
        <f>-53.07 + (304.89 * (BG102)) + (90.79 *Crescimento!#REF!) - (3.13 * Crescimento!#REF!*Crescimento!#REF!)</f>
        <v>#REF!</v>
      </c>
      <c r="BJ102" s="6" t="e">
        <f>(BK101+(Crescimento!#REF!-(BK101*0.64))/0.8)/1000</f>
        <v>#REF!</v>
      </c>
      <c r="BK102" s="7" t="e">
        <f>-53.07 + (304.89 * (BJ102)) + (90.79 *Crescimento!#REF!) - (3.13 * Crescimento!#REF!*Crescimento!#REF!)</f>
        <v>#REF!</v>
      </c>
      <c r="BL102" s="1"/>
      <c r="BM102" s="6" t="e">
        <f>(BN101+(Crescimento!#REF!-(BN101*0.64))/0.8)/1000</f>
        <v>#REF!</v>
      </c>
      <c r="BN102" s="7" t="e">
        <f>-53.07 + (304.89 * (BM102)) + (90.79 *Crescimento!#REF!) - (3.13 * Crescimento!#REF!*Crescimento!#REF!)</f>
        <v>#REF!</v>
      </c>
      <c r="BP102" s="6" t="e">
        <f>(BQ101+(Crescimento!#REF!-(BQ101*0.64))/0.8)/1000</f>
        <v>#REF!</v>
      </c>
      <c r="BQ102" s="7" t="e">
        <f>-53.07 + (304.89 * (BP102)) + (90.79 *Crescimento!#REF!) - (3.13 * Crescimento!#REF!*Crescimento!#REF!)</f>
        <v>#REF!</v>
      </c>
      <c r="BS102" s="6" t="e">
        <f>(BT101+(Crescimento!#REF!-(BT101*0.64))/0.8)/1000</f>
        <v>#REF!</v>
      </c>
      <c r="BT102" s="7" t="e">
        <f>-53.07 + (304.89 * (BS102)) + (90.79 *Crescimento!#REF!) - (3.13 * Crescimento!#REF!*Crescimento!#REF!)</f>
        <v>#REF!</v>
      </c>
      <c r="BV102" s="6" t="e">
        <f>(BW101+(Crescimento!#REF!-(BW101*0.64))/0.8)/1000</f>
        <v>#REF!</v>
      </c>
      <c r="BW102" s="7" t="e">
        <f>-53.07 + (304.89 * (BV102)) + (90.79 *Crescimento!#REF!) - (3.13 * Crescimento!#REF!*Crescimento!#REF!)</f>
        <v>#REF!</v>
      </c>
      <c r="BX102" s="1"/>
      <c r="BY102" s="6" t="e">
        <f>(BZ101+(Crescimento!#REF!-(BZ101*0.64))/0.8)/1000</f>
        <v>#REF!</v>
      </c>
      <c r="BZ102" s="7" t="e">
        <f>-53.07 + (304.89 * (BY102)) + (90.79 *Crescimento!#REF!) - (3.13 * Crescimento!#REF!*Crescimento!#REF!)</f>
        <v>#REF!</v>
      </c>
      <c r="CB102" s="6" t="e">
        <f>(CC101+(Crescimento!#REF!-(CC101*0.64))/0.8)/1000</f>
        <v>#REF!</v>
      </c>
      <c r="CC102" s="7" t="e">
        <f>-53.07 + (304.89 * (CB102)) + (90.79 *Crescimento!#REF!) - (3.13 * Crescimento!#REF!*Crescimento!#REF!)</f>
        <v>#REF!</v>
      </c>
      <c r="CE102" s="6" t="e">
        <f>(CF101+(Crescimento!#REF!-(CF101*0.64))/0.8)/1000</f>
        <v>#REF!</v>
      </c>
      <c r="CF102" s="7" t="e">
        <f>-53.07 + (304.89 * (CE102)) + (90.79 *Crescimento!#REF!) - (3.13 * Crescimento!#REF!*Crescimento!#REF!)</f>
        <v>#REF!</v>
      </c>
      <c r="CH102" s="6" t="e">
        <f>(CI101+(Crescimento!#REF!-(CI101*0.64))/0.8)/1000</f>
        <v>#REF!</v>
      </c>
      <c r="CI102" s="7" t="e">
        <f>-53.07 + (304.89 * (CH102)) + (90.79 *Crescimento!#REF!) - (3.13 * Crescimento!#REF!*Crescimento!#REF!)</f>
        <v>#REF!</v>
      </c>
      <c r="CJ102" s="1"/>
      <c r="CK102" s="6" t="e">
        <f>(CL101+(Crescimento!#REF!-(CL101*0.64))/0.8)/1000</f>
        <v>#REF!</v>
      </c>
      <c r="CL102" s="7" t="e">
        <f>-53.07 + (304.89 * (CK102)) + (90.79 *Crescimento!#REF!) - (3.13 * Crescimento!#REF!*Crescimento!#REF!)</f>
        <v>#REF!</v>
      </c>
      <c r="CN102" s="6" t="e">
        <f>(CO101+(Crescimento!#REF!-(CO101*0.64))/0.8)/1000</f>
        <v>#REF!</v>
      </c>
      <c r="CO102" s="7" t="e">
        <f>-53.07 + (304.89 * (CN102)) + (90.79 *Crescimento!#REF!) - (3.13 * Crescimento!#REF!*Crescimento!#REF!)</f>
        <v>#REF!</v>
      </c>
      <c r="CQ102" s="6" t="e">
        <f>(CR101+(Crescimento!#REF!-(CR101*0.64))/0.8)/1000</f>
        <v>#REF!</v>
      </c>
      <c r="CR102" s="7" t="e">
        <f>-53.07 + (304.89 * (CQ102)) + (90.79 *Crescimento!#REF!) - (3.13 * Crescimento!#REF!*Crescimento!#REF!)</f>
        <v>#REF!</v>
      </c>
    </row>
    <row r="103" spans="2:96" x14ac:dyDescent="0.25">
      <c r="C103" s="1"/>
      <c r="D103" s="1"/>
      <c r="O103" s="1"/>
      <c r="P103" s="1"/>
      <c r="AA103" s="1"/>
      <c r="AB103" s="1"/>
      <c r="AM103" s="1"/>
      <c r="AN103" s="1"/>
      <c r="AY103" s="1"/>
      <c r="AZ103" s="1"/>
      <c r="BK103" s="1"/>
      <c r="BL103" s="1"/>
      <c r="BW103" s="1"/>
      <c r="BX103" s="1"/>
      <c r="CI103" s="1"/>
      <c r="CJ103" s="1"/>
    </row>
    <row r="104" spans="2:96" x14ac:dyDescent="0.25">
      <c r="C104" s="1"/>
      <c r="D104" s="1"/>
      <c r="O104" s="1"/>
      <c r="P104" s="1"/>
      <c r="AA104" s="1"/>
      <c r="AB104" s="1"/>
      <c r="AM104" s="1"/>
      <c r="AN104" s="1"/>
      <c r="AY104" s="1"/>
      <c r="AZ104" s="1"/>
      <c r="BK104" s="1"/>
      <c r="BL104" s="1"/>
      <c r="BW104" s="1"/>
      <c r="BX104" s="1"/>
      <c r="CI104" s="1"/>
      <c r="CJ104" s="1"/>
    </row>
    <row r="105" spans="2:96" x14ac:dyDescent="0.25">
      <c r="C105" s="1"/>
      <c r="D105" s="1"/>
      <c r="O105" s="1"/>
      <c r="P105" s="1"/>
      <c r="AA105" s="1"/>
      <c r="AB105" s="1"/>
      <c r="AM105" s="1"/>
      <c r="AN105" s="1"/>
      <c r="AY105" s="1"/>
      <c r="AZ105" s="1"/>
      <c r="BK105" s="1"/>
      <c r="BL105" s="1"/>
      <c r="BW105" s="1"/>
      <c r="BX105" s="1"/>
      <c r="CI105" s="1"/>
      <c r="CJ105" s="1"/>
    </row>
  </sheetData>
  <mergeCells count="40">
    <mergeCell ref="CH1:CS1"/>
    <mergeCell ref="CH2:CI2"/>
    <mergeCell ref="CK2:CL2"/>
    <mergeCell ref="CN2:CO2"/>
    <mergeCell ref="CQ2:CR2"/>
    <mergeCell ref="BV1:CG1"/>
    <mergeCell ref="BV2:BW2"/>
    <mergeCell ref="BY2:BZ2"/>
    <mergeCell ref="CB2:CC2"/>
    <mergeCell ref="CE2:CF2"/>
    <mergeCell ref="BJ1:BU1"/>
    <mergeCell ref="BJ2:BK2"/>
    <mergeCell ref="BM2:BN2"/>
    <mergeCell ref="BP2:BQ2"/>
    <mergeCell ref="BS2:BT2"/>
    <mergeCell ref="AX1:BI1"/>
    <mergeCell ref="AX2:AY2"/>
    <mergeCell ref="BA2:BB2"/>
    <mergeCell ref="BD2:BE2"/>
    <mergeCell ref="BG2:BH2"/>
    <mergeCell ref="AL1:AW1"/>
    <mergeCell ref="AL2:AM2"/>
    <mergeCell ref="AO2:AP2"/>
    <mergeCell ref="AR2:AS2"/>
    <mergeCell ref="AU2:AV2"/>
    <mergeCell ref="W2:X2"/>
    <mergeCell ref="Z1:AK1"/>
    <mergeCell ref="Z2:AA2"/>
    <mergeCell ref="AC2:AD2"/>
    <mergeCell ref="AF2:AG2"/>
    <mergeCell ref="AI2:AJ2"/>
    <mergeCell ref="N1:Y1"/>
    <mergeCell ref="N2:O2"/>
    <mergeCell ref="Q2:R2"/>
    <mergeCell ref="T2:U2"/>
    <mergeCell ref="B2:C2"/>
    <mergeCell ref="E2:F2"/>
    <mergeCell ref="H2:I2"/>
    <mergeCell ref="K2:L2"/>
    <mergeCell ref="B1:M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EEEB-FFCE-4863-8114-A63E17C74881}">
  <dimension ref="A1:CL106"/>
  <sheetViews>
    <sheetView workbookViewId="0">
      <selection activeCell="B6" sqref="B6"/>
    </sheetView>
  </sheetViews>
  <sheetFormatPr defaultColWidth="15.140625" defaultRowHeight="15" x14ac:dyDescent="0.25"/>
  <cols>
    <col min="1" max="1" width="16.140625" customWidth="1"/>
    <col min="2" max="3" width="7.85546875" customWidth="1"/>
    <col min="4" max="4" width="1.7109375" customWidth="1"/>
    <col min="5" max="6" width="7.85546875" customWidth="1"/>
    <col min="7" max="7" width="1.42578125" customWidth="1"/>
    <col min="8" max="9" width="8.42578125" customWidth="1"/>
    <col min="10" max="10" width="1.7109375" customWidth="1"/>
    <col min="11" max="12" width="8.140625" customWidth="1"/>
    <col min="13" max="13" width="1.140625" customWidth="1"/>
    <col min="14" max="15" width="6.28515625" customWidth="1"/>
    <col min="16" max="16" width="1.42578125" customWidth="1"/>
    <col min="17" max="18" width="6.140625" customWidth="1"/>
    <col min="19" max="19" width="1.140625" customWidth="1"/>
    <col min="20" max="21" width="7.42578125" customWidth="1"/>
    <col min="22" max="22" width="2.28515625" customWidth="1"/>
    <col min="23" max="23" width="6.85546875" customWidth="1"/>
    <col min="24" max="24" width="6.42578125" customWidth="1"/>
    <col min="25" max="25" width="1.28515625" customWidth="1"/>
    <col min="26" max="27" width="7.7109375" customWidth="1"/>
    <col min="28" max="28" width="1.42578125" customWidth="1"/>
    <col min="29" max="29" width="7.85546875" customWidth="1"/>
    <col min="30" max="30" width="9.28515625" customWidth="1"/>
    <col min="31" max="31" width="7.140625" customWidth="1"/>
    <col min="32" max="33" width="8.28515625" customWidth="1"/>
    <col min="34" max="34" width="1.42578125" customWidth="1"/>
    <col min="35" max="36" width="9.7109375" customWidth="1"/>
    <col min="37" max="37" width="1.42578125" customWidth="1"/>
    <col min="38" max="39" width="9" customWidth="1"/>
    <col min="40" max="40" width="1.28515625" customWidth="1"/>
    <col min="41" max="42" width="7.42578125" customWidth="1"/>
    <col min="43" max="43" width="1" customWidth="1"/>
    <col min="44" max="45" width="7.28515625" customWidth="1"/>
    <col min="46" max="46" width="1.28515625" customWidth="1"/>
    <col min="47" max="48" width="8.42578125" customWidth="1"/>
    <col min="49" max="49" width="1.28515625" customWidth="1"/>
    <col min="50" max="51" width="8" customWidth="1"/>
    <col min="52" max="52" width="1.42578125" customWidth="1"/>
    <col min="53" max="54" width="7.28515625" customWidth="1"/>
    <col min="55" max="55" width="1.28515625" customWidth="1"/>
    <col min="56" max="57" width="8.42578125" customWidth="1"/>
    <col min="58" max="58" width="1.140625" customWidth="1"/>
    <col min="59" max="60" width="9.85546875" customWidth="1"/>
    <col min="61" max="61" width="2.85546875" customWidth="1"/>
    <col min="62" max="63" width="9.42578125" customWidth="1"/>
    <col min="64" max="64" width="2.28515625" customWidth="1"/>
    <col min="65" max="66" width="9.140625" customWidth="1"/>
    <col min="67" max="67" width="1.28515625" customWidth="1"/>
    <col min="68" max="69" width="7.7109375" customWidth="1"/>
    <col min="70" max="70" width="1.85546875" customWidth="1"/>
    <col min="71" max="72" width="8.28515625" customWidth="1"/>
    <col min="73" max="73" width="2" customWidth="1"/>
    <col min="74" max="75" width="9.42578125" customWidth="1"/>
    <col min="76" max="76" width="1.42578125" customWidth="1"/>
    <col min="77" max="78" width="8.42578125" customWidth="1"/>
    <col min="79" max="79" width="1.85546875" customWidth="1"/>
    <col min="80" max="81" width="8.7109375" customWidth="1"/>
    <col min="82" max="82" width="1.7109375" customWidth="1"/>
    <col min="83" max="84" width="9.140625" customWidth="1"/>
    <col min="85" max="85" width="1.42578125" customWidth="1"/>
    <col min="86" max="87" width="8.42578125" customWidth="1"/>
    <col min="88" max="88" width="1.42578125" customWidth="1"/>
    <col min="89" max="90" width="9.28515625" customWidth="1"/>
  </cols>
  <sheetData>
    <row r="1" spans="1:90" x14ac:dyDescent="0.25">
      <c r="A1" s="2" t="s">
        <v>72</v>
      </c>
      <c r="B1" s="425">
        <v>400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6"/>
      <c r="AE1" s="14"/>
      <c r="AF1" s="425">
        <v>450</v>
      </c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425"/>
      <c r="AS1" s="425"/>
      <c r="AT1" s="425"/>
      <c r="AU1" s="425"/>
      <c r="AV1" s="425"/>
      <c r="AW1" s="425"/>
      <c r="AX1" s="425"/>
      <c r="AY1" s="425"/>
      <c r="AZ1" s="425"/>
      <c r="BA1" s="425"/>
      <c r="BB1" s="425"/>
      <c r="BC1" s="425"/>
      <c r="BD1" s="425"/>
      <c r="BE1" s="425"/>
      <c r="BF1" s="425"/>
      <c r="BG1" s="425"/>
      <c r="BH1" s="426"/>
      <c r="BJ1" s="425">
        <v>450</v>
      </c>
      <c r="BK1" s="425"/>
      <c r="BL1" s="425"/>
      <c r="BM1" s="425"/>
      <c r="BN1" s="425"/>
      <c r="BO1" s="425"/>
      <c r="BP1" s="425"/>
      <c r="BQ1" s="425"/>
      <c r="BR1" s="425"/>
      <c r="BS1" s="425"/>
      <c r="BT1" s="425"/>
      <c r="BU1" s="425"/>
      <c r="BV1" s="425"/>
      <c r="BW1" s="425"/>
      <c r="BX1" s="425"/>
      <c r="BY1" s="425"/>
      <c r="BZ1" s="425"/>
      <c r="CA1" s="425"/>
      <c r="CB1" s="425"/>
      <c r="CC1" s="425"/>
      <c r="CD1" s="425"/>
      <c r="CE1" s="425"/>
      <c r="CF1" s="425"/>
      <c r="CG1" s="425"/>
      <c r="CH1" s="425"/>
      <c r="CI1" s="425"/>
      <c r="CJ1" s="425"/>
      <c r="CK1" s="425"/>
      <c r="CL1" s="426"/>
    </row>
    <row r="2" spans="1:90" x14ac:dyDescent="0.25">
      <c r="A2" s="12" t="s">
        <v>221</v>
      </c>
      <c r="B2" s="427">
        <v>2</v>
      </c>
      <c r="C2" s="427"/>
      <c r="D2" s="427"/>
      <c r="E2" s="427"/>
      <c r="F2" s="427"/>
      <c r="G2" s="13"/>
      <c r="H2" s="424">
        <v>6</v>
      </c>
      <c r="I2" s="424"/>
      <c r="J2" s="424"/>
      <c r="K2" s="424"/>
      <c r="L2" s="424"/>
      <c r="M2" s="13"/>
      <c r="N2" s="428">
        <v>10</v>
      </c>
      <c r="O2" s="428"/>
      <c r="P2" s="428"/>
      <c r="Q2" s="428"/>
      <c r="R2" s="428"/>
      <c r="S2" s="13"/>
      <c r="T2" s="428">
        <v>14</v>
      </c>
      <c r="U2" s="428"/>
      <c r="V2" s="428"/>
      <c r="W2" s="428"/>
      <c r="X2" s="428"/>
      <c r="Y2" s="13"/>
      <c r="Z2" s="428">
        <v>18</v>
      </c>
      <c r="AA2" s="428"/>
      <c r="AB2" s="428"/>
      <c r="AC2" s="428"/>
      <c r="AD2" s="428"/>
      <c r="AE2" s="15"/>
      <c r="AF2" s="427">
        <v>2</v>
      </c>
      <c r="AG2" s="427"/>
      <c r="AH2" s="427"/>
      <c r="AI2" s="427"/>
      <c r="AJ2" s="427"/>
      <c r="AK2" s="13"/>
      <c r="AL2" s="424">
        <v>6</v>
      </c>
      <c r="AM2" s="424"/>
      <c r="AN2" s="424"/>
      <c r="AO2" s="424"/>
      <c r="AP2" s="424"/>
      <c r="AQ2" s="13"/>
      <c r="AR2" s="428">
        <v>10</v>
      </c>
      <c r="AS2" s="428"/>
      <c r="AT2" s="428"/>
      <c r="AU2" s="428"/>
      <c r="AV2" s="428"/>
      <c r="AW2" s="13"/>
      <c r="AX2" s="428">
        <v>14</v>
      </c>
      <c r="AY2" s="428"/>
      <c r="AZ2" s="428"/>
      <c r="BA2" s="428"/>
      <c r="BB2" s="428"/>
      <c r="BC2" s="13"/>
      <c r="BD2" s="428">
        <v>18</v>
      </c>
      <c r="BE2" s="428"/>
      <c r="BF2" s="428"/>
      <c r="BG2" s="428"/>
      <c r="BH2" s="428"/>
      <c r="BJ2" s="427">
        <v>2</v>
      </c>
      <c r="BK2" s="427"/>
      <c r="BL2" s="427"/>
      <c r="BM2" s="427"/>
      <c r="BN2" s="427"/>
      <c r="BO2" s="13"/>
      <c r="BP2" s="424">
        <v>6</v>
      </c>
      <c r="BQ2" s="424"/>
      <c r="BR2" s="424"/>
      <c r="BS2" s="424"/>
      <c r="BT2" s="424"/>
      <c r="BU2" s="13"/>
      <c r="BV2" s="428">
        <v>10</v>
      </c>
      <c r="BW2" s="428"/>
      <c r="BX2" s="428"/>
      <c r="BY2" s="428"/>
      <c r="BZ2" s="428"/>
      <c r="CA2" s="13"/>
      <c r="CB2" s="428">
        <v>14</v>
      </c>
      <c r="CC2" s="428"/>
      <c r="CD2" s="428"/>
      <c r="CE2" s="428"/>
      <c r="CF2" s="428"/>
      <c r="CG2" s="13"/>
      <c r="CH2" s="428">
        <v>18</v>
      </c>
      <c r="CI2" s="428"/>
      <c r="CJ2" s="428"/>
      <c r="CK2" s="428"/>
      <c r="CL2" s="428"/>
    </row>
    <row r="3" spans="1:90" x14ac:dyDescent="0.25">
      <c r="A3" s="5" t="s">
        <v>69</v>
      </c>
      <c r="B3" s="421">
        <v>0.1</v>
      </c>
      <c r="C3" s="421"/>
      <c r="D3" s="5"/>
      <c r="E3" s="421">
        <v>0.2</v>
      </c>
      <c r="F3" s="421"/>
      <c r="G3" s="3"/>
      <c r="H3" s="424">
        <v>0.1</v>
      </c>
      <c r="I3" s="424"/>
      <c r="J3" s="4"/>
      <c r="K3" s="424">
        <v>0.2</v>
      </c>
      <c r="L3" s="424"/>
      <c r="M3" s="4"/>
      <c r="N3" s="422">
        <v>0.1</v>
      </c>
      <c r="O3" s="422"/>
      <c r="P3" s="4"/>
      <c r="Q3" s="422">
        <v>0.2</v>
      </c>
      <c r="R3" s="422"/>
      <c r="S3" s="4"/>
      <c r="T3" s="422">
        <v>0.1</v>
      </c>
      <c r="U3" s="422"/>
      <c r="V3" s="4"/>
      <c r="W3" s="422">
        <v>0.2</v>
      </c>
      <c r="X3" s="422"/>
      <c r="Y3" s="4"/>
      <c r="Z3" s="422">
        <v>0.1</v>
      </c>
      <c r="AA3" s="422"/>
      <c r="AB3" s="4"/>
      <c r="AC3" s="422">
        <v>0.2</v>
      </c>
      <c r="AD3" s="422"/>
      <c r="AE3" s="11"/>
      <c r="AF3" s="421">
        <v>0.1</v>
      </c>
      <c r="AG3" s="421"/>
      <c r="AH3" s="5"/>
      <c r="AI3" s="421">
        <v>0.2</v>
      </c>
      <c r="AJ3" s="421"/>
      <c r="AK3" s="3"/>
      <c r="AL3" s="424">
        <v>0.1</v>
      </c>
      <c r="AM3" s="424"/>
      <c r="AN3" s="4"/>
      <c r="AO3" s="424">
        <v>0.2</v>
      </c>
      <c r="AP3" s="424"/>
      <c r="AQ3" s="4"/>
      <c r="AR3" s="422">
        <v>0.1</v>
      </c>
      <c r="AS3" s="422"/>
      <c r="AT3" s="4"/>
      <c r="AU3" s="422">
        <v>0.2</v>
      </c>
      <c r="AV3" s="422"/>
      <c r="AW3" s="4"/>
      <c r="AX3" s="422">
        <v>0.1</v>
      </c>
      <c r="AY3" s="422"/>
      <c r="AZ3" s="4"/>
      <c r="BA3" s="422">
        <v>0.2</v>
      </c>
      <c r="BB3" s="422"/>
      <c r="BC3" s="4"/>
      <c r="BD3" s="422">
        <v>0.1</v>
      </c>
      <c r="BE3" s="422"/>
      <c r="BF3" s="4"/>
      <c r="BG3" s="422">
        <v>0.2</v>
      </c>
      <c r="BH3" s="422"/>
      <c r="BJ3" s="421">
        <v>0.1</v>
      </c>
      <c r="BK3" s="421"/>
      <c r="BL3" s="5"/>
      <c r="BM3" s="421">
        <v>0.2</v>
      </c>
      <c r="BN3" s="421"/>
      <c r="BO3" s="3"/>
      <c r="BP3" s="424">
        <v>0.1</v>
      </c>
      <c r="BQ3" s="424"/>
      <c r="BR3" s="4"/>
      <c r="BS3" s="424">
        <v>0.2</v>
      </c>
      <c r="BT3" s="424"/>
      <c r="BU3" s="4"/>
      <c r="BV3" s="422">
        <v>0.1</v>
      </c>
      <c r="BW3" s="422"/>
      <c r="BX3" s="4"/>
      <c r="BY3" s="422">
        <v>0.2</v>
      </c>
      <c r="BZ3" s="422"/>
      <c r="CA3" s="4"/>
      <c r="CB3" s="422">
        <v>0.1</v>
      </c>
      <c r="CC3" s="422"/>
      <c r="CD3" s="4"/>
      <c r="CE3" s="422">
        <v>0.2</v>
      </c>
      <c r="CF3" s="422"/>
      <c r="CG3" s="4"/>
      <c r="CH3" s="422">
        <v>0.1</v>
      </c>
      <c r="CI3" s="422"/>
      <c r="CJ3" s="4"/>
      <c r="CK3" s="422">
        <v>0.2</v>
      </c>
      <c r="CL3" s="422"/>
    </row>
    <row r="4" spans="1:90" x14ac:dyDescent="0.25">
      <c r="B4" s="16">
        <f>((120*'Vacas e Bezerros'!O23)+('Vacas e Bezerros'!O29-(120*'Vacas e Bezerros'!O23)*0.64)/0.8)/1000</f>
        <v>1.1204668900009085</v>
      </c>
      <c r="C4" s="17">
        <f>-53.07 + (304.89 * (B4)) + (90.79 *'Vacas e Bezerros'!$O$23) - (3.13 * 'Vacas e Bezerros'!$O$23*'Vacas e Bezerros'!$O$23)</f>
        <v>715.31067765455782</v>
      </c>
      <c r="E4" s="16" t="e">
        <f>((120*Crescimento!#REF!)+(Crescimento!#REF!-(120*Crescimento!#REF!)*0.64)/0.8)/1000</f>
        <v>#REF!</v>
      </c>
      <c r="F4" s="17" t="e">
        <f>-53.07 + (304.89 * (E4)) + (90.79 *Crescimento!#REF!) - (3.13 * Crescimento!#REF!*Crescimento!#REF!)</f>
        <v>#REF!</v>
      </c>
      <c r="G4" s="1"/>
      <c r="H4" s="16" t="e">
        <f>((120*Crescimento!#REF!)+(Crescimento!#REF!-(120*Crescimento!#REF!)*0.64)/0.8)/1000</f>
        <v>#REF!</v>
      </c>
      <c r="I4" s="17" t="e">
        <f>-53.07 + (304.89 * (H4)) + (90.79 *Crescimento!#REF!) - (3.13 * Crescimento!#REF!*Crescimento!#REF!)</f>
        <v>#REF!</v>
      </c>
      <c r="K4" s="16">
        <v>1</v>
      </c>
      <c r="L4" s="17" t="e">
        <f>-53.07 + (304.89 * (K4)) + (90.79 *Crescimento!#REF!) - (3.13 * Crescimento!#REF!*Crescimento!#REF!)</f>
        <v>#REF!</v>
      </c>
      <c r="N4" s="16">
        <v>1</v>
      </c>
      <c r="O4" s="17" t="e">
        <f>-53.07 + (304.89 * (N4)) + (90.79 *Crescimento!#REF!) - (3.13 * Crescimento!#REF!*Crescimento!#REF!)</f>
        <v>#REF!</v>
      </c>
      <c r="Q4" s="16">
        <v>1</v>
      </c>
      <c r="R4" s="17" t="e">
        <f>-53.07 + (304.89 * (Q4)) + (90.79 *Crescimento!#REF!) - (3.13 * Crescimento!#REF!*Crescimento!#REF!)</f>
        <v>#REF!</v>
      </c>
      <c r="T4" s="16">
        <v>1</v>
      </c>
      <c r="U4" s="17" t="e">
        <f>-53.07 + (304.89 * (T4)) + (90.79 *Crescimento!#REF!) - (3.13 * Crescimento!#REF!*Crescimento!#REF!)</f>
        <v>#REF!</v>
      </c>
      <c r="W4" s="16">
        <v>1</v>
      </c>
      <c r="X4" s="17" t="e">
        <f>-53.07 + (304.89 * (W4)) + (90.79 *Crescimento!#REF!) - (3.13 * Crescimento!#REF!*Crescimento!#REF!)</f>
        <v>#REF!</v>
      </c>
      <c r="Y4" s="6"/>
      <c r="Z4" s="16">
        <v>1</v>
      </c>
      <c r="AA4" s="17" t="e">
        <f>-53.07 + (304.89 * (Z4)) + (90.79 *Crescimento!#REF!) - (3.13 * Crescimento!#REF!*Crescimento!#REF!)</f>
        <v>#REF!</v>
      </c>
      <c r="AB4" s="6"/>
      <c r="AC4" s="16">
        <v>1</v>
      </c>
      <c r="AD4" s="17" t="e">
        <f>-53.07 + (304.89 * (AC4)) + (90.79 *Crescimento!#REF!) - (3.13 * Crescimento!#REF!*Crescimento!#REF!)</f>
        <v>#REF!</v>
      </c>
      <c r="AE4" s="17"/>
      <c r="AF4" s="16">
        <v>1</v>
      </c>
      <c r="AG4" s="17" t="e">
        <f>-53.07 + (304.89 * (AF4)) + (90.79 *Crescimento!#REF!) - (3.13 * Crescimento!#REF!*Crescimento!#REF!)</f>
        <v>#REF!</v>
      </c>
      <c r="AI4" s="16">
        <v>1</v>
      </c>
      <c r="AJ4" s="17" t="e">
        <f>-53.07 + (304.89 * (AI4)) + (90.79 *Crescimento!#REF!) - (3.13 * Crescimento!#REF!*Crescimento!#REF!)</f>
        <v>#REF!</v>
      </c>
      <c r="AL4" s="16">
        <v>1</v>
      </c>
      <c r="AM4" s="17" t="e">
        <f>-53.07 + (304.89 * (AL4)) + (90.79 *Crescimento!#REF!) - (3.13 * Crescimento!#REF!*Crescimento!#REF!)</f>
        <v>#REF!</v>
      </c>
      <c r="AO4" s="16">
        <v>1</v>
      </c>
      <c r="AP4" s="17" t="e">
        <f>-53.07 + (304.89 * (AO4)) + (90.79 *Crescimento!#REF!) - (3.13 * Crescimento!#REF!*Crescimento!#REF!)</f>
        <v>#REF!</v>
      </c>
      <c r="AR4" s="16">
        <v>1</v>
      </c>
      <c r="AS4" s="17" t="e">
        <f>-53.07 + (304.89 * (AR4)) + (90.79 *Crescimento!#REF!) - (3.13 * Crescimento!#REF!*Crescimento!#REF!)</f>
        <v>#REF!</v>
      </c>
      <c r="AU4" s="16">
        <v>1</v>
      </c>
      <c r="AV4" s="17" t="e">
        <f>-53.07 + (304.89 * (AU4)) + (90.79 *Crescimento!#REF!) - (3.13 * Crescimento!#REF!*Crescimento!#REF!)</f>
        <v>#REF!</v>
      </c>
      <c r="AX4" s="16">
        <v>1</v>
      </c>
      <c r="AY4" s="17" t="e">
        <f>-53.07 + (304.89 * (AX4)) + (90.79 *Crescimento!#REF!) - (3.13 * Crescimento!#REF!*Crescimento!#REF!)</f>
        <v>#REF!</v>
      </c>
      <c r="BA4" s="16">
        <v>1</v>
      </c>
      <c r="BB4" s="17" t="e">
        <f>-53.07 + (304.89 * (BA4)) + (90.79 *Crescimento!#REF!) - (3.13 * Crescimento!#REF!*Crescimento!#REF!)</f>
        <v>#REF!</v>
      </c>
      <c r="BD4" s="16">
        <v>1</v>
      </c>
      <c r="BE4" s="17" t="e">
        <f>-53.07 + (304.89 * (BD4)) + (90.79 *Crescimento!#REF!) - (3.13 * Crescimento!#REF!*Crescimento!#REF!)</f>
        <v>#REF!</v>
      </c>
      <c r="BG4" s="16">
        <v>1</v>
      </c>
      <c r="BH4" s="17" t="e">
        <f>-53.07 + (304.89 * (BG4)) + (90.79 *Crescimento!#REF!) - (3.13 * Crescimento!#REF!*Crescimento!#REF!)</f>
        <v>#REF!</v>
      </c>
      <c r="BJ4" s="16">
        <v>1</v>
      </c>
      <c r="BK4" s="17" t="e">
        <f>-53.07 + (304.89 * (BJ4)) + (90.79 *Crescimento!#REF!) - (3.13 * Crescimento!#REF!*Crescimento!#REF!)</f>
        <v>#REF!</v>
      </c>
      <c r="BM4" s="16">
        <v>1</v>
      </c>
      <c r="BN4" s="17" t="e">
        <f>-53.07 + (304.89 * (BM4)) + (90.79 *Crescimento!#REF!) - (3.13 * Crescimento!#REF!*Crescimento!#REF!)</f>
        <v>#REF!</v>
      </c>
      <c r="BP4" s="16">
        <v>1</v>
      </c>
      <c r="BQ4" s="17" t="e">
        <f>-53.07 + (304.89 * (BP4)) + (90.79 *Crescimento!#REF!) - (3.13 * Crescimento!#REF!*Crescimento!#REF!)</f>
        <v>#REF!</v>
      </c>
      <c r="BS4" s="16">
        <v>1</v>
      </c>
      <c r="BT4" s="17" t="e">
        <f>-53.07 + (304.89 * (BS4)) + (90.79 *Crescimento!#REF!) - (3.13 * Crescimento!#REF!*Crescimento!#REF!)</f>
        <v>#REF!</v>
      </c>
      <c r="BV4" s="16">
        <v>1</v>
      </c>
      <c r="BW4" s="17" t="e">
        <f>-53.07 + (304.89 * (BV4)) + (90.79 *Crescimento!#REF!) - (3.13 * Crescimento!#REF!*Crescimento!#REF!)</f>
        <v>#REF!</v>
      </c>
      <c r="BY4" s="16">
        <v>1</v>
      </c>
      <c r="BZ4" s="17" t="e">
        <f>-53.07 + (304.89 * (BY4)) + (90.79 *Crescimento!#REF!) - (3.13 * Crescimento!#REF!*Crescimento!#REF!)</f>
        <v>#REF!</v>
      </c>
      <c r="CB4" s="16">
        <v>1</v>
      </c>
      <c r="CC4" s="17" t="e">
        <f>-53.07 + (304.89 * (CB4)) + (90.79 *Crescimento!#REF!) - (3.13 * Crescimento!#REF!*Crescimento!#REF!)</f>
        <v>#REF!</v>
      </c>
      <c r="CE4" s="16">
        <v>1</v>
      </c>
      <c r="CF4" s="17" t="e">
        <f>-53.07 + (304.89 * (CE4)) + (90.79 *Crescimento!#REF!) - (3.13 * Crescimento!#REF!*Crescimento!#REF!)</f>
        <v>#REF!</v>
      </c>
      <c r="CH4" s="16">
        <v>1</v>
      </c>
      <c r="CI4" s="17" t="e">
        <f>-53.07 + (304.89 * (CH4)) + (90.79 *Crescimento!#REF!) - (3.13 * Crescimento!#REF!*Crescimento!#REF!)</f>
        <v>#REF!</v>
      </c>
      <c r="CK4" s="16">
        <v>1</v>
      </c>
      <c r="CL4" s="17" t="e">
        <f>-53.07 + (304.89 * (CK4)) + (90.79 *Crescimento!#REF!) - (3.13 * Crescimento!#REF!*Crescimento!#REF!)</f>
        <v>#REF!</v>
      </c>
    </row>
    <row r="5" spans="1:90" x14ac:dyDescent="0.25">
      <c r="B5" s="16">
        <f>(C4+('Vacas e Bezerros'!$O$29-(C4*0.64))/0.8)/1000</f>
        <v>1.1219041454400434</v>
      </c>
      <c r="C5" s="17">
        <f>-53.07 + (304.89 * (B5)) + (90.79 *'Vacas e Bezerros'!$O$23) - (3.13 * 'Vacas e Bezerros'!$O$23*'Vacas e Bezerros'!$O$23)</f>
        <v>715.7488824653957</v>
      </c>
      <c r="E5" s="16" t="e">
        <f>(F4+(Crescimento!#REF!-(F4*0.64))/0.8)/1000</f>
        <v>#REF!</v>
      </c>
      <c r="F5" s="17" t="e">
        <f>-53.07 + (304.89 * (E5)) + (90.79 *Crescimento!#REF!) - (3.13 * Crescimento!#REF!*Crescimento!#REF!)</f>
        <v>#REF!</v>
      </c>
      <c r="G5" s="1"/>
      <c r="H5" s="16" t="e">
        <f>(I4+(Crescimento!#REF!-(I4*0.64))/0.8)/1000</f>
        <v>#REF!</v>
      </c>
      <c r="I5" s="17" t="e">
        <f>-53.07 + (304.89 * (H5)) + (90.79 *Crescimento!#REF!) - (3.13 * Crescimento!#REF!*Crescimento!#REF!)</f>
        <v>#REF!</v>
      </c>
      <c r="K5" s="16" t="e">
        <f>(L4+(Crescimento!#REF!-(L4*0.64))/0.8)/1000</f>
        <v>#REF!</v>
      </c>
      <c r="L5" s="17" t="e">
        <f>-53.07 + (304.89 * (K5)) + (90.79 *Crescimento!#REF!) - (3.13 * Crescimento!#REF!*Crescimento!#REF!)</f>
        <v>#REF!</v>
      </c>
      <c r="N5" s="16" t="e">
        <f>(O4+(Crescimento!#REF!-(O4*0.64))/0.8)/1000</f>
        <v>#REF!</v>
      </c>
      <c r="O5" s="17" t="e">
        <f>-53.07 + (304.89 * (N5)) + (90.79 *Crescimento!#REF!) - (3.13 * Crescimento!#REF!*Crescimento!#REF!)</f>
        <v>#REF!</v>
      </c>
      <c r="Q5" s="16" t="e">
        <f>(R4+(Crescimento!#REF!-(R4*0.64))/0.8)/1000</f>
        <v>#REF!</v>
      </c>
      <c r="R5" s="17" t="e">
        <f>-53.07 + (304.89 * (Q5)) + (90.79 *Crescimento!#REF!) - (3.13 * Crescimento!#REF!*Crescimento!#REF!)</f>
        <v>#REF!</v>
      </c>
      <c r="T5" s="16" t="e">
        <f>(U4+(Crescimento!#REF!-(U4*0.64))/0.8)/1000</f>
        <v>#REF!</v>
      </c>
      <c r="U5" s="17" t="e">
        <f>-53.07 + (304.89 * (T5)) + (90.79 *Crescimento!#REF!) - (3.13 * Crescimento!#REF!*Crescimento!#REF!)</f>
        <v>#REF!</v>
      </c>
      <c r="W5" s="16" t="e">
        <f>(X4+(Crescimento!#REF!-(X4*0.64))/0.8)/1000</f>
        <v>#REF!</v>
      </c>
      <c r="X5" s="17" t="e">
        <f>-53.07 + (304.89 * (W5)) + (90.79 *Crescimento!#REF!) - (3.13 * Crescimento!#REF!*Crescimento!#REF!)</f>
        <v>#REF!</v>
      </c>
      <c r="Y5" s="6"/>
      <c r="Z5" s="16" t="e">
        <f>(AA4+(Crescimento!#REF!-(AA4*0.64))/0.8)/1000</f>
        <v>#REF!</v>
      </c>
      <c r="AA5" s="17" t="e">
        <f>-53.07 + (304.89 * (Z5)) + (90.79 *Crescimento!#REF!) - (3.13 * Crescimento!#REF!*Crescimento!#REF!)</f>
        <v>#REF!</v>
      </c>
      <c r="AB5" s="6"/>
      <c r="AC5" s="16" t="e">
        <f>(AD4+(Crescimento!#REF!-(AD4*0.64))/0.8)/1000</f>
        <v>#REF!</v>
      </c>
      <c r="AD5" s="17" t="e">
        <f>-53.07 + (304.89 * (AC5)) + (90.79 *Crescimento!#REF!) - (3.13 * Crescimento!#REF!*Crescimento!#REF!)</f>
        <v>#REF!</v>
      </c>
      <c r="AE5" s="17"/>
      <c r="AF5" s="16" t="e">
        <f>(AG4+(Crescimento!#REF!-(AG4*0.64))/0.8)/1000</f>
        <v>#REF!</v>
      </c>
      <c r="AG5" s="17" t="e">
        <f>-53.07 + (304.89 * (AF5)) + (90.79 *Crescimento!#REF!) - (3.13 * Crescimento!#REF!*Crescimento!#REF!)</f>
        <v>#REF!</v>
      </c>
      <c r="AI5" s="16" t="e">
        <f>(AJ4+(Crescimento!#REF!-(AJ4*0.64))/0.8)/1000</f>
        <v>#REF!</v>
      </c>
      <c r="AJ5" s="17" t="e">
        <f>-53.07 + (304.89 * (AI5)) + (90.79 *Crescimento!#REF!) - (3.13 * Crescimento!#REF!*Crescimento!#REF!)</f>
        <v>#REF!</v>
      </c>
      <c r="AL5" s="16" t="e">
        <f>(AM4+(Crescimento!#REF!-(AM4*0.64))/0.8)/1000</f>
        <v>#REF!</v>
      </c>
      <c r="AM5" s="17" t="e">
        <f>-53.07 + (304.89 * (AL5)) + (90.79 *Crescimento!#REF!) - (3.13 * Crescimento!#REF!*Crescimento!#REF!)</f>
        <v>#REF!</v>
      </c>
      <c r="AO5" s="16" t="e">
        <f>(AP4+(Crescimento!#REF!-(AP4*0.64))/0.8)/1000</f>
        <v>#REF!</v>
      </c>
      <c r="AP5" s="17" t="e">
        <f>-53.07 + (304.89 * (AO5)) + (90.79 *Crescimento!#REF!) - (3.13 * Crescimento!#REF!*Crescimento!#REF!)</f>
        <v>#REF!</v>
      </c>
      <c r="AR5" s="16" t="e">
        <f>(AS4+(Crescimento!#REF!-(AS4*0.64))/0.8)/1000</f>
        <v>#REF!</v>
      </c>
      <c r="AS5" s="17" t="e">
        <f>-53.07 + (304.89 * (AR5)) + (90.79 *Crescimento!#REF!) - (3.13 * Crescimento!#REF!*Crescimento!#REF!)</f>
        <v>#REF!</v>
      </c>
      <c r="AU5" s="16" t="e">
        <f>(AV4+(Crescimento!#REF!-(AV4*0.64))/0.8)/1000</f>
        <v>#REF!</v>
      </c>
      <c r="AV5" s="17" t="e">
        <f>-53.07 + (304.89 * (AU5)) + (90.79 *Crescimento!#REF!) - (3.13 * Crescimento!#REF!*Crescimento!#REF!)</f>
        <v>#REF!</v>
      </c>
      <c r="AX5" s="16" t="e">
        <f>(AY4+(Crescimento!#REF!-(AY4*0.64))/0.8)/1000</f>
        <v>#REF!</v>
      </c>
      <c r="AY5" s="17" t="e">
        <f>-53.07 + (304.89 * (AX5)) + (90.79 *Crescimento!#REF!) - (3.13 * Crescimento!#REF!*Crescimento!#REF!)</f>
        <v>#REF!</v>
      </c>
      <c r="BA5" s="16" t="e">
        <f>(BB4+(Crescimento!#REF!-(BB4*0.64))/0.8)/1000</f>
        <v>#REF!</v>
      </c>
      <c r="BB5" s="17" t="e">
        <f>-53.07 + (304.89 * (BA5)) + (90.79 *Crescimento!#REF!) - (3.13 * Crescimento!#REF!*Crescimento!#REF!)</f>
        <v>#REF!</v>
      </c>
      <c r="BD5" s="16" t="e">
        <f>(BE4+(Crescimento!#REF!-(BE4*0.64))/0.8)/1000</f>
        <v>#REF!</v>
      </c>
      <c r="BE5" s="17" t="e">
        <f>-53.07 + (304.89 * (BD5)) + (90.79 *Crescimento!#REF!) - (3.13 * Crescimento!#REF!*Crescimento!#REF!)</f>
        <v>#REF!</v>
      </c>
      <c r="BG5" s="16" t="e">
        <f>(BH4+(Crescimento!#REF!-(BH4*0.64))/0.8)/1000</f>
        <v>#REF!</v>
      </c>
      <c r="BH5" s="17" t="e">
        <f>-53.07 + (304.89 * (BG5)) + (90.79 *Crescimento!#REF!) - (3.13 * Crescimento!#REF!*Crescimento!#REF!)</f>
        <v>#REF!</v>
      </c>
      <c r="BJ5" s="16" t="e">
        <f>(BK4+(Crescimento!#REF!-(BK4*0.64))/0.8)/1000</f>
        <v>#REF!</v>
      </c>
      <c r="BK5" s="17" t="e">
        <f>-53.07 + (304.89 * (BJ5)) + (90.79 *Crescimento!#REF!) - (3.13 * Crescimento!#REF!*Crescimento!#REF!)</f>
        <v>#REF!</v>
      </c>
      <c r="BM5" s="16" t="e">
        <f>(BN4+(Crescimento!#REF!-(BN4*0.64))/0.8)/1000</f>
        <v>#REF!</v>
      </c>
      <c r="BN5" s="17" t="e">
        <f>-53.07 + (304.89 * (BM5)) + (90.79 *Crescimento!#REF!) - (3.13 * Crescimento!#REF!*Crescimento!#REF!)</f>
        <v>#REF!</v>
      </c>
      <c r="BP5" s="16" t="e">
        <f>(BQ4+(Crescimento!#REF!-(BQ4*0.64))/0.8)/1000</f>
        <v>#REF!</v>
      </c>
      <c r="BQ5" s="17" t="e">
        <f>-53.07 + (304.89 * (BP5)) + (90.79 *Crescimento!#REF!) - (3.13 * Crescimento!#REF!*Crescimento!#REF!)</f>
        <v>#REF!</v>
      </c>
      <c r="BS5" s="16" t="e">
        <f>(BT4+(Crescimento!#REF!-(BT4*0.64))/0.8)/1000</f>
        <v>#REF!</v>
      </c>
      <c r="BT5" s="17" t="e">
        <f>-53.07 + (304.89 * (BS5)) + (90.79 *Crescimento!#REF!) - (3.13 * Crescimento!#REF!*Crescimento!#REF!)</f>
        <v>#REF!</v>
      </c>
      <c r="BV5" s="16" t="e">
        <f>(BW4+(Crescimento!#REF!-(BW4*0.64))/0.8)/1000</f>
        <v>#REF!</v>
      </c>
      <c r="BW5" s="17" t="e">
        <f>-53.07 + (304.89 * (BV5)) + (90.79 *Crescimento!#REF!) - (3.13 * Crescimento!#REF!*Crescimento!#REF!)</f>
        <v>#REF!</v>
      </c>
      <c r="BY5" s="16" t="e">
        <f>(BZ4+(Crescimento!#REF!-(BZ4*0.64))/0.8)/1000</f>
        <v>#REF!</v>
      </c>
      <c r="BZ5" s="17" t="e">
        <f>-53.07 + (304.89 * (BY5)) + (90.79 *Crescimento!#REF!) - (3.13 * Crescimento!#REF!*Crescimento!#REF!)</f>
        <v>#REF!</v>
      </c>
      <c r="CB5" s="16" t="e">
        <f>(CC4+(Crescimento!#REF!-(CC4*0.64))/0.8)/1000</f>
        <v>#REF!</v>
      </c>
      <c r="CC5" s="17" t="e">
        <f>-53.07 + (304.89 * (CB5)) + (90.79 *Crescimento!#REF!) - (3.13 * Crescimento!#REF!*Crescimento!#REF!)</f>
        <v>#REF!</v>
      </c>
      <c r="CE5" s="16" t="e">
        <f>(CF4+(Crescimento!#REF!-(CF4*0.64))/0.8)/1000</f>
        <v>#REF!</v>
      </c>
      <c r="CF5" s="17" t="e">
        <f>-53.07 + (304.89 * (CE5)) + (90.79 *Crescimento!#REF!) - (3.13 * Crescimento!#REF!*Crescimento!#REF!)</f>
        <v>#REF!</v>
      </c>
      <c r="CH5" s="16" t="e">
        <f>(CI4+(Crescimento!#REF!-(CI4*0.64))/0.8)/1000</f>
        <v>#REF!</v>
      </c>
      <c r="CI5" s="17" t="e">
        <f>-53.07 + (304.89 * (CH5)) + (90.79 *Crescimento!#REF!) - (3.13 * Crescimento!#REF!*Crescimento!#REF!)</f>
        <v>#REF!</v>
      </c>
      <c r="CK5" s="16" t="e">
        <f>(CL4+(Crescimento!#REF!-(CL4*0.64))/0.8)/1000</f>
        <v>#REF!</v>
      </c>
      <c r="CL5" s="17" t="e">
        <f>-53.07 + (304.89 * (CK5)) + (90.79 *Crescimento!#REF!) - (3.13 * Crescimento!#REF!*Crescimento!#REF!)</f>
        <v>#REF!</v>
      </c>
    </row>
    <row r="6" spans="1:90" x14ac:dyDescent="0.25">
      <c r="A6" t="s">
        <v>250</v>
      </c>
      <c r="B6" s="16">
        <f>(C5+('Vacas e Bezerros'!$O$29-(C5*0.64))/0.8)/1000</f>
        <v>1.1219917864022109</v>
      </c>
      <c r="C6" s="17">
        <f>-53.07 + (304.89 * (B6)) + (90.79 *'Vacas e Bezerros'!$O$23) - (3.13 * 'Vacas e Bezerros'!$O$23*'Vacas e Bezerros'!$O$23)</f>
        <v>715.77560331835093</v>
      </c>
      <c r="E6" s="16" t="e">
        <f>(F5+(Crescimento!#REF!-(F5*0.64))/0.8)/1000</f>
        <v>#REF!</v>
      </c>
      <c r="F6" s="17" t="e">
        <f>-53.07 + (304.89 * (E6)) + (90.79 *Crescimento!#REF!) - (3.13 * Crescimento!#REF!*Crescimento!#REF!)</f>
        <v>#REF!</v>
      </c>
      <c r="G6" s="1"/>
      <c r="H6" s="16" t="e">
        <f>(I5+(Crescimento!#REF!-(I5*0.64))/0.8)/1000</f>
        <v>#REF!</v>
      </c>
      <c r="I6" s="17" t="e">
        <f>-53.07 + (304.89 * (H6)) + (90.79 *Crescimento!#REF!) - (3.13 * Crescimento!#REF!*Crescimento!#REF!)</f>
        <v>#REF!</v>
      </c>
      <c r="K6" s="16" t="e">
        <f>(L5+(Crescimento!#REF!-(L5*0.64))/0.8)/1000</f>
        <v>#REF!</v>
      </c>
      <c r="L6" s="17" t="e">
        <f>-53.07 + (304.89 * (K6)) + (90.79 *Crescimento!#REF!) - (3.13 * Crescimento!#REF!*Crescimento!#REF!)</f>
        <v>#REF!</v>
      </c>
      <c r="N6" s="16" t="e">
        <f>(O5+(Crescimento!#REF!-(O5*0.64))/0.8)/1000</f>
        <v>#REF!</v>
      </c>
      <c r="O6" s="17" t="e">
        <f>-53.07 + (304.89 * (N6)) + (90.79 *Crescimento!#REF!) - (3.13 * Crescimento!#REF!*Crescimento!#REF!)</f>
        <v>#REF!</v>
      </c>
      <c r="Q6" s="16" t="e">
        <f>(R5+(Crescimento!#REF!-(R5*0.64))/0.8)/1000</f>
        <v>#REF!</v>
      </c>
      <c r="R6" s="17" t="e">
        <f>-53.07 + (304.89 * (Q6)) + (90.79 *Crescimento!#REF!) - (3.13 * Crescimento!#REF!*Crescimento!#REF!)</f>
        <v>#REF!</v>
      </c>
      <c r="T6" s="16" t="e">
        <f>(U5+(Crescimento!#REF!-(U5*0.64))/0.8)/1000</f>
        <v>#REF!</v>
      </c>
      <c r="U6" s="17" t="e">
        <f>-53.07 + (304.89 * (T6)) + (90.79 *Crescimento!#REF!) - (3.13 * Crescimento!#REF!*Crescimento!#REF!)</f>
        <v>#REF!</v>
      </c>
      <c r="W6" s="16" t="e">
        <f>(X5+(Crescimento!#REF!-(X5*0.64))/0.8)/1000</f>
        <v>#REF!</v>
      </c>
      <c r="X6" s="17" t="e">
        <f>-53.07 + (304.89 * (W6)) + (90.79 *Crescimento!#REF!) - (3.13 * Crescimento!#REF!*Crescimento!#REF!)</f>
        <v>#REF!</v>
      </c>
      <c r="Y6" s="6"/>
      <c r="Z6" s="16" t="e">
        <f>(AA5+(Crescimento!#REF!-(AA5*0.64))/0.8)/1000</f>
        <v>#REF!</v>
      </c>
      <c r="AA6" s="17" t="e">
        <f>-53.07 + (304.89 * (Z6)) + (90.79 *Crescimento!#REF!) - (3.13 * Crescimento!#REF!*Crescimento!#REF!)</f>
        <v>#REF!</v>
      </c>
      <c r="AB6" s="6"/>
      <c r="AC6" s="16" t="e">
        <f>(AD5+(Crescimento!#REF!-(AD5*0.64))/0.8)/1000</f>
        <v>#REF!</v>
      </c>
      <c r="AD6" s="17" t="e">
        <f>-53.07 + (304.89 * (AC6)) + (90.79 *Crescimento!#REF!) - (3.13 * Crescimento!#REF!*Crescimento!#REF!)</f>
        <v>#REF!</v>
      </c>
      <c r="AE6" s="17"/>
      <c r="AF6" s="16" t="e">
        <f>(AG5+(Crescimento!#REF!-(AG5*0.64))/0.8)/1000</f>
        <v>#REF!</v>
      </c>
      <c r="AG6" s="17" t="e">
        <f>-53.07 + (304.89 * (AF6)) + (90.79 *Crescimento!#REF!) - (3.13 * Crescimento!#REF!*Crescimento!#REF!)</f>
        <v>#REF!</v>
      </c>
      <c r="AI6" s="16" t="e">
        <f>(AJ5+(Crescimento!#REF!-(AJ5*0.64))/0.8)/1000</f>
        <v>#REF!</v>
      </c>
      <c r="AJ6" s="17" t="e">
        <f>-53.07 + (304.89 * (AI6)) + (90.79 *Crescimento!#REF!) - (3.13 * Crescimento!#REF!*Crescimento!#REF!)</f>
        <v>#REF!</v>
      </c>
      <c r="AL6" s="16" t="e">
        <f>(AM5+(Crescimento!#REF!-(AM5*0.64))/0.8)/1000</f>
        <v>#REF!</v>
      </c>
      <c r="AM6" s="17" t="e">
        <f>-53.07 + (304.89 * (AL6)) + (90.79 *Crescimento!#REF!) - (3.13 * Crescimento!#REF!*Crescimento!#REF!)</f>
        <v>#REF!</v>
      </c>
      <c r="AO6" s="16" t="e">
        <f>(AP5+(Crescimento!#REF!-(AP5*0.64))/0.8)/1000</f>
        <v>#REF!</v>
      </c>
      <c r="AP6" s="17" t="e">
        <f>-53.07 + (304.89 * (AO6)) + (90.79 *Crescimento!#REF!) - (3.13 * Crescimento!#REF!*Crescimento!#REF!)</f>
        <v>#REF!</v>
      </c>
      <c r="AR6" s="16" t="e">
        <f>(AS5+(Crescimento!#REF!-(AS5*0.64))/0.8)/1000</f>
        <v>#REF!</v>
      </c>
      <c r="AS6" s="17" t="e">
        <f>-53.07 + (304.89 * (AR6)) + (90.79 *Crescimento!#REF!) - (3.13 * Crescimento!#REF!*Crescimento!#REF!)</f>
        <v>#REF!</v>
      </c>
      <c r="AU6" s="16" t="e">
        <f>(AV5+(Crescimento!#REF!-(AV5*0.64))/0.8)/1000</f>
        <v>#REF!</v>
      </c>
      <c r="AV6" s="17" t="e">
        <f>-53.07 + (304.89 * (AU6)) + (90.79 *Crescimento!#REF!) - (3.13 * Crescimento!#REF!*Crescimento!#REF!)</f>
        <v>#REF!</v>
      </c>
      <c r="AX6" s="16" t="e">
        <f>(AY5+(Crescimento!#REF!-(AY5*0.64))/0.8)/1000</f>
        <v>#REF!</v>
      </c>
      <c r="AY6" s="17" t="e">
        <f>-53.07 + (304.89 * (AX6)) + (90.79 *Crescimento!#REF!) - (3.13 * Crescimento!#REF!*Crescimento!#REF!)</f>
        <v>#REF!</v>
      </c>
      <c r="BA6" s="16" t="e">
        <f>(BB5+(Crescimento!#REF!-(BB5*0.64))/0.8)/1000</f>
        <v>#REF!</v>
      </c>
      <c r="BB6" s="17" t="e">
        <f>-53.07 + (304.89 * (BA6)) + (90.79 *Crescimento!#REF!) - (3.13 * Crescimento!#REF!*Crescimento!#REF!)</f>
        <v>#REF!</v>
      </c>
      <c r="BD6" s="16" t="e">
        <f>(BE5+(Crescimento!#REF!-(BE5*0.64))/0.8)/1000</f>
        <v>#REF!</v>
      </c>
      <c r="BE6" s="17" t="e">
        <f>-53.07 + (304.89 * (BD6)) + (90.79 *Crescimento!#REF!) - (3.13 * Crescimento!#REF!*Crescimento!#REF!)</f>
        <v>#REF!</v>
      </c>
      <c r="BG6" s="16" t="e">
        <f>(BH5+(Crescimento!#REF!-(BH5*0.64))/0.8)/1000</f>
        <v>#REF!</v>
      </c>
      <c r="BH6" s="17" t="e">
        <f>-53.07 + (304.89 * (BG6)) + (90.79 *Crescimento!#REF!) - (3.13 * Crescimento!#REF!*Crescimento!#REF!)</f>
        <v>#REF!</v>
      </c>
      <c r="BJ6" s="16" t="e">
        <f>(BK5+(Crescimento!#REF!-(BK5*0.64))/0.8)/1000</f>
        <v>#REF!</v>
      </c>
      <c r="BK6" s="17" t="e">
        <f>-53.07 + (304.89 * (BJ6)) + (90.79 *Crescimento!#REF!) - (3.13 * Crescimento!#REF!*Crescimento!#REF!)</f>
        <v>#REF!</v>
      </c>
      <c r="BM6" s="16" t="e">
        <f>(BN5+(Crescimento!#REF!-(BN5*0.64))/0.8)/1000</f>
        <v>#REF!</v>
      </c>
      <c r="BN6" s="17" t="e">
        <f>-53.07 + (304.89 * (BM6)) + (90.79 *Crescimento!#REF!) - (3.13 * Crescimento!#REF!*Crescimento!#REF!)</f>
        <v>#REF!</v>
      </c>
      <c r="BP6" s="16" t="e">
        <f>(BQ5+(Crescimento!#REF!-(BQ5*0.64))/0.8)/1000</f>
        <v>#REF!</v>
      </c>
      <c r="BQ6" s="17" t="e">
        <f>-53.07 + (304.89 * (BP6)) + (90.79 *Crescimento!#REF!) - (3.13 * Crescimento!#REF!*Crescimento!#REF!)</f>
        <v>#REF!</v>
      </c>
      <c r="BS6" s="16" t="e">
        <f>(BT5+(Crescimento!#REF!-(BT5*0.64))/0.8)/1000</f>
        <v>#REF!</v>
      </c>
      <c r="BT6" s="17" t="e">
        <f>-53.07 + (304.89 * (BS6)) + (90.79 *Crescimento!#REF!) - (3.13 * Crescimento!#REF!*Crescimento!#REF!)</f>
        <v>#REF!</v>
      </c>
      <c r="BV6" s="16" t="e">
        <f>(BW5+(Crescimento!#REF!-(BW5*0.64))/0.8)/1000</f>
        <v>#REF!</v>
      </c>
      <c r="BW6" s="17" t="e">
        <f>-53.07 + (304.89 * (BV6)) + (90.79 *Crescimento!#REF!) - (3.13 * Crescimento!#REF!*Crescimento!#REF!)</f>
        <v>#REF!</v>
      </c>
      <c r="BY6" s="16" t="e">
        <f>(BZ5+(Crescimento!#REF!-(BZ5*0.64))/0.8)/1000</f>
        <v>#REF!</v>
      </c>
      <c r="BZ6" s="17" t="e">
        <f>-53.07 + (304.89 * (BY6)) + (90.79 *Crescimento!#REF!) - (3.13 * Crescimento!#REF!*Crescimento!#REF!)</f>
        <v>#REF!</v>
      </c>
      <c r="CB6" s="16" t="e">
        <f>(CC5+(Crescimento!#REF!-(CC5*0.64))/0.8)/1000</f>
        <v>#REF!</v>
      </c>
      <c r="CC6" s="17" t="e">
        <f>-53.07 + (304.89 * (CB6)) + (90.79 *Crescimento!#REF!) - (3.13 * Crescimento!#REF!*Crescimento!#REF!)</f>
        <v>#REF!</v>
      </c>
      <c r="CE6" s="16" t="e">
        <f>(CF5+(Crescimento!#REF!-(CF5*0.64))/0.8)/1000</f>
        <v>#REF!</v>
      </c>
      <c r="CF6" s="17" t="e">
        <f>-53.07 + (304.89 * (CE6)) + (90.79 *Crescimento!#REF!) - (3.13 * Crescimento!#REF!*Crescimento!#REF!)</f>
        <v>#REF!</v>
      </c>
      <c r="CH6" s="16" t="e">
        <f>(CI5+(Crescimento!#REF!-(CI5*0.64))/0.8)/1000</f>
        <v>#REF!</v>
      </c>
      <c r="CI6" s="17" t="e">
        <f>-53.07 + (304.89 * (CH6)) + (90.79 *Crescimento!#REF!) - (3.13 * Crescimento!#REF!*Crescimento!#REF!)</f>
        <v>#REF!</v>
      </c>
      <c r="CK6" s="16" t="e">
        <f>(CL5+(Crescimento!#REF!-(CL5*0.64))/0.8)/1000</f>
        <v>#REF!</v>
      </c>
      <c r="CL6" s="17" t="e">
        <f>-53.07 + (304.89 * (CK6)) + (90.79 *Crescimento!#REF!) - (3.13 * Crescimento!#REF!*Crescimento!#REF!)</f>
        <v>#REF!</v>
      </c>
    </row>
    <row r="7" spans="1:90" ht="15" customHeight="1" x14ac:dyDescent="0.25">
      <c r="A7" t="s">
        <v>22</v>
      </c>
      <c r="B7" s="16">
        <f>(C6+('Vacas e Bezerros'!$O$29-(C6*0.64))/0.8)/1000</f>
        <v>1.1219971305728018</v>
      </c>
      <c r="C7" s="17">
        <f>-53.07 + (304.89 * (B7)) + (90.79 *'Vacas e Bezerros'!$O$23) - (3.13 * 'Vacas e Bezerros'!$O$23*'Vacas e Bezerros'!$O$23)</f>
        <v>715.77723270252238</v>
      </c>
      <c r="E7" s="16" t="e">
        <f>(F6+(Crescimento!#REF!-(F6*0.64))/0.8)/1000</f>
        <v>#REF!</v>
      </c>
      <c r="F7" s="17" t="e">
        <f>-53.07 + (304.89 * (E7)) + (90.79 *Crescimento!#REF!) - (3.13 * Crescimento!#REF!*Crescimento!#REF!)</f>
        <v>#REF!</v>
      </c>
      <c r="G7" s="1"/>
      <c r="H7" s="16" t="e">
        <f>(I6+(Crescimento!#REF!-(I6*0.64))/0.8)/1000</f>
        <v>#REF!</v>
      </c>
      <c r="I7" s="17" t="e">
        <f>-53.07 + (304.89 * (H7)) + (90.79 *Crescimento!#REF!) - (3.13 * Crescimento!#REF!*Crescimento!#REF!)</f>
        <v>#REF!</v>
      </c>
      <c r="K7" s="16" t="e">
        <f>(L6+(Crescimento!#REF!-(L6*0.64))/0.8)/1000</f>
        <v>#REF!</v>
      </c>
      <c r="L7" s="17" t="e">
        <f>-53.07 + (304.89 * (K7)) + (90.79 *Crescimento!#REF!) - (3.13 * Crescimento!#REF!*Crescimento!#REF!)</f>
        <v>#REF!</v>
      </c>
      <c r="N7" s="16" t="e">
        <f>(O6+(Crescimento!#REF!-(O6*0.64))/0.8)/1000</f>
        <v>#REF!</v>
      </c>
      <c r="O7" s="17" t="e">
        <f>-53.07 + (304.89 * (N7)) + (90.79 *Crescimento!#REF!) - (3.13 * Crescimento!#REF!*Crescimento!#REF!)</f>
        <v>#REF!</v>
      </c>
      <c r="Q7" s="16" t="e">
        <f>(R6+(Crescimento!#REF!-(R6*0.64))/0.8)/1000</f>
        <v>#REF!</v>
      </c>
      <c r="R7" s="17" t="e">
        <f>-53.07 + (304.89 * (Q7)) + (90.79 *Crescimento!#REF!) - (3.13 * Crescimento!#REF!*Crescimento!#REF!)</f>
        <v>#REF!</v>
      </c>
      <c r="T7" s="16" t="e">
        <f>(U6+(Crescimento!#REF!-(U6*0.64))/0.8)/1000</f>
        <v>#REF!</v>
      </c>
      <c r="U7" s="17" t="e">
        <f>-53.07 + (304.89 * (T7)) + (90.79 *Crescimento!#REF!) - (3.13 * Crescimento!#REF!*Crescimento!#REF!)</f>
        <v>#REF!</v>
      </c>
      <c r="W7" s="16" t="e">
        <f>(X6+(Crescimento!#REF!-(X6*0.64))/0.8)/1000</f>
        <v>#REF!</v>
      </c>
      <c r="X7" s="17" t="e">
        <f>-53.07 + (304.89 * (W7)) + (90.79 *Crescimento!#REF!) - (3.13 * Crescimento!#REF!*Crescimento!#REF!)</f>
        <v>#REF!</v>
      </c>
      <c r="Y7" s="6"/>
      <c r="Z7" s="16" t="e">
        <f>(AA6+(Crescimento!#REF!-(AA6*0.64))/0.8)/1000</f>
        <v>#REF!</v>
      </c>
      <c r="AA7" s="17" t="e">
        <f>-53.07 + (304.89 * (Z7)) + (90.79 *Crescimento!#REF!) - (3.13 * Crescimento!#REF!*Crescimento!#REF!)</f>
        <v>#REF!</v>
      </c>
      <c r="AB7" s="6"/>
      <c r="AC7" s="16" t="e">
        <f>(AD6+(Crescimento!#REF!-(AD6*0.64))/0.8)/1000</f>
        <v>#REF!</v>
      </c>
      <c r="AD7" s="17" t="e">
        <f>-53.07 + (304.89 * (AC7)) + (90.79 *Crescimento!#REF!) - (3.13 * Crescimento!#REF!*Crescimento!#REF!)</f>
        <v>#REF!</v>
      </c>
      <c r="AE7" s="17"/>
      <c r="AF7" s="16" t="e">
        <f>(AG6+(Crescimento!#REF!-(AG6*0.64))/0.8)/1000</f>
        <v>#REF!</v>
      </c>
      <c r="AG7" s="17" t="e">
        <f>-53.07 + (304.89 * (AF7)) + (90.79 *Crescimento!#REF!) - (3.13 * Crescimento!#REF!*Crescimento!#REF!)</f>
        <v>#REF!</v>
      </c>
      <c r="AI7" s="16" t="e">
        <f>(AJ6+(Crescimento!#REF!-(AJ6*0.64))/0.8)/1000</f>
        <v>#REF!</v>
      </c>
      <c r="AJ7" s="17" t="e">
        <f>-53.07 + (304.89 * (AI7)) + (90.79 *Crescimento!#REF!) - (3.13 * Crescimento!#REF!*Crescimento!#REF!)</f>
        <v>#REF!</v>
      </c>
      <c r="AL7" s="16" t="e">
        <f>(AM6+(Crescimento!#REF!-(AM6*0.64))/0.8)/1000</f>
        <v>#REF!</v>
      </c>
      <c r="AM7" s="17" t="e">
        <f>-53.07 + (304.89 * (AL7)) + (90.79 *Crescimento!#REF!) - (3.13 * Crescimento!#REF!*Crescimento!#REF!)</f>
        <v>#REF!</v>
      </c>
      <c r="AO7" s="16" t="e">
        <f>(AP6+(Crescimento!#REF!-(AP6*0.64))/0.8)/1000</f>
        <v>#REF!</v>
      </c>
      <c r="AP7" s="17" t="e">
        <f>-53.07 + (304.89 * (AO7)) + (90.79 *Crescimento!#REF!) - (3.13 * Crescimento!#REF!*Crescimento!#REF!)</f>
        <v>#REF!</v>
      </c>
      <c r="AR7" s="16" t="e">
        <f>(AS6+(Crescimento!#REF!-(AS6*0.64))/0.8)/1000</f>
        <v>#REF!</v>
      </c>
      <c r="AS7" s="17" t="e">
        <f>-53.07 + (304.89 * (AR7)) + (90.79 *Crescimento!#REF!) - (3.13 * Crescimento!#REF!*Crescimento!#REF!)</f>
        <v>#REF!</v>
      </c>
      <c r="AU7" s="16" t="e">
        <f>(AV6+(Crescimento!#REF!-(AV6*0.64))/0.8)/1000</f>
        <v>#REF!</v>
      </c>
      <c r="AV7" s="17" t="e">
        <f>-53.07 + (304.89 * (AU7)) + (90.79 *Crescimento!#REF!) - (3.13 * Crescimento!#REF!*Crescimento!#REF!)</f>
        <v>#REF!</v>
      </c>
      <c r="AX7" s="16" t="e">
        <f>(AY6+(Crescimento!#REF!-(AY6*0.64))/0.8)/1000</f>
        <v>#REF!</v>
      </c>
      <c r="AY7" s="17" t="e">
        <f>-53.07 + (304.89 * (AX7)) + (90.79 *Crescimento!#REF!) - (3.13 * Crescimento!#REF!*Crescimento!#REF!)</f>
        <v>#REF!</v>
      </c>
      <c r="BA7" s="16" t="e">
        <f>(BB6+(Crescimento!#REF!-(BB6*0.64))/0.8)/1000</f>
        <v>#REF!</v>
      </c>
      <c r="BB7" s="17" t="e">
        <f>-53.07 + (304.89 * (BA7)) + (90.79 *Crescimento!#REF!) - (3.13 * Crescimento!#REF!*Crescimento!#REF!)</f>
        <v>#REF!</v>
      </c>
      <c r="BD7" s="16" t="e">
        <f>(BE6+(Crescimento!#REF!-(BE6*0.64))/0.8)/1000</f>
        <v>#REF!</v>
      </c>
      <c r="BE7" s="17" t="e">
        <f>-53.07 + (304.89 * (BD7)) + (90.79 *Crescimento!#REF!) - (3.13 * Crescimento!#REF!*Crescimento!#REF!)</f>
        <v>#REF!</v>
      </c>
      <c r="BG7" s="16" t="e">
        <f>(BH6+(Crescimento!#REF!-(BH6*0.64))/0.8)/1000</f>
        <v>#REF!</v>
      </c>
      <c r="BH7" s="17" t="e">
        <f>-53.07 + (304.89 * (BG7)) + (90.79 *Crescimento!#REF!) - (3.13 * Crescimento!#REF!*Crescimento!#REF!)</f>
        <v>#REF!</v>
      </c>
      <c r="BJ7" s="16" t="e">
        <f>(BK6+(Crescimento!#REF!-(BK6*0.64))/0.8)/1000</f>
        <v>#REF!</v>
      </c>
      <c r="BK7" s="17" t="e">
        <f>-53.07 + (304.89 * (BJ7)) + (90.79 *Crescimento!#REF!) - (3.13 * Crescimento!#REF!*Crescimento!#REF!)</f>
        <v>#REF!</v>
      </c>
      <c r="BM7" s="16" t="e">
        <f>(BN6+(Crescimento!#REF!-(BN6*0.64))/0.8)/1000</f>
        <v>#REF!</v>
      </c>
      <c r="BN7" s="17" t="e">
        <f>-53.07 + (304.89 * (BM7)) + (90.79 *Crescimento!#REF!) - (3.13 * Crescimento!#REF!*Crescimento!#REF!)</f>
        <v>#REF!</v>
      </c>
      <c r="BP7" s="16" t="e">
        <f>(BQ6+(Crescimento!#REF!-(BQ6*0.64))/0.8)/1000</f>
        <v>#REF!</v>
      </c>
      <c r="BQ7" s="17" t="e">
        <f>-53.07 + (304.89 * (BP7)) + (90.79 *Crescimento!#REF!) - (3.13 * Crescimento!#REF!*Crescimento!#REF!)</f>
        <v>#REF!</v>
      </c>
      <c r="BS7" s="16" t="e">
        <f>(BT6+(Crescimento!#REF!-(BT6*0.64))/0.8)/1000</f>
        <v>#REF!</v>
      </c>
      <c r="BT7" s="17" t="e">
        <f>-53.07 + (304.89 * (BS7)) + (90.79 *Crescimento!#REF!) - (3.13 * Crescimento!#REF!*Crescimento!#REF!)</f>
        <v>#REF!</v>
      </c>
      <c r="BV7" s="16" t="e">
        <f>(BW6+(Crescimento!#REF!-(BW6*0.64))/0.8)/1000</f>
        <v>#REF!</v>
      </c>
      <c r="BW7" s="17" t="e">
        <f>-53.07 + (304.89 * (BV7)) + (90.79 *Crescimento!#REF!) - (3.13 * Crescimento!#REF!*Crescimento!#REF!)</f>
        <v>#REF!</v>
      </c>
      <c r="BY7" s="16" t="e">
        <f>(BZ6+(Crescimento!#REF!-(BZ6*0.64))/0.8)/1000</f>
        <v>#REF!</v>
      </c>
      <c r="BZ7" s="17" t="e">
        <f>-53.07 + (304.89 * (BY7)) + (90.79 *Crescimento!#REF!) - (3.13 * Crescimento!#REF!*Crescimento!#REF!)</f>
        <v>#REF!</v>
      </c>
      <c r="CB7" s="16" t="e">
        <f>(CC6+(Crescimento!#REF!-(CC6*0.64))/0.8)/1000</f>
        <v>#REF!</v>
      </c>
      <c r="CC7" s="17" t="e">
        <f>-53.07 + (304.89 * (CB7)) + (90.79 *Crescimento!#REF!) - (3.13 * Crescimento!#REF!*Crescimento!#REF!)</f>
        <v>#REF!</v>
      </c>
      <c r="CE7" s="16" t="e">
        <f>(CF6+(Crescimento!#REF!-(CF6*0.64))/0.8)/1000</f>
        <v>#REF!</v>
      </c>
      <c r="CF7" s="17" t="e">
        <f>-53.07 + (304.89 * (CE7)) + (90.79 *Crescimento!#REF!) - (3.13 * Crescimento!#REF!*Crescimento!#REF!)</f>
        <v>#REF!</v>
      </c>
      <c r="CH7" s="16" t="e">
        <f>(CI6+(Crescimento!#REF!-(CI6*0.64))/0.8)/1000</f>
        <v>#REF!</v>
      </c>
      <c r="CI7" s="17" t="e">
        <f>-53.07 + (304.89 * (CH7)) + (90.79 *Crescimento!#REF!) - (3.13 * Crescimento!#REF!*Crescimento!#REF!)</f>
        <v>#REF!</v>
      </c>
      <c r="CK7" s="16" t="e">
        <f>(CL6+(Crescimento!#REF!-(CL6*0.64))/0.8)/1000</f>
        <v>#REF!</v>
      </c>
      <c r="CL7" s="17" t="e">
        <f>-53.07 + (304.89 * (CK7)) + (90.79 *Crescimento!#REF!) - (3.13 * Crescimento!#REF!*Crescimento!#REF!)</f>
        <v>#REF!</v>
      </c>
    </row>
    <row r="8" spans="1:90" ht="15" customHeight="1" x14ac:dyDescent="0.25">
      <c r="A8" t="s">
        <v>250</v>
      </c>
      <c r="B8" s="16">
        <f>(C7+('Vacas e Bezerros'!$O$29-(C7*0.64))/0.8)/1000</f>
        <v>1.121997456449636</v>
      </c>
      <c r="C8" s="17">
        <f>-53.07 + (304.89 * (B8)) + (90.79 *'Vacas e Bezerros'!$O$23) - (3.13 * 'Vacas e Bezerros'!$O$23*'Vacas e Bezerros'!$O$23)</f>
        <v>715.77733205911034</v>
      </c>
      <c r="E8" s="16" t="e">
        <f>(F7+(Crescimento!#REF!-(F7*0.64))/0.8)/1000</f>
        <v>#REF!</v>
      </c>
      <c r="F8" s="17" t="e">
        <f>-53.07 + (304.89 * (E8)) + (90.79 *Crescimento!#REF!) - (3.13 * Crescimento!#REF!*Crescimento!#REF!)</f>
        <v>#REF!</v>
      </c>
      <c r="G8" s="1"/>
      <c r="H8" s="16" t="e">
        <f>(I7+(Crescimento!#REF!-(I7*0.64))/0.8)/1000</f>
        <v>#REF!</v>
      </c>
      <c r="I8" s="17" t="e">
        <f>-53.07 + (304.89 * (H8)) + (90.79 *Crescimento!#REF!) - (3.13 * Crescimento!#REF!*Crescimento!#REF!)</f>
        <v>#REF!</v>
      </c>
      <c r="K8" s="16" t="e">
        <f>(L7+(Crescimento!#REF!-(L7*0.64))/0.8)/1000</f>
        <v>#REF!</v>
      </c>
      <c r="L8" s="17" t="e">
        <f>-53.07 + (304.89 * (K8)) + (90.79 *Crescimento!#REF!) - (3.13 * Crescimento!#REF!*Crescimento!#REF!)</f>
        <v>#REF!</v>
      </c>
      <c r="N8" s="16" t="e">
        <f>(O7+(Crescimento!#REF!-(O7*0.64))/0.8)/1000</f>
        <v>#REF!</v>
      </c>
      <c r="O8" s="17" t="e">
        <f>-53.07 + (304.89 * (N8)) + (90.79 *Crescimento!#REF!) - (3.13 * Crescimento!#REF!*Crescimento!#REF!)</f>
        <v>#REF!</v>
      </c>
      <c r="Q8" s="16" t="e">
        <f>(R7+(Crescimento!#REF!-(R7*0.64))/0.8)/1000</f>
        <v>#REF!</v>
      </c>
      <c r="R8" s="17" t="e">
        <f>-53.07 + (304.89 * (Q8)) + (90.79 *Crescimento!#REF!) - (3.13 * Crescimento!#REF!*Crescimento!#REF!)</f>
        <v>#REF!</v>
      </c>
      <c r="T8" s="16" t="e">
        <f>(U7+(Crescimento!#REF!-(U7*0.64))/0.8)/1000</f>
        <v>#REF!</v>
      </c>
      <c r="U8" s="17" t="e">
        <f>-53.07 + (304.89 * (T8)) + (90.79 *Crescimento!#REF!) - (3.13 * Crescimento!#REF!*Crescimento!#REF!)</f>
        <v>#REF!</v>
      </c>
      <c r="W8" s="16" t="e">
        <f>(X7+(Crescimento!#REF!-(X7*0.64))/0.8)/1000</f>
        <v>#REF!</v>
      </c>
      <c r="X8" s="17" t="e">
        <f>-53.07 + (304.89 * (W8)) + (90.79 *Crescimento!#REF!) - (3.13 * Crescimento!#REF!*Crescimento!#REF!)</f>
        <v>#REF!</v>
      </c>
      <c r="Y8" s="6"/>
      <c r="Z8" s="16" t="e">
        <f>(AA7+(Crescimento!#REF!-(AA7*0.64))/0.8)/1000</f>
        <v>#REF!</v>
      </c>
      <c r="AA8" s="17" t="e">
        <f>-53.07 + (304.89 * (Z8)) + (90.79 *Crescimento!#REF!) - (3.13 * Crescimento!#REF!*Crescimento!#REF!)</f>
        <v>#REF!</v>
      </c>
      <c r="AB8" s="6"/>
      <c r="AC8" s="16" t="e">
        <f>(AD7+(Crescimento!#REF!-(AD7*0.64))/0.8)/1000</f>
        <v>#REF!</v>
      </c>
      <c r="AD8" s="17" t="e">
        <f>-53.07 + (304.89 * (AC8)) + (90.79 *Crescimento!#REF!) - (3.13 * Crescimento!#REF!*Crescimento!#REF!)</f>
        <v>#REF!</v>
      </c>
      <c r="AE8" s="17"/>
      <c r="AF8" s="16" t="e">
        <f>(AG7+(Crescimento!#REF!-(AG7*0.64))/0.8)/1000</f>
        <v>#REF!</v>
      </c>
      <c r="AG8" s="17" t="e">
        <f>-53.07 + (304.89 * (AF8)) + (90.79 *Crescimento!#REF!) - (3.13 * Crescimento!#REF!*Crescimento!#REF!)</f>
        <v>#REF!</v>
      </c>
      <c r="AI8" s="16" t="e">
        <f>(AJ7+(Crescimento!#REF!-(AJ7*0.64))/0.8)/1000</f>
        <v>#REF!</v>
      </c>
      <c r="AJ8" s="17" t="e">
        <f>-53.07 + (304.89 * (AI8)) + (90.79 *Crescimento!#REF!) - (3.13 * Crescimento!#REF!*Crescimento!#REF!)</f>
        <v>#REF!</v>
      </c>
      <c r="AL8" s="16" t="e">
        <f>(AM7+(Crescimento!#REF!-(AM7*0.64))/0.8)/1000</f>
        <v>#REF!</v>
      </c>
      <c r="AM8" s="17" t="e">
        <f>-53.07 + (304.89 * (AL8)) + (90.79 *Crescimento!#REF!) - (3.13 * Crescimento!#REF!*Crescimento!#REF!)</f>
        <v>#REF!</v>
      </c>
      <c r="AO8" s="16" t="e">
        <f>(AP7+(Crescimento!#REF!-(AP7*0.64))/0.8)/1000</f>
        <v>#REF!</v>
      </c>
      <c r="AP8" s="17" t="e">
        <f>-53.07 + (304.89 * (AO8)) + (90.79 *Crescimento!#REF!) - (3.13 * Crescimento!#REF!*Crescimento!#REF!)</f>
        <v>#REF!</v>
      </c>
      <c r="AR8" s="16" t="e">
        <f>(AS7+(Crescimento!#REF!-(AS7*0.64))/0.8)/1000</f>
        <v>#REF!</v>
      </c>
      <c r="AS8" s="17" t="e">
        <f>-53.07 + (304.89 * (AR8)) + (90.79 *Crescimento!#REF!) - (3.13 * Crescimento!#REF!*Crescimento!#REF!)</f>
        <v>#REF!</v>
      </c>
      <c r="AU8" s="16" t="e">
        <f>(AV7+(Crescimento!#REF!-(AV7*0.64))/0.8)/1000</f>
        <v>#REF!</v>
      </c>
      <c r="AV8" s="17" t="e">
        <f>-53.07 + (304.89 * (AU8)) + (90.79 *Crescimento!#REF!) - (3.13 * Crescimento!#REF!*Crescimento!#REF!)</f>
        <v>#REF!</v>
      </c>
      <c r="AX8" s="16" t="e">
        <f>(AY7+(Crescimento!#REF!-(AY7*0.64))/0.8)/1000</f>
        <v>#REF!</v>
      </c>
      <c r="AY8" s="17" t="e">
        <f>-53.07 + (304.89 * (AX8)) + (90.79 *Crescimento!#REF!) - (3.13 * Crescimento!#REF!*Crescimento!#REF!)</f>
        <v>#REF!</v>
      </c>
      <c r="BA8" s="16" t="e">
        <f>(BB7+(Crescimento!#REF!-(BB7*0.64))/0.8)/1000</f>
        <v>#REF!</v>
      </c>
      <c r="BB8" s="17" t="e">
        <f>-53.07 + (304.89 * (BA8)) + (90.79 *Crescimento!#REF!) - (3.13 * Crescimento!#REF!*Crescimento!#REF!)</f>
        <v>#REF!</v>
      </c>
      <c r="BD8" s="16" t="e">
        <f>(BE7+(Crescimento!#REF!-(BE7*0.64))/0.8)/1000</f>
        <v>#REF!</v>
      </c>
      <c r="BE8" s="17" t="e">
        <f>-53.07 + (304.89 * (BD8)) + (90.79 *Crescimento!#REF!) - (3.13 * Crescimento!#REF!*Crescimento!#REF!)</f>
        <v>#REF!</v>
      </c>
      <c r="BG8" s="16" t="e">
        <f>(BH7+(Crescimento!#REF!-(BH7*0.64))/0.8)/1000</f>
        <v>#REF!</v>
      </c>
      <c r="BH8" s="17" t="e">
        <f>-53.07 + (304.89 * (BG8)) + (90.79 *Crescimento!#REF!) - (3.13 * Crescimento!#REF!*Crescimento!#REF!)</f>
        <v>#REF!</v>
      </c>
      <c r="BJ8" s="16" t="e">
        <f>(BK7+(Crescimento!#REF!-(BK7*0.64))/0.8)/1000</f>
        <v>#REF!</v>
      </c>
      <c r="BK8" s="17" t="e">
        <f>-53.07 + (304.89 * (BJ8)) + (90.79 *Crescimento!#REF!) - (3.13 * Crescimento!#REF!*Crescimento!#REF!)</f>
        <v>#REF!</v>
      </c>
      <c r="BM8" s="16" t="e">
        <f>(BN7+(Crescimento!#REF!-(BN7*0.64))/0.8)/1000</f>
        <v>#REF!</v>
      </c>
      <c r="BN8" s="17" t="e">
        <f>-53.07 + (304.89 * (BM8)) + (90.79 *Crescimento!#REF!) - (3.13 * Crescimento!#REF!*Crescimento!#REF!)</f>
        <v>#REF!</v>
      </c>
      <c r="BP8" s="16" t="e">
        <f>(BQ7+(Crescimento!#REF!-(BQ7*0.64))/0.8)/1000</f>
        <v>#REF!</v>
      </c>
      <c r="BQ8" s="17" t="e">
        <f>-53.07 + (304.89 * (BP8)) + (90.79 *Crescimento!#REF!) - (3.13 * Crescimento!#REF!*Crescimento!#REF!)</f>
        <v>#REF!</v>
      </c>
      <c r="BS8" s="16" t="e">
        <f>(BT7+(Crescimento!#REF!-(BT7*0.64))/0.8)/1000</f>
        <v>#REF!</v>
      </c>
      <c r="BT8" s="17" t="e">
        <f>-53.07 + (304.89 * (BS8)) + (90.79 *Crescimento!#REF!) - (3.13 * Crescimento!#REF!*Crescimento!#REF!)</f>
        <v>#REF!</v>
      </c>
      <c r="BV8" s="16" t="e">
        <f>(BW7+(Crescimento!#REF!-(BW7*0.64))/0.8)/1000</f>
        <v>#REF!</v>
      </c>
      <c r="BW8" s="17" t="e">
        <f>-53.07 + (304.89 * (BV8)) + (90.79 *Crescimento!#REF!) - (3.13 * Crescimento!#REF!*Crescimento!#REF!)</f>
        <v>#REF!</v>
      </c>
      <c r="BY8" s="16" t="e">
        <f>(BZ7+(Crescimento!#REF!-(BZ7*0.64))/0.8)/1000</f>
        <v>#REF!</v>
      </c>
      <c r="BZ8" s="17" t="e">
        <f>-53.07 + (304.89 * (BY8)) + (90.79 *Crescimento!#REF!) - (3.13 * Crescimento!#REF!*Crescimento!#REF!)</f>
        <v>#REF!</v>
      </c>
      <c r="CB8" s="16" t="e">
        <f>(CC7+(Crescimento!#REF!-(CC7*0.64))/0.8)/1000</f>
        <v>#REF!</v>
      </c>
      <c r="CC8" s="17" t="e">
        <f>-53.07 + (304.89 * (CB8)) + (90.79 *Crescimento!#REF!) - (3.13 * Crescimento!#REF!*Crescimento!#REF!)</f>
        <v>#REF!</v>
      </c>
      <c r="CE8" s="16" t="e">
        <f>(CF7+(Crescimento!#REF!-(CF7*0.64))/0.8)/1000</f>
        <v>#REF!</v>
      </c>
      <c r="CF8" s="17" t="e">
        <f>-53.07 + (304.89 * (CE8)) + (90.79 *Crescimento!#REF!) - (3.13 * Crescimento!#REF!*Crescimento!#REF!)</f>
        <v>#REF!</v>
      </c>
      <c r="CH8" s="16" t="e">
        <f>(CI7+(Crescimento!#REF!-(CI7*0.64))/0.8)/1000</f>
        <v>#REF!</v>
      </c>
      <c r="CI8" s="17" t="e">
        <f>-53.07 + (304.89 * (CH8)) + (90.79 *Crescimento!#REF!) - (3.13 * Crescimento!#REF!*Crescimento!#REF!)</f>
        <v>#REF!</v>
      </c>
      <c r="CK8" s="16" t="e">
        <f>(CL7+(Crescimento!#REF!-(CL7*0.64))/0.8)/1000</f>
        <v>#REF!</v>
      </c>
      <c r="CL8" s="17" t="e">
        <f>-53.07 + (304.89 * (CK8)) + (90.79 *Crescimento!#REF!) - (3.13 * Crescimento!#REF!*Crescimento!#REF!)</f>
        <v>#REF!</v>
      </c>
    </row>
    <row r="9" spans="1:90" ht="15" customHeight="1" x14ac:dyDescent="0.25">
      <c r="B9" s="16">
        <f>(C8+('Vacas e Bezerros'!$O$29-(C8*0.64))/0.8)/1000</f>
        <v>1.1219974763209539</v>
      </c>
      <c r="C9" s="17">
        <f>-53.07 + (304.89 * (B9)) + (90.79 *'Vacas e Bezerros'!$O$23) - (3.13 * 'Vacas e Bezerros'!$O$23*'Vacas e Bezerros'!$O$23)</f>
        <v>715.77733811767655</v>
      </c>
      <c r="E9" s="16" t="e">
        <f>(F8+(Crescimento!#REF!-(F8*0.64))/0.8)/1000</f>
        <v>#REF!</v>
      </c>
      <c r="F9" s="17" t="e">
        <f>-53.07 + (304.89 * (E9)) + (90.79 *Crescimento!#REF!) - (3.13 * Crescimento!#REF!*Crescimento!#REF!)</f>
        <v>#REF!</v>
      </c>
      <c r="G9" s="1"/>
      <c r="H9" s="16" t="e">
        <f>(I8+(Crescimento!#REF!-(I8*0.64))/0.8)/1000</f>
        <v>#REF!</v>
      </c>
      <c r="I9" s="17" t="e">
        <f>-53.07 + (304.89 * (H9)) + (90.79 *Crescimento!#REF!) - (3.13 * Crescimento!#REF!*Crescimento!#REF!)</f>
        <v>#REF!</v>
      </c>
      <c r="K9" s="16" t="e">
        <f>(L8+(Crescimento!#REF!-(L8*0.64))/0.8)/1000</f>
        <v>#REF!</v>
      </c>
      <c r="L9" s="17" t="e">
        <f>-53.07 + (304.89 * (K9)) + (90.79 *Crescimento!#REF!) - (3.13 * Crescimento!#REF!*Crescimento!#REF!)</f>
        <v>#REF!</v>
      </c>
      <c r="N9" s="16" t="e">
        <f>(O8+(Crescimento!#REF!-(O8*0.64))/0.8)/1000</f>
        <v>#REF!</v>
      </c>
      <c r="O9" s="17" t="e">
        <f>-53.07 + (304.89 * (N9)) + (90.79 *Crescimento!#REF!) - (3.13 * Crescimento!#REF!*Crescimento!#REF!)</f>
        <v>#REF!</v>
      </c>
      <c r="Q9" s="16" t="e">
        <f>(R8+(Crescimento!#REF!-(R8*0.64))/0.8)/1000</f>
        <v>#REF!</v>
      </c>
      <c r="R9" s="17" t="e">
        <f>-53.07 + (304.89 * (Q9)) + (90.79 *Crescimento!#REF!) - (3.13 * Crescimento!#REF!*Crescimento!#REF!)</f>
        <v>#REF!</v>
      </c>
      <c r="T9" s="16" t="e">
        <f>(U8+(Crescimento!#REF!-(U8*0.64))/0.8)/1000</f>
        <v>#REF!</v>
      </c>
      <c r="U9" s="17" t="e">
        <f>-53.07 + (304.89 * (T9)) + (90.79 *Crescimento!#REF!) - (3.13 * Crescimento!#REF!*Crescimento!#REF!)</f>
        <v>#REF!</v>
      </c>
      <c r="W9" s="16" t="e">
        <f>(X8+(Crescimento!#REF!-(X8*0.64))/0.8)/1000</f>
        <v>#REF!</v>
      </c>
      <c r="X9" s="17" t="e">
        <f>-53.07 + (304.89 * (W9)) + (90.79 *Crescimento!#REF!) - (3.13 * Crescimento!#REF!*Crescimento!#REF!)</f>
        <v>#REF!</v>
      </c>
      <c r="Y9" s="6"/>
      <c r="Z9" s="16" t="e">
        <f>(AA8+(Crescimento!#REF!-(AA8*0.64))/0.8)/1000</f>
        <v>#REF!</v>
      </c>
      <c r="AA9" s="17" t="e">
        <f>-53.07 + (304.89 * (Z9)) + (90.79 *Crescimento!#REF!) - (3.13 * Crescimento!#REF!*Crescimento!#REF!)</f>
        <v>#REF!</v>
      </c>
      <c r="AB9" s="6"/>
      <c r="AC9" s="16" t="e">
        <f>(AD8+(Crescimento!#REF!-(AD8*0.64))/0.8)/1000</f>
        <v>#REF!</v>
      </c>
      <c r="AD9" s="17" t="e">
        <f>-53.07 + (304.89 * (AC9)) + (90.79 *Crescimento!#REF!) - (3.13 * Crescimento!#REF!*Crescimento!#REF!)</f>
        <v>#REF!</v>
      </c>
      <c r="AE9" s="17"/>
      <c r="AF9" s="16" t="e">
        <f>(AG8+(Crescimento!#REF!-(AG8*0.64))/0.8)/1000</f>
        <v>#REF!</v>
      </c>
      <c r="AG9" s="17" t="e">
        <f>-53.07 + (304.89 * (AF9)) + (90.79 *Crescimento!#REF!) - (3.13 * Crescimento!#REF!*Crescimento!#REF!)</f>
        <v>#REF!</v>
      </c>
      <c r="AI9" s="16" t="e">
        <f>(AJ8+(Crescimento!#REF!-(AJ8*0.64))/0.8)/1000</f>
        <v>#REF!</v>
      </c>
      <c r="AJ9" s="17" t="e">
        <f>-53.07 + (304.89 * (AI9)) + (90.79 *Crescimento!#REF!) - (3.13 * Crescimento!#REF!*Crescimento!#REF!)</f>
        <v>#REF!</v>
      </c>
      <c r="AL9" s="16" t="e">
        <f>(AM8+(Crescimento!#REF!-(AM8*0.64))/0.8)/1000</f>
        <v>#REF!</v>
      </c>
      <c r="AM9" s="17" t="e">
        <f>-53.07 + (304.89 * (AL9)) + (90.79 *Crescimento!#REF!) - (3.13 * Crescimento!#REF!*Crescimento!#REF!)</f>
        <v>#REF!</v>
      </c>
      <c r="AO9" s="16" t="e">
        <f>(AP8+(Crescimento!#REF!-(AP8*0.64))/0.8)/1000</f>
        <v>#REF!</v>
      </c>
      <c r="AP9" s="17" t="e">
        <f>-53.07 + (304.89 * (AO9)) + (90.79 *Crescimento!#REF!) - (3.13 * Crescimento!#REF!*Crescimento!#REF!)</f>
        <v>#REF!</v>
      </c>
      <c r="AR9" s="16" t="e">
        <f>(AS8+(Crescimento!#REF!-(AS8*0.64))/0.8)/1000</f>
        <v>#REF!</v>
      </c>
      <c r="AS9" s="17" t="e">
        <f>-53.07 + (304.89 * (AR9)) + (90.79 *Crescimento!#REF!) - (3.13 * Crescimento!#REF!*Crescimento!#REF!)</f>
        <v>#REF!</v>
      </c>
      <c r="AU9" s="16" t="e">
        <f>(AV8+(Crescimento!#REF!-(AV8*0.64))/0.8)/1000</f>
        <v>#REF!</v>
      </c>
      <c r="AV9" s="17" t="e">
        <f>-53.07 + (304.89 * (AU9)) + (90.79 *Crescimento!#REF!) - (3.13 * Crescimento!#REF!*Crescimento!#REF!)</f>
        <v>#REF!</v>
      </c>
      <c r="AX9" s="16" t="e">
        <f>(AY8+(Crescimento!#REF!-(AY8*0.64))/0.8)/1000</f>
        <v>#REF!</v>
      </c>
      <c r="AY9" s="17" t="e">
        <f>-53.07 + (304.89 * (AX9)) + (90.79 *Crescimento!#REF!) - (3.13 * Crescimento!#REF!*Crescimento!#REF!)</f>
        <v>#REF!</v>
      </c>
      <c r="BA9" s="16" t="e">
        <f>(BB8+(Crescimento!#REF!-(BB8*0.64))/0.8)/1000</f>
        <v>#REF!</v>
      </c>
      <c r="BB9" s="17" t="e">
        <f>-53.07 + (304.89 * (BA9)) + (90.79 *Crescimento!#REF!) - (3.13 * Crescimento!#REF!*Crescimento!#REF!)</f>
        <v>#REF!</v>
      </c>
      <c r="BD9" s="16" t="e">
        <f>(BE8+(Crescimento!#REF!-(BE8*0.64))/0.8)/1000</f>
        <v>#REF!</v>
      </c>
      <c r="BE9" s="17" t="e">
        <f>-53.07 + (304.89 * (BD9)) + (90.79 *Crescimento!#REF!) - (3.13 * Crescimento!#REF!*Crescimento!#REF!)</f>
        <v>#REF!</v>
      </c>
      <c r="BG9" s="16" t="e">
        <f>(BH8+(Crescimento!#REF!-(BH8*0.64))/0.8)/1000</f>
        <v>#REF!</v>
      </c>
      <c r="BH9" s="17" t="e">
        <f>-53.07 + (304.89 * (BG9)) + (90.79 *Crescimento!#REF!) - (3.13 * Crescimento!#REF!*Crescimento!#REF!)</f>
        <v>#REF!</v>
      </c>
      <c r="BJ9" s="16" t="e">
        <f>(BK8+(Crescimento!#REF!-(BK8*0.64))/0.8)/1000</f>
        <v>#REF!</v>
      </c>
      <c r="BK9" s="17" t="e">
        <f>-53.07 + (304.89 * (BJ9)) + (90.79 *Crescimento!#REF!) - (3.13 * Crescimento!#REF!*Crescimento!#REF!)</f>
        <v>#REF!</v>
      </c>
      <c r="BM9" s="16" t="e">
        <f>(BN8+(Crescimento!#REF!-(BN8*0.64))/0.8)/1000</f>
        <v>#REF!</v>
      </c>
      <c r="BN9" s="17" t="e">
        <f>-53.07 + (304.89 * (BM9)) + (90.79 *Crescimento!#REF!) - (3.13 * Crescimento!#REF!*Crescimento!#REF!)</f>
        <v>#REF!</v>
      </c>
      <c r="BP9" s="16" t="e">
        <f>(BQ8+(Crescimento!#REF!-(BQ8*0.64))/0.8)/1000</f>
        <v>#REF!</v>
      </c>
      <c r="BQ9" s="17" t="e">
        <f>-53.07 + (304.89 * (BP9)) + (90.79 *Crescimento!#REF!) - (3.13 * Crescimento!#REF!*Crescimento!#REF!)</f>
        <v>#REF!</v>
      </c>
      <c r="BS9" s="16" t="e">
        <f>(BT8+(Crescimento!#REF!-(BT8*0.64))/0.8)/1000</f>
        <v>#REF!</v>
      </c>
      <c r="BT9" s="17" t="e">
        <f>-53.07 + (304.89 * (BS9)) + (90.79 *Crescimento!#REF!) - (3.13 * Crescimento!#REF!*Crescimento!#REF!)</f>
        <v>#REF!</v>
      </c>
      <c r="BV9" s="16" t="e">
        <f>(BW8+(Crescimento!#REF!-(BW8*0.64))/0.8)/1000</f>
        <v>#REF!</v>
      </c>
      <c r="BW9" s="17" t="e">
        <f>-53.07 + (304.89 * (BV9)) + (90.79 *Crescimento!#REF!) - (3.13 * Crescimento!#REF!*Crescimento!#REF!)</f>
        <v>#REF!</v>
      </c>
      <c r="BY9" s="16" t="e">
        <f>(BZ8+(Crescimento!#REF!-(BZ8*0.64))/0.8)/1000</f>
        <v>#REF!</v>
      </c>
      <c r="BZ9" s="17" t="e">
        <f>-53.07 + (304.89 * (BY9)) + (90.79 *Crescimento!#REF!) - (3.13 * Crescimento!#REF!*Crescimento!#REF!)</f>
        <v>#REF!</v>
      </c>
      <c r="CB9" s="16" t="e">
        <f>(CC8+(Crescimento!#REF!-(CC8*0.64))/0.8)/1000</f>
        <v>#REF!</v>
      </c>
      <c r="CC9" s="17" t="e">
        <f>-53.07 + (304.89 * (CB9)) + (90.79 *Crescimento!#REF!) - (3.13 * Crescimento!#REF!*Crescimento!#REF!)</f>
        <v>#REF!</v>
      </c>
      <c r="CE9" s="16" t="e">
        <f>(CF8+(Crescimento!#REF!-(CF8*0.64))/0.8)/1000</f>
        <v>#REF!</v>
      </c>
      <c r="CF9" s="17" t="e">
        <f>-53.07 + (304.89 * (CE9)) + (90.79 *Crescimento!#REF!) - (3.13 * Crescimento!#REF!*Crescimento!#REF!)</f>
        <v>#REF!</v>
      </c>
      <c r="CH9" s="16" t="e">
        <f>(CI8+(Crescimento!#REF!-(CI8*0.64))/0.8)/1000</f>
        <v>#REF!</v>
      </c>
      <c r="CI9" s="17" t="e">
        <f>-53.07 + (304.89 * (CH9)) + (90.79 *Crescimento!#REF!) - (3.13 * Crescimento!#REF!*Crescimento!#REF!)</f>
        <v>#REF!</v>
      </c>
      <c r="CK9" s="16" t="e">
        <f>(CL8+(Crescimento!#REF!-(CL8*0.64))/0.8)/1000</f>
        <v>#REF!</v>
      </c>
      <c r="CL9" s="17" t="e">
        <f>-53.07 + (304.89 * (CK9)) + (90.79 *Crescimento!#REF!) - (3.13 * Crescimento!#REF!*Crescimento!#REF!)</f>
        <v>#REF!</v>
      </c>
    </row>
    <row r="10" spans="1:90" ht="15" customHeight="1" x14ac:dyDescent="0.25">
      <c r="B10" s="16">
        <f>(C9+('Vacas e Bezerros'!$O$29-(C9*0.64))/0.8)/1000</f>
        <v>1.1219974775326671</v>
      </c>
      <c r="C10" s="17">
        <f>-53.07 + (304.89 * (B10)) + (90.79 *'Vacas e Bezerros'!$O$23) - (3.13 * 'Vacas e Bezerros'!$O$23*'Vacas e Bezerros'!$O$23)</f>
        <v>715.77733848711568</v>
      </c>
      <c r="E10" s="16" t="e">
        <f>(F9+(Crescimento!#REF!-(F9*0.64))/0.8)/1000</f>
        <v>#REF!</v>
      </c>
      <c r="F10" s="17" t="e">
        <f>-53.07 + (304.89 * (E10)) + (90.79 *Crescimento!#REF!) - (3.13 * Crescimento!#REF!*Crescimento!#REF!)</f>
        <v>#REF!</v>
      </c>
      <c r="G10" s="1"/>
      <c r="H10" s="16" t="e">
        <f>(I9+(Crescimento!#REF!-(I9*0.64))/0.8)/1000</f>
        <v>#REF!</v>
      </c>
      <c r="I10" s="17" t="e">
        <f>-53.07 + (304.89 * (H10)) + (90.79 *Crescimento!#REF!) - (3.13 * Crescimento!#REF!*Crescimento!#REF!)</f>
        <v>#REF!</v>
      </c>
      <c r="K10" s="16" t="e">
        <f>(L9+(Crescimento!#REF!-(L9*0.64))/0.8)/1000</f>
        <v>#REF!</v>
      </c>
      <c r="L10" s="17" t="e">
        <f>-53.07 + (304.89 * (K10)) + (90.79 *Crescimento!#REF!) - (3.13 * Crescimento!#REF!*Crescimento!#REF!)</f>
        <v>#REF!</v>
      </c>
      <c r="N10" s="16" t="e">
        <f>(O9+(Crescimento!#REF!-(O9*0.64))/0.8)/1000</f>
        <v>#REF!</v>
      </c>
      <c r="O10" s="17" t="e">
        <f>-53.07 + (304.89 * (N10)) + (90.79 *Crescimento!#REF!) - (3.13 * Crescimento!#REF!*Crescimento!#REF!)</f>
        <v>#REF!</v>
      </c>
      <c r="Q10" s="16" t="e">
        <f>(R9+(Crescimento!#REF!-(R9*0.64))/0.8)/1000</f>
        <v>#REF!</v>
      </c>
      <c r="R10" s="17" t="e">
        <f>-53.07 + (304.89 * (Q10)) + (90.79 *Crescimento!#REF!) - (3.13 * Crescimento!#REF!*Crescimento!#REF!)</f>
        <v>#REF!</v>
      </c>
      <c r="T10" s="16" t="e">
        <f>(U9+(Crescimento!#REF!-(U9*0.64))/0.8)/1000</f>
        <v>#REF!</v>
      </c>
      <c r="U10" s="17" t="e">
        <f>-53.07 + (304.89 * (T10)) + (90.79 *Crescimento!#REF!) - (3.13 * Crescimento!#REF!*Crescimento!#REF!)</f>
        <v>#REF!</v>
      </c>
      <c r="W10" s="16" t="e">
        <f>(X9+(Crescimento!#REF!-(X9*0.64))/0.8)/1000</f>
        <v>#REF!</v>
      </c>
      <c r="X10" s="17" t="e">
        <f>-53.07 + (304.89 * (W10)) + (90.79 *Crescimento!#REF!) - (3.13 * Crescimento!#REF!*Crescimento!#REF!)</f>
        <v>#REF!</v>
      </c>
      <c r="Y10" s="6"/>
      <c r="Z10" s="16" t="e">
        <f>(AA9+(Crescimento!#REF!-(AA9*0.64))/0.8)/1000</f>
        <v>#REF!</v>
      </c>
      <c r="AA10" s="17" t="e">
        <f>-53.07 + (304.89 * (Z10)) + (90.79 *Crescimento!#REF!) - (3.13 * Crescimento!#REF!*Crescimento!#REF!)</f>
        <v>#REF!</v>
      </c>
      <c r="AB10" s="6"/>
      <c r="AC10" s="16" t="e">
        <f>(AD9+(Crescimento!#REF!-(AD9*0.64))/0.8)/1000</f>
        <v>#REF!</v>
      </c>
      <c r="AD10" s="17" t="e">
        <f>-53.07 + (304.89 * (AC10)) + (90.79 *Crescimento!#REF!) - (3.13 * Crescimento!#REF!*Crescimento!#REF!)</f>
        <v>#REF!</v>
      </c>
      <c r="AE10" s="17"/>
      <c r="AF10" s="16" t="e">
        <f>(AG9+(Crescimento!#REF!-(AG9*0.64))/0.8)/1000</f>
        <v>#REF!</v>
      </c>
      <c r="AG10" s="17" t="e">
        <f>-53.07 + (304.89 * (AF10)) + (90.79 *Crescimento!#REF!) - (3.13 * Crescimento!#REF!*Crescimento!#REF!)</f>
        <v>#REF!</v>
      </c>
      <c r="AI10" s="16" t="e">
        <f>(AJ9+(Crescimento!#REF!-(AJ9*0.64))/0.8)/1000</f>
        <v>#REF!</v>
      </c>
      <c r="AJ10" s="17" t="e">
        <f>-53.07 + (304.89 * (AI10)) + (90.79 *Crescimento!#REF!) - (3.13 * Crescimento!#REF!*Crescimento!#REF!)</f>
        <v>#REF!</v>
      </c>
      <c r="AL10" s="16" t="e">
        <f>(AM9+(Crescimento!#REF!-(AM9*0.64))/0.8)/1000</f>
        <v>#REF!</v>
      </c>
      <c r="AM10" s="17" t="e">
        <f>-53.07 + (304.89 * (AL10)) + (90.79 *Crescimento!#REF!) - (3.13 * Crescimento!#REF!*Crescimento!#REF!)</f>
        <v>#REF!</v>
      </c>
      <c r="AO10" s="16" t="e">
        <f>(AP9+(Crescimento!#REF!-(AP9*0.64))/0.8)/1000</f>
        <v>#REF!</v>
      </c>
      <c r="AP10" s="17" t="e">
        <f>-53.07 + (304.89 * (AO10)) + (90.79 *Crescimento!#REF!) - (3.13 * Crescimento!#REF!*Crescimento!#REF!)</f>
        <v>#REF!</v>
      </c>
      <c r="AR10" s="16" t="e">
        <f>(AS9+(Crescimento!#REF!-(AS9*0.64))/0.8)/1000</f>
        <v>#REF!</v>
      </c>
      <c r="AS10" s="17" t="e">
        <f>-53.07 + (304.89 * (AR10)) + (90.79 *Crescimento!#REF!) - (3.13 * Crescimento!#REF!*Crescimento!#REF!)</f>
        <v>#REF!</v>
      </c>
      <c r="AU10" s="16" t="e">
        <f>(AV9+(Crescimento!#REF!-(AV9*0.64))/0.8)/1000</f>
        <v>#REF!</v>
      </c>
      <c r="AV10" s="17" t="e">
        <f>-53.07 + (304.89 * (AU10)) + (90.79 *Crescimento!#REF!) - (3.13 * Crescimento!#REF!*Crescimento!#REF!)</f>
        <v>#REF!</v>
      </c>
      <c r="AX10" s="16" t="e">
        <f>(AY9+(Crescimento!#REF!-(AY9*0.64))/0.8)/1000</f>
        <v>#REF!</v>
      </c>
      <c r="AY10" s="17" t="e">
        <f>-53.07 + (304.89 * (AX10)) + (90.79 *Crescimento!#REF!) - (3.13 * Crescimento!#REF!*Crescimento!#REF!)</f>
        <v>#REF!</v>
      </c>
      <c r="BA10" s="16" t="e">
        <f>(BB9+(Crescimento!#REF!-(BB9*0.64))/0.8)/1000</f>
        <v>#REF!</v>
      </c>
      <c r="BB10" s="17" t="e">
        <f>-53.07 + (304.89 * (BA10)) + (90.79 *Crescimento!#REF!) - (3.13 * Crescimento!#REF!*Crescimento!#REF!)</f>
        <v>#REF!</v>
      </c>
      <c r="BD10" s="16" t="e">
        <f>(BE9+(Crescimento!#REF!-(BE9*0.64))/0.8)/1000</f>
        <v>#REF!</v>
      </c>
      <c r="BE10" s="17" t="e">
        <f>-53.07 + (304.89 * (BD10)) + (90.79 *Crescimento!#REF!) - (3.13 * Crescimento!#REF!*Crescimento!#REF!)</f>
        <v>#REF!</v>
      </c>
      <c r="BG10" s="16" t="e">
        <f>(BH9+(Crescimento!#REF!-(BH9*0.64))/0.8)/1000</f>
        <v>#REF!</v>
      </c>
      <c r="BH10" s="17" t="e">
        <f>-53.07 + (304.89 * (BG10)) + (90.79 *Crescimento!#REF!) - (3.13 * Crescimento!#REF!*Crescimento!#REF!)</f>
        <v>#REF!</v>
      </c>
      <c r="BJ10" s="16" t="e">
        <f>(BK9+(Crescimento!#REF!-(BK9*0.64))/0.8)/1000</f>
        <v>#REF!</v>
      </c>
      <c r="BK10" s="17" t="e">
        <f>-53.07 + (304.89 * (BJ10)) + (90.79 *Crescimento!#REF!) - (3.13 * Crescimento!#REF!*Crescimento!#REF!)</f>
        <v>#REF!</v>
      </c>
      <c r="BM10" s="16" t="e">
        <f>(BN9+(Crescimento!#REF!-(BN9*0.64))/0.8)/1000</f>
        <v>#REF!</v>
      </c>
      <c r="BN10" s="17" t="e">
        <f>-53.07 + (304.89 * (BM10)) + (90.79 *Crescimento!#REF!) - (3.13 * Crescimento!#REF!*Crescimento!#REF!)</f>
        <v>#REF!</v>
      </c>
      <c r="BP10" s="16" t="e">
        <f>(BQ9+(Crescimento!#REF!-(BQ9*0.64))/0.8)/1000</f>
        <v>#REF!</v>
      </c>
      <c r="BQ10" s="17" t="e">
        <f>-53.07 + (304.89 * (BP10)) + (90.79 *Crescimento!#REF!) - (3.13 * Crescimento!#REF!*Crescimento!#REF!)</f>
        <v>#REF!</v>
      </c>
      <c r="BS10" s="16" t="e">
        <f>(BT9+(Crescimento!#REF!-(BT9*0.64))/0.8)/1000</f>
        <v>#REF!</v>
      </c>
      <c r="BT10" s="17" t="e">
        <f>-53.07 + (304.89 * (BS10)) + (90.79 *Crescimento!#REF!) - (3.13 * Crescimento!#REF!*Crescimento!#REF!)</f>
        <v>#REF!</v>
      </c>
      <c r="BV10" s="16" t="e">
        <f>(BW9+(Crescimento!#REF!-(BW9*0.64))/0.8)/1000</f>
        <v>#REF!</v>
      </c>
      <c r="BW10" s="17" t="e">
        <f>-53.07 + (304.89 * (BV10)) + (90.79 *Crescimento!#REF!) - (3.13 * Crescimento!#REF!*Crescimento!#REF!)</f>
        <v>#REF!</v>
      </c>
      <c r="BY10" s="16" t="e">
        <f>(BZ9+(Crescimento!#REF!-(BZ9*0.64))/0.8)/1000</f>
        <v>#REF!</v>
      </c>
      <c r="BZ10" s="17" t="e">
        <f>-53.07 + (304.89 * (BY10)) + (90.79 *Crescimento!#REF!) - (3.13 * Crescimento!#REF!*Crescimento!#REF!)</f>
        <v>#REF!</v>
      </c>
      <c r="CB10" s="16" t="e">
        <f>(CC9+(Crescimento!#REF!-(CC9*0.64))/0.8)/1000</f>
        <v>#REF!</v>
      </c>
      <c r="CC10" s="17" t="e">
        <f>-53.07 + (304.89 * (CB10)) + (90.79 *Crescimento!#REF!) - (3.13 * Crescimento!#REF!*Crescimento!#REF!)</f>
        <v>#REF!</v>
      </c>
      <c r="CE10" s="16" t="e">
        <f>(CF9+(Crescimento!#REF!-(CF9*0.64))/0.8)/1000</f>
        <v>#REF!</v>
      </c>
      <c r="CF10" s="17" t="e">
        <f>-53.07 + (304.89 * (CE10)) + (90.79 *Crescimento!#REF!) - (3.13 * Crescimento!#REF!*Crescimento!#REF!)</f>
        <v>#REF!</v>
      </c>
      <c r="CH10" s="16" t="e">
        <f>(CI9+(Crescimento!#REF!-(CI9*0.64))/0.8)/1000</f>
        <v>#REF!</v>
      </c>
      <c r="CI10" s="17" t="e">
        <f>-53.07 + (304.89 * (CH10)) + (90.79 *Crescimento!#REF!) - (3.13 * Crescimento!#REF!*Crescimento!#REF!)</f>
        <v>#REF!</v>
      </c>
      <c r="CK10" s="16" t="e">
        <f>(CL9+(Crescimento!#REF!-(CL9*0.64))/0.8)/1000</f>
        <v>#REF!</v>
      </c>
      <c r="CL10" s="17" t="e">
        <f>-53.07 + (304.89 * (CK10)) + (90.79 *Crescimento!#REF!) - (3.13 * Crescimento!#REF!*Crescimento!#REF!)</f>
        <v>#REF!</v>
      </c>
    </row>
    <row r="11" spans="1:90" ht="15" customHeight="1" x14ac:dyDescent="0.25">
      <c r="B11" s="16">
        <f>(C10+('Vacas e Bezerros'!$O$29-(C10*0.64))/0.8)/1000</f>
        <v>1.1219974776065549</v>
      </c>
      <c r="C11" s="17">
        <f>-53.07 + (304.89 * (B11)) + (90.79 *'Vacas e Bezerros'!$O$23) - (3.13 * 'Vacas e Bezerros'!$O$23*'Vacas e Bezerros'!$O$23)</f>
        <v>715.7773385096433</v>
      </c>
      <c r="E11" s="16" t="e">
        <f>(F10+(Crescimento!#REF!-(F10*0.64))/0.8)/1000</f>
        <v>#REF!</v>
      </c>
      <c r="F11" s="17" t="e">
        <f>-53.07 + (304.89 * (E11)) + (90.79 *Crescimento!#REF!) - (3.13 * Crescimento!#REF!*Crescimento!#REF!)</f>
        <v>#REF!</v>
      </c>
      <c r="G11" s="1"/>
      <c r="H11" s="16" t="e">
        <f>(I10+(Crescimento!#REF!-(I10*0.64))/0.8)/1000</f>
        <v>#REF!</v>
      </c>
      <c r="I11" s="17" t="e">
        <f>-53.07 + (304.89 * (H11)) + (90.79 *Crescimento!#REF!) - (3.13 * Crescimento!#REF!*Crescimento!#REF!)</f>
        <v>#REF!</v>
      </c>
      <c r="K11" s="16" t="e">
        <f>(L10+(Crescimento!#REF!-(L10*0.64))/0.8)/1000</f>
        <v>#REF!</v>
      </c>
      <c r="L11" s="17" t="e">
        <f>-53.07 + (304.89 * (K11)) + (90.79 *Crescimento!#REF!) - (3.13 * Crescimento!#REF!*Crescimento!#REF!)</f>
        <v>#REF!</v>
      </c>
      <c r="N11" s="16" t="e">
        <f>(O10+(Crescimento!#REF!-(O10*0.64))/0.8)/1000</f>
        <v>#REF!</v>
      </c>
      <c r="O11" s="17" t="e">
        <f>-53.07 + (304.89 * (N11)) + (90.79 *Crescimento!#REF!) - (3.13 * Crescimento!#REF!*Crescimento!#REF!)</f>
        <v>#REF!</v>
      </c>
      <c r="Q11" s="16" t="e">
        <f>(R10+(Crescimento!#REF!-(R10*0.64))/0.8)/1000</f>
        <v>#REF!</v>
      </c>
      <c r="R11" s="17" t="e">
        <f>-53.07 + (304.89 * (Q11)) + (90.79 *Crescimento!#REF!) - (3.13 * Crescimento!#REF!*Crescimento!#REF!)</f>
        <v>#REF!</v>
      </c>
      <c r="T11" s="16" t="e">
        <f>(U10+(Crescimento!#REF!-(U10*0.64))/0.8)/1000</f>
        <v>#REF!</v>
      </c>
      <c r="U11" s="17" t="e">
        <f>-53.07 + (304.89 * (T11)) + (90.79 *Crescimento!#REF!) - (3.13 * Crescimento!#REF!*Crescimento!#REF!)</f>
        <v>#REF!</v>
      </c>
      <c r="W11" s="16" t="e">
        <f>(X10+(Crescimento!#REF!-(X10*0.64))/0.8)/1000</f>
        <v>#REF!</v>
      </c>
      <c r="X11" s="17" t="e">
        <f>-53.07 + (304.89 * (W11)) + (90.79 *Crescimento!#REF!) - (3.13 * Crescimento!#REF!*Crescimento!#REF!)</f>
        <v>#REF!</v>
      </c>
      <c r="Y11" s="6"/>
      <c r="Z11" s="16" t="e">
        <f>(AA10+(Crescimento!#REF!-(AA10*0.64))/0.8)/1000</f>
        <v>#REF!</v>
      </c>
      <c r="AA11" s="17" t="e">
        <f>-53.07 + (304.89 * (Z11)) + (90.79 *Crescimento!#REF!) - (3.13 * Crescimento!#REF!*Crescimento!#REF!)</f>
        <v>#REF!</v>
      </c>
      <c r="AB11" s="6"/>
      <c r="AC11" s="16" t="e">
        <f>(AD10+(Crescimento!#REF!-(AD10*0.64))/0.8)/1000</f>
        <v>#REF!</v>
      </c>
      <c r="AD11" s="17" t="e">
        <f>-53.07 + (304.89 * (AC11)) + (90.79 *Crescimento!#REF!) - (3.13 * Crescimento!#REF!*Crescimento!#REF!)</f>
        <v>#REF!</v>
      </c>
      <c r="AE11" s="17"/>
      <c r="AF11" s="16" t="e">
        <f>(AG10+(Crescimento!#REF!-(AG10*0.64))/0.8)/1000</f>
        <v>#REF!</v>
      </c>
      <c r="AG11" s="17" t="e">
        <f>-53.07 + (304.89 * (AF11)) + (90.79 *Crescimento!#REF!) - (3.13 * Crescimento!#REF!*Crescimento!#REF!)</f>
        <v>#REF!</v>
      </c>
      <c r="AI11" s="16" t="e">
        <f>(AJ10+(Crescimento!#REF!-(AJ10*0.64))/0.8)/1000</f>
        <v>#REF!</v>
      </c>
      <c r="AJ11" s="17" t="e">
        <f>-53.07 + (304.89 * (AI11)) + (90.79 *Crescimento!#REF!) - (3.13 * Crescimento!#REF!*Crescimento!#REF!)</f>
        <v>#REF!</v>
      </c>
      <c r="AL11" s="16" t="e">
        <f>(AM10+(Crescimento!#REF!-(AM10*0.64))/0.8)/1000</f>
        <v>#REF!</v>
      </c>
      <c r="AM11" s="17" t="e">
        <f>-53.07 + (304.89 * (AL11)) + (90.79 *Crescimento!#REF!) - (3.13 * Crescimento!#REF!*Crescimento!#REF!)</f>
        <v>#REF!</v>
      </c>
      <c r="AO11" s="16" t="e">
        <f>(AP10+(Crescimento!#REF!-(AP10*0.64))/0.8)/1000</f>
        <v>#REF!</v>
      </c>
      <c r="AP11" s="17" t="e">
        <f>-53.07 + (304.89 * (AO11)) + (90.79 *Crescimento!#REF!) - (3.13 * Crescimento!#REF!*Crescimento!#REF!)</f>
        <v>#REF!</v>
      </c>
      <c r="AR11" s="16" t="e">
        <f>(AS10+(Crescimento!#REF!-(AS10*0.64))/0.8)/1000</f>
        <v>#REF!</v>
      </c>
      <c r="AS11" s="17" t="e">
        <f>-53.07 + (304.89 * (AR11)) + (90.79 *Crescimento!#REF!) - (3.13 * Crescimento!#REF!*Crescimento!#REF!)</f>
        <v>#REF!</v>
      </c>
      <c r="AU11" s="16" t="e">
        <f>(AV10+(Crescimento!#REF!-(AV10*0.64))/0.8)/1000</f>
        <v>#REF!</v>
      </c>
      <c r="AV11" s="17" t="e">
        <f>-53.07 + (304.89 * (AU11)) + (90.79 *Crescimento!#REF!) - (3.13 * Crescimento!#REF!*Crescimento!#REF!)</f>
        <v>#REF!</v>
      </c>
      <c r="AX11" s="16" t="e">
        <f>(AY10+(Crescimento!#REF!-(AY10*0.64))/0.8)/1000</f>
        <v>#REF!</v>
      </c>
      <c r="AY11" s="17" t="e">
        <f>-53.07 + (304.89 * (AX11)) + (90.79 *Crescimento!#REF!) - (3.13 * Crescimento!#REF!*Crescimento!#REF!)</f>
        <v>#REF!</v>
      </c>
      <c r="BA11" s="16" t="e">
        <f>(BB10+(Crescimento!#REF!-(BB10*0.64))/0.8)/1000</f>
        <v>#REF!</v>
      </c>
      <c r="BB11" s="17" t="e">
        <f>-53.07 + (304.89 * (BA11)) + (90.79 *Crescimento!#REF!) - (3.13 * Crescimento!#REF!*Crescimento!#REF!)</f>
        <v>#REF!</v>
      </c>
      <c r="BD11" s="16" t="e">
        <f>(BE10+(Crescimento!#REF!-(BE10*0.64))/0.8)/1000</f>
        <v>#REF!</v>
      </c>
      <c r="BE11" s="17" t="e">
        <f>-53.07 + (304.89 * (BD11)) + (90.79 *Crescimento!#REF!) - (3.13 * Crescimento!#REF!*Crescimento!#REF!)</f>
        <v>#REF!</v>
      </c>
      <c r="BG11" s="16" t="e">
        <f>(BH10+(Crescimento!#REF!-(BH10*0.64))/0.8)/1000</f>
        <v>#REF!</v>
      </c>
      <c r="BH11" s="17" t="e">
        <f>-53.07 + (304.89 * (BG11)) + (90.79 *Crescimento!#REF!) - (3.13 * Crescimento!#REF!*Crescimento!#REF!)</f>
        <v>#REF!</v>
      </c>
      <c r="BJ11" s="16" t="e">
        <f>(BK10+(Crescimento!#REF!-(BK10*0.64))/0.8)/1000</f>
        <v>#REF!</v>
      </c>
      <c r="BK11" s="17" t="e">
        <f>-53.07 + (304.89 * (BJ11)) + (90.79 *Crescimento!#REF!) - (3.13 * Crescimento!#REF!*Crescimento!#REF!)</f>
        <v>#REF!</v>
      </c>
      <c r="BM11" s="16" t="e">
        <f>(BN10+(Crescimento!#REF!-(BN10*0.64))/0.8)/1000</f>
        <v>#REF!</v>
      </c>
      <c r="BN11" s="17" t="e">
        <f>-53.07 + (304.89 * (BM11)) + (90.79 *Crescimento!#REF!) - (3.13 * Crescimento!#REF!*Crescimento!#REF!)</f>
        <v>#REF!</v>
      </c>
      <c r="BP11" s="16" t="e">
        <f>(BQ10+(Crescimento!#REF!-(BQ10*0.64))/0.8)/1000</f>
        <v>#REF!</v>
      </c>
      <c r="BQ11" s="17" t="e">
        <f>-53.07 + (304.89 * (BP11)) + (90.79 *Crescimento!#REF!) - (3.13 * Crescimento!#REF!*Crescimento!#REF!)</f>
        <v>#REF!</v>
      </c>
      <c r="BS11" s="16" t="e">
        <f>(BT10+(Crescimento!#REF!-(BT10*0.64))/0.8)/1000</f>
        <v>#REF!</v>
      </c>
      <c r="BT11" s="17" t="e">
        <f>-53.07 + (304.89 * (BS11)) + (90.79 *Crescimento!#REF!) - (3.13 * Crescimento!#REF!*Crescimento!#REF!)</f>
        <v>#REF!</v>
      </c>
      <c r="BV11" s="16" t="e">
        <f>(BW10+(Crescimento!#REF!-(BW10*0.64))/0.8)/1000</f>
        <v>#REF!</v>
      </c>
      <c r="BW11" s="17" t="e">
        <f>-53.07 + (304.89 * (BV11)) + (90.79 *Crescimento!#REF!) - (3.13 * Crescimento!#REF!*Crescimento!#REF!)</f>
        <v>#REF!</v>
      </c>
      <c r="BY11" s="16" t="e">
        <f>(BZ10+(Crescimento!#REF!-(BZ10*0.64))/0.8)/1000</f>
        <v>#REF!</v>
      </c>
      <c r="BZ11" s="17" t="e">
        <f>-53.07 + (304.89 * (BY11)) + (90.79 *Crescimento!#REF!) - (3.13 * Crescimento!#REF!*Crescimento!#REF!)</f>
        <v>#REF!</v>
      </c>
      <c r="CB11" s="16" t="e">
        <f>(CC10+(Crescimento!#REF!-(CC10*0.64))/0.8)/1000</f>
        <v>#REF!</v>
      </c>
      <c r="CC11" s="17" t="e">
        <f>-53.07 + (304.89 * (CB11)) + (90.79 *Crescimento!#REF!) - (3.13 * Crescimento!#REF!*Crescimento!#REF!)</f>
        <v>#REF!</v>
      </c>
      <c r="CE11" s="16" t="e">
        <f>(CF10+(Crescimento!#REF!-(CF10*0.64))/0.8)/1000</f>
        <v>#REF!</v>
      </c>
      <c r="CF11" s="17" t="e">
        <f>-53.07 + (304.89 * (CE11)) + (90.79 *Crescimento!#REF!) - (3.13 * Crescimento!#REF!*Crescimento!#REF!)</f>
        <v>#REF!</v>
      </c>
      <c r="CH11" s="16" t="e">
        <f>(CI10+(Crescimento!#REF!-(CI10*0.64))/0.8)/1000</f>
        <v>#REF!</v>
      </c>
      <c r="CI11" s="17" t="e">
        <f>-53.07 + (304.89 * (CH11)) + (90.79 *Crescimento!#REF!) - (3.13 * Crescimento!#REF!*Crescimento!#REF!)</f>
        <v>#REF!</v>
      </c>
      <c r="CK11" s="16" t="e">
        <f>(CL10+(Crescimento!#REF!-(CL10*0.64))/0.8)/1000</f>
        <v>#REF!</v>
      </c>
      <c r="CL11" s="17" t="e">
        <f>-53.07 + (304.89 * (CK11)) + (90.79 *Crescimento!#REF!) - (3.13 * Crescimento!#REF!*Crescimento!#REF!)</f>
        <v>#REF!</v>
      </c>
    </row>
    <row r="12" spans="1:90" ht="15" customHeight="1" x14ac:dyDescent="0.25">
      <c r="B12" s="16">
        <f>(C11+('Vacas e Bezerros'!$O$29-(C11*0.64))/0.8)/1000</f>
        <v>1.1219974776110602</v>
      </c>
      <c r="C12" s="17">
        <f>-53.07 + (304.89 * (B12)) + (90.79 *'Vacas e Bezerros'!$O$23) - (3.13 * 'Vacas e Bezerros'!$O$23*'Vacas e Bezerros'!$O$23)</f>
        <v>715.77733851101698</v>
      </c>
      <c r="E12" s="16" t="e">
        <f>(F11+(Crescimento!#REF!-(F11*0.64))/0.8)/1000</f>
        <v>#REF!</v>
      </c>
      <c r="F12" s="17" t="e">
        <f>-53.07 + (304.89 * (E12)) + (90.79 *Crescimento!#REF!) - (3.13 * Crescimento!#REF!*Crescimento!#REF!)</f>
        <v>#REF!</v>
      </c>
      <c r="G12" s="1"/>
      <c r="H12" s="16" t="e">
        <f>(I11+(Crescimento!#REF!-(I11*0.64))/0.8)/1000</f>
        <v>#REF!</v>
      </c>
      <c r="I12" s="17" t="e">
        <f>-53.07 + (304.89 * (H12)) + (90.79 *Crescimento!#REF!) - (3.13 * Crescimento!#REF!*Crescimento!#REF!)</f>
        <v>#REF!</v>
      </c>
      <c r="K12" s="16" t="e">
        <f>(L11+(Crescimento!#REF!-(L11*0.64))/0.8)/1000</f>
        <v>#REF!</v>
      </c>
      <c r="L12" s="17" t="e">
        <f>-53.07 + (304.89 * (K12)) + (90.79 *Crescimento!#REF!) - (3.13 * Crescimento!#REF!*Crescimento!#REF!)</f>
        <v>#REF!</v>
      </c>
      <c r="N12" s="16" t="e">
        <f>(O11+(Crescimento!#REF!-(O11*0.64))/0.8)/1000</f>
        <v>#REF!</v>
      </c>
      <c r="O12" s="17" t="e">
        <f>-53.07 + (304.89 * (N12)) + (90.79 *Crescimento!#REF!) - (3.13 * Crescimento!#REF!*Crescimento!#REF!)</f>
        <v>#REF!</v>
      </c>
      <c r="Q12" s="16" t="e">
        <f>(R11+(Crescimento!#REF!-(R11*0.64))/0.8)/1000</f>
        <v>#REF!</v>
      </c>
      <c r="R12" s="17" t="e">
        <f>-53.07 + (304.89 * (Q12)) + (90.79 *Crescimento!#REF!) - (3.13 * Crescimento!#REF!*Crescimento!#REF!)</f>
        <v>#REF!</v>
      </c>
      <c r="T12" s="16" t="e">
        <f>(U11+(Crescimento!#REF!-(U11*0.64))/0.8)/1000</f>
        <v>#REF!</v>
      </c>
      <c r="U12" s="17" t="e">
        <f>-53.07 + (304.89 * (T12)) + (90.79 *Crescimento!#REF!) - (3.13 * Crescimento!#REF!*Crescimento!#REF!)</f>
        <v>#REF!</v>
      </c>
      <c r="W12" s="16" t="e">
        <f>(X11+(Crescimento!#REF!-(X11*0.64))/0.8)/1000</f>
        <v>#REF!</v>
      </c>
      <c r="X12" s="17" t="e">
        <f>-53.07 + (304.89 * (W12)) + (90.79 *Crescimento!#REF!) - (3.13 * Crescimento!#REF!*Crescimento!#REF!)</f>
        <v>#REF!</v>
      </c>
      <c r="Y12" s="6"/>
      <c r="Z12" s="16" t="e">
        <f>(AA11+(Crescimento!#REF!-(AA11*0.64))/0.8)/1000</f>
        <v>#REF!</v>
      </c>
      <c r="AA12" s="17" t="e">
        <f>-53.07 + (304.89 * (Z12)) + (90.79 *Crescimento!#REF!) - (3.13 * Crescimento!#REF!*Crescimento!#REF!)</f>
        <v>#REF!</v>
      </c>
      <c r="AB12" s="6"/>
      <c r="AC12" s="16" t="e">
        <f>(AD11+(Crescimento!#REF!-(AD11*0.64))/0.8)/1000</f>
        <v>#REF!</v>
      </c>
      <c r="AD12" s="17" t="e">
        <f>-53.07 + (304.89 * (AC12)) + (90.79 *Crescimento!#REF!) - (3.13 * Crescimento!#REF!*Crescimento!#REF!)</f>
        <v>#REF!</v>
      </c>
      <c r="AE12" s="17"/>
      <c r="AF12" s="16" t="e">
        <f>(AG11+(Crescimento!#REF!-(AG11*0.64))/0.8)/1000</f>
        <v>#REF!</v>
      </c>
      <c r="AG12" s="17" t="e">
        <f>-53.07 + (304.89 * (AF12)) + (90.79 *Crescimento!#REF!) - (3.13 * Crescimento!#REF!*Crescimento!#REF!)</f>
        <v>#REF!</v>
      </c>
      <c r="AI12" s="16" t="e">
        <f>(AJ11+(Crescimento!#REF!-(AJ11*0.64))/0.8)/1000</f>
        <v>#REF!</v>
      </c>
      <c r="AJ12" s="17" t="e">
        <f>-53.07 + (304.89 * (AI12)) + (90.79 *Crescimento!#REF!) - (3.13 * Crescimento!#REF!*Crescimento!#REF!)</f>
        <v>#REF!</v>
      </c>
      <c r="AL12" s="16" t="e">
        <f>(AM11+(Crescimento!#REF!-(AM11*0.64))/0.8)/1000</f>
        <v>#REF!</v>
      </c>
      <c r="AM12" s="17" t="e">
        <f>-53.07 + (304.89 * (AL12)) + (90.79 *Crescimento!#REF!) - (3.13 * Crescimento!#REF!*Crescimento!#REF!)</f>
        <v>#REF!</v>
      </c>
      <c r="AO12" s="16" t="e">
        <f>(AP11+(Crescimento!#REF!-(AP11*0.64))/0.8)/1000</f>
        <v>#REF!</v>
      </c>
      <c r="AP12" s="17" t="e">
        <f>-53.07 + (304.89 * (AO12)) + (90.79 *Crescimento!#REF!) - (3.13 * Crescimento!#REF!*Crescimento!#REF!)</f>
        <v>#REF!</v>
      </c>
      <c r="AR12" s="16" t="e">
        <f>(AS11+(Crescimento!#REF!-(AS11*0.64))/0.8)/1000</f>
        <v>#REF!</v>
      </c>
      <c r="AS12" s="17" t="e">
        <f>-53.07 + (304.89 * (AR12)) + (90.79 *Crescimento!#REF!) - (3.13 * Crescimento!#REF!*Crescimento!#REF!)</f>
        <v>#REF!</v>
      </c>
      <c r="AU12" s="16" t="e">
        <f>(AV11+(Crescimento!#REF!-(AV11*0.64))/0.8)/1000</f>
        <v>#REF!</v>
      </c>
      <c r="AV12" s="17" t="e">
        <f>-53.07 + (304.89 * (AU12)) + (90.79 *Crescimento!#REF!) - (3.13 * Crescimento!#REF!*Crescimento!#REF!)</f>
        <v>#REF!</v>
      </c>
      <c r="AX12" s="16" t="e">
        <f>(AY11+(Crescimento!#REF!-(AY11*0.64))/0.8)/1000</f>
        <v>#REF!</v>
      </c>
      <c r="AY12" s="17" t="e">
        <f>-53.07 + (304.89 * (AX12)) + (90.79 *Crescimento!#REF!) - (3.13 * Crescimento!#REF!*Crescimento!#REF!)</f>
        <v>#REF!</v>
      </c>
      <c r="BA12" s="16" t="e">
        <f>(BB11+(Crescimento!#REF!-(BB11*0.64))/0.8)/1000</f>
        <v>#REF!</v>
      </c>
      <c r="BB12" s="17" t="e">
        <f>-53.07 + (304.89 * (BA12)) + (90.79 *Crescimento!#REF!) - (3.13 * Crescimento!#REF!*Crescimento!#REF!)</f>
        <v>#REF!</v>
      </c>
      <c r="BD12" s="16" t="e">
        <f>(BE11+(Crescimento!#REF!-(BE11*0.64))/0.8)/1000</f>
        <v>#REF!</v>
      </c>
      <c r="BE12" s="17" t="e">
        <f>-53.07 + (304.89 * (BD12)) + (90.79 *Crescimento!#REF!) - (3.13 * Crescimento!#REF!*Crescimento!#REF!)</f>
        <v>#REF!</v>
      </c>
      <c r="BG12" s="16" t="e">
        <f>(BH11+(Crescimento!#REF!-(BH11*0.64))/0.8)/1000</f>
        <v>#REF!</v>
      </c>
      <c r="BH12" s="17" t="e">
        <f>-53.07 + (304.89 * (BG12)) + (90.79 *Crescimento!#REF!) - (3.13 * Crescimento!#REF!*Crescimento!#REF!)</f>
        <v>#REF!</v>
      </c>
      <c r="BJ12" s="16" t="e">
        <f>(BK11+(Crescimento!#REF!-(BK11*0.64))/0.8)/1000</f>
        <v>#REF!</v>
      </c>
      <c r="BK12" s="17" t="e">
        <f>-53.07 + (304.89 * (BJ12)) + (90.79 *Crescimento!#REF!) - (3.13 * Crescimento!#REF!*Crescimento!#REF!)</f>
        <v>#REF!</v>
      </c>
      <c r="BM12" s="16" t="e">
        <f>(BN11+(Crescimento!#REF!-(BN11*0.64))/0.8)/1000</f>
        <v>#REF!</v>
      </c>
      <c r="BN12" s="17" t="e">
        <f>-53.07 + (304.89 * (BM12)) + (90.79 *Crescimento!#REF!) - (3.13 * Crescimento!#REF!*Crescimento!#REF!)</f>
        <v>#REF!</v>
      </c>
      <c r="BP12" s="16" t="e">
        <f>(BQ11+(Crescimento!#REF!-(BQ11*0.64))/0.8)/1000</f>
        <v>#REF!</v>
      </c>
      <c r="BQ12" s="17" t="e">
        <f>-53.07 + (304.89 * (BP12)) + (90.79 *Crescimento!#REF!) - (3.13 * Crescimento!#REF!*Crescimento!#REF!)</f>
        <v>#REF!</v>
      </c>
      <c r="BS12" s="16" t="e">
        <f>(BT11+(Crescimento!#REF!-(BT11*0.64))/0.8)/1000</f>
        <v>#REF!</v>
      </c>
      <c r="BT12" s="17" t="e">
        <f>-53.07 + (304.89 * (BS12)) + (90.79 *Crescimento!#REF!) - (3.13 * Crescimento!#REF!*Crescimento!#REF!)</f>
        <v>#REF!</v>
      </c>
      <c r="BV12" s="16" t="e">
        <f>(BW11+(Crescimento!#REF!-(BW11*0.64))/0.8)/1000</f>
        <v>#REF!</v>
      </c>
      <c r="BW12" s="17" t="e">
        <f>-53.07 + (304.89 * (BV12)) + (90.79 *Crescimento!#REF!) - (3.13 * Crescimento!#REF!*Crescimento!#REF!)</f>
        <v>#REF!</v>
      </c>
      <c r="BY12" s="16" t="e">
        <f>(BZ11+(Crescimento!#REF!-(BZ11*0.64))/0.8)/1000</f>
        <v>#REF!</v>
      </c>
      <c r="BZ12" s="17" t="e">
        <f>-53.07 + (304.89 * (BY12)) + (90.79 *Crescimento!#REF!) - (3.13 * Crescimento!#REF!*Crescimento!#REF!)</f>
        <v>#REF!</v>
      </c>
      <c r="CB12" s="16" t="e">
        <f>(CC11+(Crescimento!#REF!-(CC11*0.64))/0.8)/1000</f>
        <v>#REF!</v>
      </c>
      <c r="CC12" s="17" t="e">
        <f>-53.07 + (304.89 * (CB12)) + (90.79 *Crescimento!#REF!) - (3.13 * Crescimento!#REF!*Crescimento!#REF!)</f>
        <v>#REF!</v>
      </c>
      <c r="CE12" s="16" t="e">
        <f>(CF11+(Crescimento!#REF!-(CF11*0.64))/0.8)/1000</f>
        <v>#REF!</v>
      </c>
      <c r="CF12" s="17" t="e">
        <f>-53.07 + (304.89 * (CE12)) + (90.79 *Crescimento!#REF!) - (3.13 * Crescimento!#REF!*Crescimento!#REF!)</f>
        <v>#REF!</v>
      </c>
      <c r="CH12" s="16" t="e">
        <f>(CI11+(Crescimento!#REF!-(CI11*0.64))/0.8)/1000</f>
        <v>#REF!</v>
      </c>
      <c r="CI12" s="17" t="e">
        <f>-53.07 + (304.89 * (CH12)) + (90.79 *Crescimento!#REF!) - (3.13 * Crescimento!#REF!*Crescimento!#REF!)</f>
        <v>#REF!</v>
      </c>
      <c r="CK12" s="16" t="e">
        <f>(CL11+(Crescimento!#REF!-(CL11*0.64))/0.8)/1000</f>
        <v>#REF!</v>
      </c>
      <c r="CL12" s="17" t="e">
        <f>-53.07 + (304.89 * (CK12)) + (90.79 *Crescimento!#REF!) - (3.13 * Crescimento!#REF!*Crescimento!#REF!)</f>
        <v>#REF!</v>
      </c>
    </row>
    <row r="13" spans="1:90" ht="15" customHeight="1" x14ac:dyDescent="0.25">
      <c r="B13" s="16">
        <f>(C12+('Vacas e Bezerros'!$O$29-(C12*0.64))/0.8)/1000</f>
        <v>1.1219974776113348</v>
      </c>
      <c r="C13" s="17">
        <f>-53.07 + (304.89 * (B13)) + (90.79 *'Vacas e Bezerros'!$O$23) - (3.13 * 'Vacas e Bezerros'!$O$23*'Vacas e Bezerros'!$O$23)</f>
        <v>715.77733851110077</v>
      </c>
      <c r="E13" s="16" t="e">
        <f>(F12+(Crescimento!#REF!-(F12*0.64))/0.8)/1000</f>
        <v>#REF!</v>
      </c>
      <c r="F13" s="17" t="e">
        <f>-53.07 + (304.89 * (E13)) + (90.79 *Crescimento!#REF!) - (3.13 * Crescimento!#REF!*Crescimento!#REF!)</f>
        <v>#REF!</v>
      </c>
      <c r="G13" s="1"/>
      <c r="H13" s="16" t="e">
        <f>(I12+(Crescimento!#REF!-(I12*0.64))/0.8)/1000</f>
        <v>#REF!</v>
      </c>
      <c r="I13" s="17" t="e">
        <f>-53.07 + (304.89 * (H13)) + (90.79 *Crescimento!#REF!) - (3.13 * Crescimento!#REF!*Crescimento!#REF!)</f>
        <v>#REF!</v>
      </c>
      <c r="K13" s="16" t="e">
        <f>(L12+(Crescimento!#REF!-(L12*0.64))/0.8)/1000</f>
        <v>#REF!</v>
      </c>
      <c r="L13" s="17" t="e">
        <f>-53.07 + (304.89 * (K13)) + (90.79 *Crescimento!#REF!) - (3.13 * Crescimento!#REF!*Crescimento!#REF!)</f>
        <v>#REF!</v>
      </c>
      <c r="N13" s="16" t="e">
        <f>(O12+(Crescimento!#REF!-(O12*0.64))/0.8)/1000</f>
        <v>#REF!</v>
      </c>
      <c r="O13" s="17" t="e">
        <f>-53.07 + (304.89 * (N13)) + (90.79 *Crescimento!#REF!) - (3.13 * Crescimento!#REF!*Crescimento!#REF!)</f>
        <v>#REF!</v>
      </c>
      <c r="Q13" s="16" t="e">
        <f>(R12+(Crescimento!#REF!-(R12*0.64))/0.8)/1000</f>
        <v>#REF!</v>
      </c>
      <c r="R13" s="17" t="e">
        <f>-53.07 + (304.89 * (Q13)) + (90.79 *Crescimento!#REF!) - (3.13 * Crescimento!#REF!*Crescimento!#REF!)</f>
        <v>#REF!</v>
      </c>
      <c r="T13" s="16" t="e">
        <f>(U12+(Crescimento!#REF!-(U12*0.64))/0.8)/1000</f>
        <v>#REF!</v>
      </c>
      <c r="U13" s="17" t="e">
        <f>-53.07 + (304.89 * (T13)) + (90.79 *Crescimento!#REF!) - (3.13 * Crescimento!#REF!*Crescimento!#REF!)</f>
        <v>#REF!</v>
      </c>
      <c r="W13" s="16" t="e">
        <f>(X12+(Crescimento!#REF!-(X12*0.64))/0.8)/1000</f>
        <v>#REF!</v>
      </c>
      <c r="X13" s="17" t="e">
        <f>-53.07 + (304.89 * (W13)) + (90.79 *Crescimento!#REF!) - (3.13 * Crescimento!#REF!*Crescimento!#REF!)</f>
        <v>#REF!</v>
      </c>
      <c r="Y13" s="6"/>
      <c r="Z13" s="16" t="e">
        <f>(AA12+(Crescimento!#REF!-(AA12*0.64))/0.8)/1000</f>
        <v>#REF!</v>
      </c>
      <c r="AA13" s="17" t="e">
        <f>-53.07 + (304.89 * (Z13)) + (90.79 *Crescimento!#REF!) - (3.13 * Crescimento!#REF!*Crescimento!#REF!)</f>
        <v>#REF!</v>
      </c>
      <c r="AB13" s="6"/>
      <c r="AC13" s="16" t="e">
        <f>(AD12+(Crescimento!#REF!-(AD12*0.64))/0.8)/1000</f>
        <v>#REF!</v>
      </c>
      <c r="AD13" s="17" t="e">
        <f>-53.07 + (304.89 * (AC13)) + (90.79 *Crescimento!#REF!) - (3.13 * Crescimento!#REF!*Crescimento!#REF!)</f>
        <v>#REF!</v>
      </c>
      <c r="AE13" s="17"/>
      <c r="AF13" s="16" t="e">
        <f>(AG12+(Crescimento!#REF!-(AG12*0.64))/0.8)/1000</f>
        <v>#REF!</v>
      </c>
      <c r="AG13" s="17" t="e">
        <f>-53.07 + (304.89 * (AF13)) + (90.79 *Crescimento!#REF!) - (3.13 * Crescimento!#REF!*Crescimento!#REF!)</f>
        <v>#REF!</v>
      </c>
      <c r="AI13" s="16" t="e">
        <f>(AJ12+(Crescimento!#REF!-(AJ12*0.64))/0.8)/1000</f>
        <v>#REF!</v>
      </c>
      <c r="AJ13" s="17" t="e">
        <f>-53.07 + (304.89 * (AI13)) + (90.79 *Crescimento!#REF!) - (3.13 * Crescimento!#REF!*Crescimento!#REF!)</f>
        <v>#REF!</v>
      </c>
      <c r="AL13" s="16" t="e">
        <f>(AM12+(Crescimento!#REF!-(AM12*0.64))/0.8)/1000</f>
        <v>#REF!</v>
      </c>
      <c r="AM13" s="17" t="e">
        <f>-53.07 + (304.89 * (AL13)) + (90.79 *Crescimento!#REF!) - (3.13 * Crescimento!#REF!*Crescimento!#REF!)</f>
        <v>#REF!</v>
      </c>
      <c r="AO13" s="16" t="e">
        <f>(AP12+(Crescimento!#REF!-(AP12*0.64))/0.8)/1000</f>
        <v>#REF!</v>
      </c>
      <c r="AP13" s="17" t="e">
        <f>-53.07 + (304.89 * (AO13)) + (90.79 *Crescimento!#REF!) - (3.13 * Crescimento!#REF!*Crescimento!#REF!)</f>
        <v>#REF!</v>
      </c>
      <c r="AR13" s="16" t="e">
        <f>(AS12+(Crescimento!#REF!-(AS12*0.64))/0.8)/1000</f>
        <v>#REF!</v>
      </c>
      <c r="AS13" s="17" t="e">
        <f>-53.07 + (304.89 * (AR13)) + (90.79 *Crescimento!#REF!) - (3.13 * Crescimento!#REF!*Crescimento!#REF!)</f>
        <v>#REF!</v>
      </c>
      <c r="AU13" s="16" t="e">
        <f>(AV12+(Crescimento!#REF!-(AV12*0.64))/0.8)/1000</f>
        <v>#REF!</v>
      </c>
      <c r="AV13" s="17" t="e">
        <f>-53.07 + (304.89 * (AU13)) + (90.79 *Crescimento!#REF!) - (3.13 * Crescimento!#REF!*Crescimento!#REF!)</f>
        <v>#REF!</v>
      </c>
      <c r="AX13" s="16" t="e">
        <f>(AY12+(Crescimento!#REF!-(AY12*0.64))/0.8)/1000</f>
        <v>#REF!</v>
      </c>
      <c r="AY13" s="17" t="e">
        <f>-53.07 + (304.89 * (AX13)) + (90.79 *Crescimento!#REF!) - (3.13 * Crescimento!#REF!*Crescimento!#REF!)</f>
        <v>#REF!</v>
      </c>
      <c r="BA13" s="16" t="e">
        <f>(BB12+(Crescimento!#REF!-(BB12*0.64))/0.8)/1000</f>
        <v>#REF!</v>
      </c>
      <c r="BB13" s="17" t="e">
        <f>-53.07 + (304.89 * (BA13)) + (90.79 *Crescimento!#REF!) - (3.13 * Crescimento!#REF!*Crescimento!#REF!)</f>
        <v>#REF!</v>
      </c>
      <c r="BD13" s="16" t="e">
        <f>(BE12+(Crescimento!#REF!-(BE12*0.64))/0.8)/1000</f>
        <v>#REF!</v>
      </c>
      <c r="BE13" s="17" t="e">
        <f>-53.07 + (304.89 * (BD13)) + (90.79 *Crescimento!#REF!) - (3.13 * Crescimento!#REF!*Crescimento!#REF!)</f>
        <v>#REF!</v>
      </c>
      <c r="BG13" s="16" t="e">
        <f>(BH12+(Crescimento!#REF!-(BH12*0.64))/0.8)/1000</f>
        <v>#REF!</v>
      </c>
      <c r="BH13" s="17" t="e">
        <f>-53.07 + (304.89 * (BG13)) + (90.79 *Crescimento!#REF!) - (3.13 * Crescimento!#REF!*Crescimento!#REF!)</f>
        <v>#REF!</v>
      </c>
      <c r="BJ13" s="16" t="e">
        <f>(BK12+(Crescimento!#REF!-(BK12*0.64))/0.8)/1000</f>
        <v>#REF!</v>
      </c>
      <c r="BK13" s="17" t="e">
        <f>-53.07 + (304.89 * (BJ13)) + (90.79 *Crescimento!#REF!) - (3.13 * Crescimento!#REF!*Crescimento!#REF!)</f>
        <v>#REF!</v>
      </c>
      <c r="BM13" s="16" t="e">
        <f>(BN12+(Crescimento!#REF!-(BN12*0.64))/0.8)/1000</f>
        <v>#REF!</v>
      </c>
      <c r="BN13" s="17" t="e">
        <f>-53.07 + (304.89 * (BM13)) + (90.79 *Crescimento!#REF!) - (3.13 * Crescimento!#REF!*Crescimento!#REF!)</f>
        <v>#REF!</v>
      </c>
      <c r="BP13" s="16" t="e">
        <f>(BQ12+(Crescimento!#REF!-(BQ12*0.64))/0.8)/1000</f>
        <v>#REF!</v>
      </c>
      <c r="BQ13" s="17" t="e">
        <f>-53.07 + (304.89 * (BP13)) + (90.79 *Crescimento!#REF!) - (3.13 * Crescimento!#REF!*Crescimento!#REF!)</f>
        <v>#REF!</v>
      </c>
      <c r="BS13" s="16" t="e">
        <f>(BT12+(Crescimento!#REF!-(BT12*0.64))/0.8)/1000</f>
        <v>#REF!</v>
      </c>
      <c r="BT13" s="17" t="e">
        <f>-53.07 + (304.89 * (BS13)) + (90.79 *Crescimento!#REF!) - (3.13 * Crescimento!#REF!*Crescimento!#REF!)</f>
        <v>#REF!</v>
      </c>
      <c r="BV13" s="16" t="e">
        <f>(BW12+(Crescimento!#REF!-(BW12*0.64))/0.8)/1000</f>
        <v>#REF!</v>
      </c>
      <c r="BW13" s="17" t="e">
        <f>-53.07 + (304.89 * (BV13)) + (90.79 *Crescimento!#REF!) - (3.13 * Crescimento!#REF!*Crescimento!#REF!)</f>
        <v>#REF!</v>
      </c>
      <c r="BY13" s="16" t="e">
        <f>(BZ12+(Crescimento!#REF!-(BZ12*0.64))/0.8)/1000</f>
        <v>#REF!</v>
      </c>
      <c r="BZ13" s="17" t="e">
        <f>-53.07 + (304.89 * (BY13)) + (90.79 *Crescimento!#REF!) - (3.13 * Crescimento!#REF!*Crescimento!#REF!)</f>
        <v>#REF!</v>
      </c>
      <c r="CB13" s="16" t="e">
        <f>(CC12+(Crescimento!#REF!-(CC12*0.64))/0.8)/1000</f>
        <v>#REF!</v>
      </c>
      <c r="CC13" s="17" t="e">
        <f>-53.07 + (304.89 * (CB13)) + (90.79 *Crescimento!#REF!) - (3.13 * Crescimento!#REF!*Crescimento!#REF!)</f>
        <v>#REF!</v>
      </c>
      <c r="CE13" s="16" t="e">
        <f>(CF12+(Crescimento!#REF!-(CF12*0.64))/0.8)/1000</f>
        <v>#REF!</v>
      </c>
      <c r="CF13" s="17" t="e">
        <f>-53.07 + (304.89 * (CE13)) + (90.79 *Crescimento!#REF!) - (3.13 * Crescimento!#REF!*Crescimento!#REF!)</f>
        <v>#REF!</v>
      </c>
      <c r="CH13" s="16" t="e">
        <f>(CI12+(Crescimento!#REF!-(CI12*0.64))/0.8)/1000</f>
        <v>#REF!</v>
      </c>
      <c r="CI13" s="17" t="e">
        <f>-53.07 + (304.89 * (CH13)) + (90.79 *Crescimento!#REF!) - (3.13 * Crescimento!#REF!*Crescimento!#REF!)</f>
        <v>#REF!</v>
      </c>
      <c r="CK13" s="16" t="e">
        <f>(CL12+(Crescimento!#REF!-(CL12*0.64))/0.8)/1000</f>
        <v>#REF!</v>
      </c>
      <c r="CL13" s="17" t="e">
        <f>-53.07 + (304.89 * (CK13)) + (90.79 *Crescimento!#REF!) - (3.13 * Crescimento!#REF!*Crescimento!#REF!)</f>
        <v>#REF!</v>
      </c>
    </row>
    <row r="14" spans="1:90" ht="15" customHeight="1" x14ac:dyDescent="0.25">
      <c r="B14" s="16">
        <f>(C13+('Vacas e Bezerros'!$O$29-(C13*0.64))/0.8)/1000</f>
        <v>1.1219974776113517</v>
      </c>
      <c r="C14" s="17">
        <f>-53.07 + (304.89 * (B14)) + (90.79 *'Vacas e Bezerros'!$O$23) - (3.13 * 'Vacas e Bezerros'!$O$23*'Vacas e Bezerros'!$O$23)</f>
        <v>715.77733851110588</v>
      </c>
      <c r="E14" s="16" t="e">
        <f>(F13+(Crescimento!#REF!-(F13*0.64))/0.8)/1000</f>
        <v>#REF!</v>
      </c>
      <c r="F14" s="17" t="e">
        <f>-53.07 + (304.89 * (E14)) + (90.79 *Crescimento!#REF!) - (3.13 * Crescimento!#REF!*Crescimento!#REF!)</f>
        <v>#REF!</v>
      </c>
      <c r="G14" s="1"/>
      <c r="H14" s="16" t="e">
        <f>(I13+(Crescimento!#REF!-(I13*0.64))/0.8)/1000</f>
        <v>#REF!</v>
      </c>
      <c r="I14" s="17" t="e">
        <f>-53.07 + (304.89 * (H14)) + (90.79 *Crescimento!#REF!) - (3.13 * Crescimento!#REF!*Crescimento!#REF!)</f>
        <v>#REF!</v>
      </c>
      <c r="K14" s="16" t="e">
        <f>(L13+(Crescimento!#REF!-(L13*0.64))/0.8)/1000</f>
        <v>#REF!</v>
      </c>
      <c r="L14" s="17" t="e">
        <f>-53.07 + (304.89 * (K14)) + (90.79 *Crescimento!#REF!) - (3.13 * Crescimento!#REF!*Crescimento!#REF!)</f>
        <v>#REF!</v>
      </c>
      <c r="N14" s="16" t="e">
        <f>(O13+(Crescimento!#REF!-(O13*0.64))/0.8)/1000</f>
        <v>#REF!</v>
      </c>
      <c r="O14" s="17" t="e">
        <f>-53.07 + (304.89 * (N14)) + (90.79 *Crescimento!#REF!) - (3.13 * Crescimento!#REF!*Crescimento!#REF!)</f>
        <v>#REF!</v>
      </c>
      <c r="Q14" s="16" t="e">
        <f>(R13+(Crescimento!#REF!-(R13*0.64))/0.8)/1000</f>
        <v>#REF!</v>
      </c>
      <c r="R14" s="17" t="e">
        <f>-53.07 + (304.89 * (Q14)) + (90.79 *Crescimento!#REF!) - (3.13 * Crescimento!#REF!*Crescimento!#REF!)</f>
        <v>#REF!</v>
      </c>
      <c r="T14" s="16" t="e">
        <f>(U13+(Crescimento!#REF!-(U13*0.64))/0.8)/1000</f>
        <v>#REF!</v>
      </c>
      <c r="U14" s="17" t="e">
        <f>-53.07 + (304.89 * (T14)) + (90.79 *Crescimento!#REF!) - (3.13 * Crescimento!#REF!*Crescimento!#REF!)</f>
        <v>#REF!</v>
      </c>
      <c r="W14" s="16" t="e">
        <f>(X13+(Crescimento!#REF!-(X13*0.64))/0.8)/1000</f>
        <v>#REF!</v>
      </c>
      <c r="X14" s="17" t="e">
        <f>-53.07 + (304.89 * (W14)) + (90.79 *Crescimento!#REF!) - (3.13 * Crescimento!#REF!*Crescimento!#REF!)</f>
        <v>#REF!</v>
      </c>
      <c r="Y14" s="6"/>
      <c r="Z14" s="16" t="e">
        <f>(AA13+(Crescimento!#REF!-(AA13*0.64))/0.8)/1000</f>
        <v>#REF!</v>
      </c>
      <c r="AA14" s="17" t="e">
        <f>-53.07 + (304.89 * (Z14)) + (90.79 *Crescimento!#REF!) - (3.13 * Crescimento!#REF!*Crescimento!#REF!)</f>
        <v>#REF!</v>
      </c>
      <c r="AB14" s="6"/>
      <c r="AC14" s="16" t="e">
        <f>(AD13+(Crescimento!#REF!-(AD13*0.64))/0.8)/1000</f>
        <v>#REF!</v>
      </c>
      <c r="AD14" s="17" t="e">
        <f>-53.07 + (304.89 * (AC14)) + (90.79 *Crescimento!#REF!) - (3.13 * Crescimento!#REF!*Crescimento!#REF!)</f>
        <v>#REF!</v>
      </c>
      <c r="AE14" s="17"/>
      <c r="AF14" s="16" t="e">
        <f>(AG13+(Crescimento!#REF!-(AG13*0.64))/0.8)/1000</f>
        <v>#REF!</v>
      </c>
      <c r="AG14" s="17" t="e">
        <f>-53.07 + (304.89 * (AF14)) + (90.79 *Crescimento!#REF!) - (3.13 * Crescimento!#REF!*Crescimento!#REF!)</f>
        <v>#REF!</v>
      </c>
      <c r="AI14" s="16" t="e">
        <f>(AJ13+(Crescimento!#REF!-(AJ13*0.64))/0.8)/1000</f>
        <v>#REF!</v>
      </c>
      <c r="AJ14" s="17" t="e">
        <f>-53.07 + (304.89 * (AI14)) + (90.79 *Crescimento!#REF!) - (3.13 * Crescimento!#REF!*Crescimento!#REF!)</f>
        <v>#REF!</v>
      </c>
      <c r="AL14" s="16" t="e">
        <f>(AM13+(Crescimento!#REF!-(AM13*0.64))/0.8)/1000</f>
        <v>#REF!</v>
      </c>
      <c r="AM14" s="17" t="e">
        <f>-53.07 + (304.89 * (AL14)) + (90.79 *Crescimento!#REF!) - (3.13 * Crescimento!#REF!*Crescimento!#REF!)</f>
        <v>#REF!</v>
      </c>
      <c r="AO14" s="16" t="e">
        <f>(AP13+(Crescimento!#REF!-(AP13*0.64))/0.8)/1000</f>
        <v>#REF!</v>
      </c>
      <c r="AP14" s="17" t="e">
        <f>-53.07 + (304.89 * (AO14)) + (90.79 *Crescimento!#REF!) - (3.13 * Crescimento!#REF!*Crescimento!#REF!)</f>
        <v>#REF!</v>
      </c>
      <c r="AR14" s="16" t="e">
        <f>(AS13+(Crescimento!#REF!-(AS13*0.64))/0.8)/1000</f>
        <v>#REF!</v>
      </c>
      <c r="AS14" s="17" t="e">
        <f>-53.07 + (304.89 * (AR14)) + (90.79 *Crescimento!#REF!) - (3.13 * Crescimento!#REF!*Crescimento!#REF!)</f>
        <v>#REF!</v>
      </c>
      <c r="AU14" s="16" t="e">
        <f>(AV13+(Crescimento!#REF!-(AV13*0.64))/0.8)/1000</f>
        <v>#REF!</v>
      </c>
      <c r="AV14" s="17" t="e">
        <f>-53.07 + (304.89 * (AU14)) + (90.79 *Crescimento!#REF!) - (3.13 * Crescimento!#REF!*Crescimento!#REF!)</f>
        <v>#REF!</v>
      </c>
      <c r="AX14" s="16" t="e">
        <f>(AY13+(Crescimento!#REF!-(AY13*0.64))/0.8)/1000</f>
        <v>#REF!</v>
      </c>
      <c r="AY14" s="17" t="e">
        <f>-53.07 + (304.89 * (AX14)) + (90.79 *Crescimento!#REF!) - (3.13 * Crescimento!#REF!*Crescimento!#REF!)</f>
        <v>#REF!</v>
      </c>
      <c r="BA14" s="16" t="e">
        <f>(BB13+(Crescimento!#REF!-(BB13*0.64))/0.8)/1000</f>
        <v>#REF!</v>
      </c>
      <c r="BB14" s="17" t="e">
        <f>-53.07 + (304.89 * (BA14)) + (90.79 *Crescimento!#REF!) - (3.13 * Crescimento!#REF!*Crescimento!#REF!)</f>
        <v>#REF!</v>
      </c>
      <c r="BD14" s="16" t="e">
        <f>(BE13+(Crescimento!#REF!-(BE13*0.64))/0.8)/1000</f>
        <v>#REF!</v>
      </c>
      <c r="BE14" s="17" t="e">
        <f>-53.07 + (304.89 * (BD14)) + (90.79 *Crescimento!#REF!) - (3.13 * Crescimento!#REF!*Crescimento!#REF!)</f>
        <v>#REF!</v>
      </c>
      <c r="BG14" s="16" t="e">
        <f>(BH13+(Crescimento!#REF!-(BH13*0.64))/0.8)/1000</f>
        <v>#REF!</v>
      </c>
      <c r="BH14" s="17" t="e">
        <f>-53.07 + (304.89 * (BG14)) + (90.79 *Crescimento!#REF!) - (3.13 * Crescimento!#REF!*Crescimento!#REF!)</f>
        <v>#REF!</v>
      </c>
      <c r="BJ14" s="16" t="e">
        <f>(BK13+(Crescimento!#REF!-(BK13*0.64))/0.8)/1000</f>
        <v>#REF!</v>
      </c>
      <c r="BK14" s="17" t="e">
        <f>-53.07 + (304.89 * (BJ14)) + (90.79 *Crescimento!#REF!) - (3.13 * Crescimento!#REF!*Crescimento!#REF!)</f>
        <v>#REF!</v>
      </c>
      <c r="BM14" s="16" t="e">
        <f>(BN13+(Crescimento!#REF!-(BN13*0.64))/0.8)/1000</f>
        <v>#REF!</v>
      </c>
      <c r="BN14" s="17" t="e">
        <f>-53.07 + (304.89 * (BM14)) + (90.79 *Crescimento!#REF!) - (3.13 * Crescimento!#REF!*Crescimento!#REF!)</f>
        <v>#REF!</v>
      </c>
      <c r="BP14" s="16" t="e">
        <f>(BQ13+(Crescimento!#REF!-(BQ13*0.64))/0.8)/1000</f>
        <v>#REF!</v>
      </c>
      <c r="BQ14" s="17" t="e">
        <f>-53.07 + (304.89 * (BP14)) + (90.79 *Crescimento!#REF!) - (3.13 * Crescimento!#REF!*Crescimento!#REF!)</f>
        <v>#REF!</v>
      </c>
      <c r="BS14" s="16" t="e">
        <f>(BT13+(Crescimento!#REF!-(BT13*0.64))/0.8)/1000</f>
        <v>#REF!</v>
      </c>
      <c r="BT14" s="17" t="e">
        <f>-53.07 + (304.89 * (BS14)) + (90.79 *Crescimento!#REF!) - (3.13 * Crescimento!#REF!*Crescimento!#REF!)</f>
        <v>#REF!</v>
      </c>
      <c r="BV14" s="16" t="e">
        <f>(BW13+(Crescimento!#REF!-(BW13*0.64))/0.8)/1000</f>
        <v>#REF!</v>
      </c>
      <c r="BW14" s="17" t="e">
        <f>-53.07 + (304.89 * (BV14)) + (90.79 *Crescimento!#REF!) - (3.13 * Crescimento!#REF!*Crescimento!#REF!)</f>
        <v>#REF!</v>
      </c>
      <c r="BY14" s="16" t="e">
        <f>(BZ13+(Crescimento!#REF!-(BZ13*0.64))/0.8)/1000</f>
        <v>#REF!</v>
      </c>
      <c r="BZ14" s="17" t="e">
        <f>-53.07 + (304.89 * (BY14)) + (90.79 *Crescimento!#REF!) - (3.13 * Crescimento!#REF!*Crescimento!#REF!)</f>
        <v>#REF!</v>
      </c>
      <c r="CB14" s="16" t="e">
        <f>(CC13+(Crescimento!#REF!-(CC13*0.64))/0.8)/1000</f>
        <v>#REF!</v>
      </c>
      <c r="CC14" s="17" t="e">
        <f>-53.07 + (304.89 * (CB14)) + (90.79 *Crescimento!#REF!) - (3.13 * Crescimento!#REF!*Crescimento!#REF!)</f>
        <v>#REF!</v>
      </c>
      <c r="CE14" s="16" t="e">
        <f>(CF13+(Crescimento!#REF!-(CF13*0.64))/0.8)/1000</f>
        <v>#REF!</v>
      </c>
      <c r="CF14" s="17" t="e">
        <f>-53.07 + (304.89 * (CE14)) + (90.79 *Crescimento!#REF!) - (3.13 * Crescimento!#REF!*Crescimento!#REF!)</f>
        <v>#REF!</v>
      </c>
      <c r="CH14" s="16" t="e">
        <f>(CI13+(Crescimento!#REF!-(CI13*0.64))/0.8)/1000</f>
        <v>#REF!</v>
      </c>
      <c r="CI14" s="17" t="e">
        <f>-53.07 + (304.89 * (CH14)) + (90.79 *Crescimento!#REF!) - (3.13 * Crescimento!#REF!*Crescimento!#REF!)</f>
        <v>#REF!</v>
      </c>
      <c r="CK14" s="16" t="e">
        <f>(CL13+(Crescimento!#REF!-(CL13*0.64))/0.8)/1000</f>
        <v>#REF!</v>
      </c>
      <c r="CL14" s="17" t="e">
        <f>-53.07 + (304.89 * (CK14)) + (90.79 *Crescimento!#REF!) - (3.13 * Crescimento!#REF!*Crescimento!#REF!)</f>
        <v>#REF!</v>
      </c>
    </row>
    <row r="15" spans="1:90" ht="15" customHeight="1" x14ac:dyDescent="0.25">
      <c r="B15" s="16">
        <f>(C14+('Vacas e Bezerros'!$O$29-(C14*0.64))/0.8)/1000</f>
        <v>1.1219974776113528</v>
      </c>
      <c r="C15" s="17">
        <f>-53.07 + (304.89 * (B15)) + (90.79 *'Vacas e Bezerros'!$O$23) - (3.13 * 'Vacas e Bezerros'!$O$23*'Vacas e Bezerros'!$O$23)</f>
        <v>715.77733851110622</v>
      </c>
      <c r="E15" s="16" t="e">
        <f>(F14+(Crescimento!#REF!-(F14*0.64))/0.8)/1000</f>
        <v>#REF!</v>
      </c>
      <c r="F15" s="17" t="e">
        <f>-53.07 + (304.89 * (E15)) + (90.79 *Crescimento!#REF!) - (3.13 * Crescimento!#REF!*Crescimento!#REF!)</f>
        <v>#REF!</v>
      </c>
      <c r="G15" s="1"/>
      <c r="H15" s="16" t="e">
        <f>(I14+(Crescimento!#REF!-(I14*0.64))/0.8)/1000</f>
        <v>#REF!</v>
      </c>
      <c r="I15" s="17" t="e">
        <f>-53.07 + (304.89 * (H15)) + (90.79 *Crescimento!#REF!) - (3.13 * Crescimento!#REF!*Crescimento!#REF!)</f>
        <v>#REF!</v>
      </c>
      <c r="K15" s="16" t="e">
        <f>(L14+(Crescimento!#REF!-(L14*0.64))/0.8)/1000</f>
        <v>#REF!</v>
      </c>
      <c r="L15" s="17" t="e">
        <f>-53.07 + (304.89 * (K15)) + (90.79 *Crescimento!#REF!) - (3.13 * Crescimento!#REF!*Crescimento!#REF!)</f>
        <v>#REF!</v>
      </c>
      <c r="N15" s="16" t="e">
        <f>(O14+(Crescimento!#REF!-(O14*0.64))/0.8)/1000</f>
        <v>#REF!</v>
      </c>
      <c r="O15" s="17" t="e">
        <f>-53.07 + (304.89 * (N15)) + (90.79 *Crescimento!#REF!) - (3.13 * Crescimento!#REF!*Crescimento!#REF!)</f>
        <v>#REF!</v>
      </c>
      <c r="Q15" s="16" t="e">
        <f>(R14+(Crescimento!#REF!-(R14*0.64))/0.8)/1000</f>
        <v>#REF!</v>
      </c>
      <c r="R15" s="17" t="e">
        <f>-53.07 + (304.89 * (Q15)) + (90.79 *Crescimento!#REF!) - (3.13 * Crescimento!#REF!*Crescimento!#REF!)</f>
        <v>#REF!</v>
      </c>
      <c r="T15" s="16" t="e">
        <f>(U14+(Crescimento!#REF!-(U14*0.64))/0.8)/1000</f>
        <v>#REF!</v>
      </c>
      <c r="U15" s="17" t="e">
        <f>-53.07 + (304.89 * (T15)) + (90.79 *Crescimento!#REF!) - (3.13 * Crescimento!#REF!*Crescimento!#REF!)</f>
        <v>#REF!</v>
      </c>
      <c r="W15" s="16" t="e">
        <f>(X14+(Crescimento!#REF!-(X14*0.64))/0.8)/1000</f>
        <v>#REF!</v>
      </c>
      <c r="X15" s="17" t="e">
        <f>-53.07 + (304.89 * (W15)) + (90.79 *Crescimento!#REF!) - (3.13 * Crescimento!#REF!*Crescimento!#REF!)</f>
        <v>#REF!</v>
      </c>
      <c r="Y15" s="6"/>
      <c r="Z15" s="16" t="e">
        <f>(AA14+(Crescimento!#REF!-(AA14*0.64))/0.8)/1000</f>
        <v>#REF!</v>
      </c>
      <c r="AA15" s="17" t="e">
        <f>-53.07 + (304.89 * (Z15)) + (90.79 *Crescimento!#REF!) - (3.13 * Crescimento!#REF!*Crescimento!#REF!)</f>
        <v>#REF!</v>
      </c>
      <c r="AB15" s="6"/>
      <c r="AC15" s="16" t="e">
        <f>(AD14+(Crescimento!#REF!-(AD14*0.64))/0.8)/1000</f>
        <v>#REF!</v>
      </c>
      <c r="AD15" s="17" t="e">
        <f>-53.07 + (304.89 * (AC15)) + (90.79 *Crescimento!#REF!) - (3.13 * Crescimento!#REF!*Crescimento!#REF!)</f>
        <v>#REF!</v>
      </c>
      <c r="AE15" s="17"/>
      <c r="AF15" s="16" t="e">
        <f>(AG14+(Crescimento!#REF!-(AG14*0.64))/0.8)/1000</f>
        <v>#REF!</v>
      </c>
      <c r="AG15" s="17" t="e">
        <f>-53.07 + (304.89 * (AF15)) + (90.79 *Crescimento!#REF!) - (3.13 * Crescimento!#REF!*Crescimento!#REF!)</f>
        <v>#REF!</v>
      </c>
      <c r="AI15" s="16" t="e">
        <f>(AJ14+(Crescimento!#REF!-(AJ14*0.64))/0.8)/1000</f>
        <v>#REF!</v>
      </c>
      <c r="AJ15" s="17" t="e">
        <f>-53.07 + (304.89 * (AI15)) + (90.79 *Crescimento!#REF!) - (3.13 * Crescimento!#REF!*Crescimento!#REF!)</f>
        <v>#REF!</v>
      </c>
      <c r="AL15" s="16" t="e">
        <f>(AM14+(Crescimento!#REF!-(AM14*0.64))/0.8)/1000</f>
        <v>#REF!</v>
      </c>
      <c r="AM15" s="17" t="e">
        <f>-53.07 + (304.89 * (AL15)) + (90.79 *Crescimento!#REF!) - (3.13 * Crescimento!#REF!*Crescimento!#REF!)</f>
        <v>#REF!</v>
      </c>
      <c r="AO15" s="16" t="e">
        <f>(AP14+(Crescimento!#REF!-(AP14*0.64))/0.8)/1000</f>
        <v>#REF!</v>
      </c>
      <c r="AP15" s="17" t="e">
        <f>-53.07 + (304.89 * (AO15)) + (90.79 *Crescimento!#REF!) - (3.13 * Crescimento!#REF!*Crescimento!#REF!)</f>
        <v>#REF!</v>
      </c>
      <c r="AR15" s="16" t="e">
        <f>(AS14+(Crescimento!#REF!-(AS14*0.64))/0.8)/1000</f>
        <v>#REF!</v>
      </c>
      <c r="AS15" s="17" t="e">
        <f>-53.07 + (304.89 * (AR15)) + (90.79 *Crescimento!#REF!) - (3.13 * Crescimento!#REF!*Crescimento!#REF!)</f>
        <v>#REF!</v>
      </c>
      <c r="AU15" s="16" t="e">
        <f>(AV14+(Crescimento!#REF!-(AV14*0.64))/0.8)/1000</f>
        <v>#REF!</v>
      </c>
      <c r="AV15" s="17" t="e">
        <f>-53.07 + (304.89 * (AU15)) + (90.79 *Crescimento!#REF!) - (3.13 * Crescimento!#REF!*Crescimento!#REF!)</f>
        <v>#REF!</v>
      </c>
      <c r="AX15" s="16" t="e">
        <f>(AY14+(Crescimento!#REF!-(AY14*0.64))/0.8)/1000</f>
        <v>#REF!</v>
      </c>
      <c r="AY15" s="17" t="e">
        <f>-53.07 + (304.89 * (AX15)) + (90.79 *Crescimento!#REF!) - (3.13 * Crescimento!#REF!*Crescimento!#REF!)</f>
        <v>#REF!</v>
      </c>
      <c r="BA15" s="16" t="e">
        <f>(BB14+(Crescimento!#REF!-(BB14*0.64))/0.8)/1000</f>
        <v>#REF!</v>
      </c>
      <c r="BB15" s="17" t="e">
        <f>-53.07 + (304.89 * (BA15)) + (90.79 *Crescimento!#REF!) - (3.13 * Crescimento!#REF!*Crescimento!#REF!)</f>
        <v>#REF!</v>
      </c>
      <c r="BD15" s="16" t="e">
        <f>(BE14+(Crescimento!#REF!-(BE14*0.64))/0.8)/1000</f>
        <v>#REF!</v>
      </c>
      <c r="BE15" s="17" t="e">
        <f>-53.07 + (304.89 * (BD15)) + (90.79 *Crescimento!#REF!) - (3.13 * Crescimento!#REF!*Crescimento!#REF!)</f>
        <v>#REF!</v>
      </c>
      <c r="BG15" s="16" t="e">
        <f>(BH14+(Crescimento!#REF!-(BH14*0.64))/0.8)/1000</f>
        <v>#REF!</v>
      </c>
      <c r="BH15" s="17" t="e">
        <f>-53.07 + (304.89 * (BG15)) + (90.79 *Crescimento!#REF!) - (3.13 * Crescimento!#REF!*Crescimento!#REF!)</f>
        <v>#REF!</v>
      </c>
      <c r="BJ15" s="16" t="e">
        <f>(BK14+(Crescimento!#REF!-(BK14*0.64))/0.8)/1000</f>
        <v>#REF!</v>
      </c>
      <c r="BK15" s="17" t="e">
        <f>-53.07 + (304.89 * (BJ15)) + (90.79 *Crescimento!#REF!) - (3.13 * Crescimento!#REF!*Crescimento!#REF!)</f>
        <v>#REF!</v>
      </c>
      <c r="BM15" s="16" t="e">
        <f>(BN14+(Crescimento!#REF!-(BN14*0.64))/0.8)/1000</f>
        <v>#REF!</v>
      </c>
      <c r="BN15" s="17" t="e">
        <f>-53.07 + (304.89 * (BM15)) + (90.79 *Crescimento!#REF!) - (3.13 * Crescimento!#REF!*Crescimento!#REF!)</f>
        <v>#REF!</v>
      </c>
      <c r="BP15" s="16" t="e">
        <f>(BQ14+(Crescimento!#REF!-(BQ14*0.64))/0.8)/1000</f>
        <v>#REF!</v>
      </c>
      <c r="BQ15" s="17" t="e">
        <f>-53.07 + (304.89 * (BP15)) + (90.79 *Crescimento!#REF!) - (3.13 * Crescimento!#REF!*Crescimento!#REF!)</f>
        <v>#REF!</v>
      </c>
      <c r="BS15" s="16" t="e">
        <f>(BT14+(Crescimento!#REF!-(BT14*0.64))/0.8)/1000</f>
        <v>#REF!</v>
      </c>
      <c r="BT15" s="17" t="e">
        <f>-53.07 + (304.89 * (BS15)) + (90.79 *Crescimento!#REF!) - (3.13 * Crescimento!#REF!*Crescimento!#REF!)</f>
        <v>#REF!</v>
      </c>
      <c r="BV15" s="16" t="e">
        <f>(BW14+(Crescimento!#REF!-(BW14*0.64))/0.8)/1000</f>
        <v>#REF!</v>
      </c>
      <c r="BW15" s="17" t="e">
        <f>-53.07 + (304.89 * (BV15)) + (90.79 *Crescimento!#REF!) - (3.13 * Crescimento!#REF!*Crescimento!#REF!)</f>
        <v>#REF!</v>
      </c>
      <c r="BY15" s="16" t="e">
        <f>(BZ14+(Crescimento!#REF!-(BZ14*0.64))/0.8)/1000</f>
        <v>#REF!</v>
      </c>
      <c r="BZ15" s="17" t="e">
        <f>-53.07 + (304.89 * (BY15)) + (90.79 *Crescimento!#REF!) - (3.13 * Crescimento!#REF!*Crescimento!#REF!)</f>
        <v>#REF!</v>
      </c>
      <c r="CB15" s="16" t="e">
        <f>(CC14+(Crescimento!#REF!-(CC14*0.64))/0.8)/1000</f>
        <v>#REF!</v>
      </c>
      <c r="CC15" s="17" t="e">
        <f>-53.07 + (304.89 * (CB15)) + (90.79 *Crescimento!#REF!) - (3.13 * Crescimento!#REF!*Crescimento!#REF!)</f>
        <v>#REF!</v>
      </c>
      <c r="CE15" s="16" t="e">
        <f>(CF14+(Crescimento!#REF!-(CF14*0.64))/0.8)/1000</f>
        <v>#REF!</v>
      </c>
      <c r="CF15" s="17" t="e">
        <f>-53.07 + (304.89 * (CE15)) + (90.79 *Crescimento!#REF!) - (3.13 * Crescimento!#REF!*Crescimento!#REF!)</f>
        <v>#REF!</v>
      </c>
      <c r="CH15" s="16" t="e">
        <f>(CI14+(Crescimento!#REF!-(CI14*0.64))/0.8)/1000</f>
        <v>#REF!</v>
      </c>
      <c r="CI15" s="17" t="e">
        <f>-53.07 + (304.89 * (CH15)) + (90.79 *Crescimento!#REF!) - (3.13 * Crescimento!#REF!*Crescimento!#REF!)</f>
        <v>#REF!</v>
      </c>
      <c r="CK15" s="16" t="e">
        <f>(CL14+(Crescimento!#REF!-(CL14*0.64))/0.8)/1000</f>
        <v>#REF!</v>
      </c>
      <c r="CL15" s="17" t="e">
        <f>-53.07 + (304.89 * (CK15)) + (90.79 *Crescimento!#REF!) - (3.13 * Crescimento!#REF!*Crescimento!#REF!)</f>
        <v>#REF!</v>
      </c>
    </row>
    <row r="16" spans="1:90" ht="15" customHeight="1" x14ac:dyDescent="0.25">
      <c r="B16" s="16">
        <f>(C15+('Vacas e Bezerros'!$O$29-(C15*0.64))/0.8)/1000</f>
        <v>1.1219974776113528</v>
      </c>
      <c r="C16" s="17">
        <f>-53.07 + (304.89 * (B16)) + (90.79 *'Vacas e Bezerros'!$O$23) - (3.13 * 'Vacas e Bezerros'!$O$23*'Vacas e Bezerros'!$O$23)</f>
        <v>715.77733851110622</v>
      </c>
      <c r="E16" s="16" t="e">
        <f>(F15+(Crescimento!#REF!-(F15*0.64))/0.8)/1000</f>
        <v>#REF!</v>
      </c>
      <c r="F16" s="17" t="e">
        <f>-53.07 + (304.89 * (E16)) + (90.79 *Crescimento!#REF!) - (3.13 * Crescimento!#REF!*Crescimento!#REF!)</f>
        <v>#REF!</v>
      </c>
      <c r="G16" s="1"/>
      <c r="H16" s="16" t="e">
        <f>(I15+(Crescimento!#REF!-(I15*0.64))/0.8)/1000</f>
        <v>#REF!</v>
      </c>
      <c r="I16" s="17" t="e">
        <f>-53.07 + (304.89 * (H16)) + (90.79 *Crescimento!#REF!) - (3.13 * Crescimento!#REF!*Crescimento!#REF!)</f>
        <v>#REF!</v>
      </c>
      <c r="K16" s="16" t="e">
        <f>(L15+(Crescimento!#REF!-(L15*0.64))/0.8)/1000</f>
        <v>#REF!</v>
      </c>
      <c r="L16" s="17" t="e">
        <f>-53.07 + (304.89 * (K16)) + (90.79 *Crescimento!#REF!) - (3.13 * Crescimento!#REF!*Crescimento!#REF!)</f>
        <v>#REF!</v>
      </c>
      <c r="N16" s="16" t="e">
        <f>(O15+(Crescimento!#REF!-(O15*0.64))/0.8)/1000</f>
        <v>#REF!</v>
      </c>
      <c r="O16" s="17" t="e">
        <f>-53.07 + (304.89 * (N16)) + (90.79 *Crescimento!#REF!) - (3.13 * Crescimento!#REF!*Crescimento!#REF!)</f>
        <v>#REF!</v>
      </c>
      <c r="Q16" s="16" t="e">
        <f>(R15+(Crescimento!#REF!-(R15*0.64))/0.8)/1000</f>
        <v>#REF!</v>
      </c>
      <c r="R16" s="17" t="e">
        <f>-53.07 + (304.89 * (Q16)) + (90.79 *Crescimento!#REF!) - (3.13 * Crescimento!#REF!*Crescimento!#REF!)</f>
        <v>#REF!</v>
      </c>
      <c r="T16" s="16" t="e">
        <f>(U15+(Crescimento!#REF!-(U15*0.64))/0.8)/1000</f>
        <v>#REF!</v>
      </c>
      <c r="U16" s="17" t="e">
        <f>-53.07 + (304.89 * (T16)) + (90.79 *Crescimento!#REF!) - (3.13 * Crescimento!#REF!*Crescimento!#REF!)</f>
        <v>#REF!</v>
      </c>
      <c r="W16" s="16" t="e">
        <f>(X15+(Crescimento!#REF!-(X15*0.64))/0.8)/1000</f>
        <v>#REF!</v>
      </c>
      <c r="X16" s="17" t="e">
        <f>-53.07 + (304.89 * (W16)) + (90.79 *Crescimento!#REF!) - (3.13 * Crescimento!#REF!*Crescimento!#REF!)</f>
        <v>#REF!</v>
      </c>
      <c r="Y16" s="6"/>
      <c r="Z16" s="16" t="e">
        <f>(AA15+(Crescimento!#REF!-(AA15*0.64))/0.8)/1000</f>
        <v>#REF!</v>
      </c>
      <c r="AA16" s="17" t="e">
        <f>-53.07 + (304.89 * (Z16)) + (90.79 *Crescimento!#REF!) - (3.13 * Crescimento!#REF!*Crescimento!#REF!)</f>
        <v>#REF!</v>
      </c>
      <c r="AB16" s="6"/>
      <c r="AC16" s="16" t="e">
        <f>(AD15+(Crescimento!#REF!-(AD15*0.64))/0.8)/1000</f>
        <v>#REF!</v>
      </c>
      <c r="AD16" s="17" t="e">
        <f>-53.07 + (304.89 * (AC16)) + (90.79 *Crescimento!#REF!) - (3.13 * Crescimento!#REF!*Crescimento!#REF!)</f>
        <v>#REF!</v>
      </c>
      <c r="AE16" s="17"/>
      <c r="AF16" s="16" t="e">
        <f>(AG15+(Crescimento!#REF!-(AG15*0.64))/0.8)/1000</f>
        <v>#REF!</v>
      </c>
      <c r="AG16" s="17" t="e">
        <f>-53.07 + (304.89 * (AF16)) + (90.79 *Crescimento!#REF!) - (3.13 * Crescimento!#REF!*Crescimento!#REF!)</f>
        <v>#REF!</v>
      </c>
      <c r="AI16" s="16" t="e">
        <f>(AJ15+(Crescimento!#REF!-(AJ15*0.64))/0.8)/1000</f>
        <v>#REF!</v>
      </c>
      <c r="AJ16" s="17" t="e">
        <f>-53.07 + (304.89 * (AI16)) + (90.79 *Crescimento!#REF!) - (3.13 * Crescimento!#REF!*Crescimento!#REF!)</f>
        <v>#REF!</v>
      </c>
      <c r="AL16" s="16" t="e">
        <f>(AM15+(Crescimento!#REF!-(AM15*0.64))/0.8)/1000</f>
        <v>#REF!</v>
      </c>
      <c r="AM16" s="17" t="e">
        <f>-53.07 + (304.89 * (AL16)) + (90.79 *Crescimento!#REF!) - (3.13 * Crescimento!#REF!*Crescimento!#REF!)</f>
        <v>#REF!</v>
      </c>
      <c r="AO16" s="16" t="e">
        <f>(AP15+(Crescimento!#REF!-(AP15*0.64))/0.8)/1000</f>
        <v>#REF!</v>
      </c>
      <c r="AP16" s="17" t="e">
        <f>-53.07 + (304.89 * (AO16)) + (90.79 *Crescimento!#REF!) - (3.13 * Crescimento!#REF!*Crescimento!#REF!)</f>
        <v>#REF!</v>
      </c>
      <c r="AR16" s="16" t="e">
        <f>(AS15+(Crescimento!#REF!-(AS15*0.64))/0.8)/1000</f>
        <v>#REF!</v>
      </c>
      <c r="AS16" s="17" t="e">
        <f>-53.07 + (304.89 * (AR16)) + (90.79 *Crescimento!#REF!) - (3.13 * Crescimento!#REF!*Crescimento!#REF!)</f>
        <v>#REF!</v>
      </c>
      <c r="AU16" s="16" t="e">
        <f>(AV15+(Crescimento!#REF!-(AV15*0.64))/0.8)/1000</f>
        <v>#REF!</v>
      </c>
      <c r="AV16" s="17" t="e">
        <f>-53.07 + (304.89 * (AU16)) + (90.79 *Crescimento!#REF!) - (3.13 * Crescimento!#REF!*Crescimento!#REF!)</f>
        <v>#REF!</v>
      </c>
      <c r="AX16" s="16" t="e">
        <f>(AY15+(Crescimento!#REF!-(AY15*0.64))/0.8)/1000</f>
        <v>#REF!</v>
      </c>
      <c r="AY16" s="17" t="e">
        <f>-53.07 + (304.89 * (AX16)) + (90.79 *Crescimento!#REF!) - (3.13 * Crescimento!#REF!*Crescimento!#REF!)</f>
        <v>#REF!</v>
      </c>
      <c r="BA16" s="16" t="e">
        <f>(BB15+(Crescimento!#REF!-(BB15*0.64))/0.8)/1000</f>
        <v>#REF!</v>
      </c>
      <c r="BB16" s="17" t="e">
        <f>-53.07 + (304.89 * (BA16)) + (90.79 *Crescimento!#REF!) - (3.13 * Crescimento!#REF!*Crescimento!#REF!)</f>
        <v>#REF!</v>
      </c>
      <c r="BD16" s="16" t="e">
        <f>(BE15+(Crescimento!#REF!-(BE15*0.64))/0.8)/1000</f>
        <v>#REF!</v>
      </c>
      <c r="BE16" s="17" t="e">
        <f>-53.07 + (304.89 * (BD16)) + (90.79 *Crescimento!#REF!) - (3.13 * Crescimento!#REF!*Crescimento!#REF!)</f>
        <v>#REF!</v>
      </c>
      <c r="BG16" s="16" t="e">
        <f>(BH15+(Crescimento!#REF!-(BH15*0.64))/0.8)/1000</f>
        <v>#REF!</v>
      </c>
      <c r="BH16" s="17" t="e">
        <f>-53.07 + (304.89 * (BG16)) + (90.79 *Crescimento!#REF!) - (3.13 * Crescimento!#REF!*Crescimento!#REF!)</f>
        <v>#REF!</v>
      </c>
      <c r="BJ16" s="16" t="e">
        <f>(BK15+(Crescimento!#REF!-(BK15*0.64))/0.8)/1000</f>
        <v>#REF!</v>
      </c>
      <c r="BK16" s="17" t="e">
        <f>-53.07 + (304.89 * (BJ16)) + (90.79 *Crescimento!#REF!) - (3.13 * Crescimento!#REF!*Crescimento!#REF!)</f>
        <v>#REF!</v>
      </c>
      <c r="BM16" s="16" t="e">
        <f>(BN15+(Crescimento!#REF!-(BN15*0.64))/0.8)/1000</f>
        <v>#REF!</v>
      </c>
      <c r="BN16" s="17" t="e">
        <f>-53.07 + (304.89 * (BM16)) + (90.79 *Crescimento!#REF!) - (3.13 * Crescimento!#REF!*Crescimento!#REF!)</f>
        <v>#REF!</v>
      </c>
      <c r="BP16" s="16" t="e">
        <f>(BQ15+(Crescimento!#REF!-(BQ15*0.64))/0.8)/1000</f>
        <v>#REF!</v>
      </c>
      <c r="BQ16" s="17" t="e">
        <f>-53.07 + (304.89 * (BP16)) + (90.79 *Crescimento!#REF!) - (3.13 * Crescimento!#REF!*Crescimento!#REF!)</f>
        <v>#REF!</v>
      </c>
      <c r="BS16" s="16" t="e">
        <f>(BT15+(Crescimento!#REF!-(BT15*0.64))/0.8)/1000</f>
        <v>#REF!</v>
      </c>
      <c r="BT16" s="17" t="e">
        <f>-53.07 + (304.89 * (BS16)) + (90.79 *Crescimento!#REF!) - (3.13 * Crescimento!#REF!*Crescimento!#REF!)</f>
        <v>#REF!</v>
      </c>
      <c r="BV16" s="16" t="e">
        <f>(BW15+(Crescimento!#REF!-(BW15*0.64))/0.8)/1000</f>
        <v>#REF!</v>
      </c>
      <c r="BW16" s="17" t="e">
        <f>-53.07 + (304.89 * (BV16)) + (90.79 *Crescimento!#REF!) - (3.13 * Crescimento!#REF!*Crescimento!#REF!)</f>
        <v>#REF!</v>
      </c>
      <c r="BY16" s="16" t="e">
        <f>(BZ15+(Crescimento!#REF!-(BZ15*0.64))/0.8)/1000</f>
        <v>#REF!</v>
      </c>
      <c r="BZ16" s="17" t="e">
        <f>-53.07 + (304.89 * (BY16)) + (90.79 *Crescimento!#REF!) - (3.13 * Crescimento!#REF!*Crescimento!#REF!)</f>
        <v>#REF!</v>
      </c>
      <c r="CB16" s="16" t="e">
        <f>(CC15+(Crescimento!#REF!-(CC15*0.64))/0.8)/1000</f>
        <v>#REF!</v>
      </c>
      <c r="CC16" s="17" t="e">
        <f>-53.07 + (304.89 * (CB16)) + (90.79 *Crescimento!#REF!) - (3.13 * Crescimento!#REF!*Crescimento!#REF!)</f>
        <v>#REF!</v>
      </c>
      <c r="CE16" s="16" t="e">
        <f>(CF15+(Crescimento!#REF!-(CF15*0.64))/0.8)/1000</f>
        <v>#REF!</v>
      </c>
      <c r="CF16" s="17" t="e">
        <f>-53.07 + (304.89 * (CE16)) + (90.79 *Crescimento!#REF!) - (3.13 * Crescimento!#REF!*Crescimento!#REF!)</f>
        <v>#REF!</v>
      </c>
      <c r="CH16" s="16" t="e">
        <f>(CI15+(Crescimento!#REF!-(CI15*0.64))/0.8)/1000</f>
        <v>#REF!</v>
      </c>
      <c r="CI16" s="17" t="e">
        <f>-53.07 + (304.89 * (CH16)) + (90.79 *Crescimento!#REF!) - (3.13 * Crescimento!#REF!*Crescimento!#REF!)</f>
        <v>#REF!</v>
      </c>
      <c r="CK16" s="16" t="e">
        <f>(CL15+(Crescimento!#REF!-(CL15*0.64))/0.8)/1000</f>
        <v>#REF!</v>
      </c>
      <c r="CL16" s="17" t="e">
        <f>-53.07 + (304.89 * (CK16)) + (90.79 *Crescimento!#REF!) - (3.13 * Crescimento!#REF!*Crescimento!#REF!)</f>
        <v>#REF!</v>
      </c>
    </row>
    <row r="17" spans="2:90" ht="15" customHeight="1" x14ac:dyDescent="0.25">
      <c r="B17" s="16">
        <f>(C16+('Vacas e Bezerros'!$O$29-(C16*0.64))/0.8)/1000</f>
        <v>1.1219974776113528</v>
      </c>
      <c r="C17" s="17">
        <f>-53.07 + (304.89 * (B17)) + (90.79 *'Vacas e Bezerros'!$O$23) - (3.13 * 'Vacas e Bezerros'!$O$23*'Vacas e Bezerros'!$O$23)</f>
        <v>715.77733851110622</v>
      </c>
      <c r="E17" s="16" t="e">
        <f>(F16+(Crescimento!#REF!-(F16*0.64))/0.8)/1000</f>
        <v>#REF!</v>
      </c>
      <c r="F17" s="17" t="e">
        <f>-53.07 + (304.89 * (E17)) + (90.79 *Crescimento!#REF!) - (3.13 * Crescimento!#REF!*Crescimento!#REF!)</f>
        <v>#REF!</v>
      </c>
      <c r="G17" s="1"/>
      <c r="H17" s="16" t="e">
        <f>(I16+(Crescimento!#REF!-(I16*0.64))/0.8)/1000</f>
        <v>#REF!</v>
      </c>
      <c r="I17" s="17" t="e">
        <f>-53.07 + (304.89 * (H17)) + (90.79 *Crescimento!#REF!) - (3.13 * Crescimento!#REF!*Crescimento!#REF!)</f>
        <v>#REF!</v>
      </c>
      <c r="K17" s="16" t="e">
        <f>(L16+(Crescimento!#REF!-(L16*0.64))/0.8)/1000</f>
        <v>#REF!</v>
      </c>
      <c r="L17" s="17" t="e">
        <f>-53.07 + (304.89 * (K17)) + (90.79 *Crescimento!#REF!) - (3.13 * Crescimento!#REF!*Crescimento!#REF!)</f>
        <v>#REF!</v>
      </c>
      <c r="N17" s="16" t="e">
        <f>(O16+(Crescimento!#REF!-(O16*0.64))/0.8)/1000</f>
        <v>#REF!</v>
      </c>
      <c r="O17" s="17" t="e">
        <f>-53.07 + (304.89 * (N17)) + (90.79 *Crescimento!#REF!) - (3.13 * Crescimento!#REF!*Crescimento!#REF!)</f>
        <v>#REF!</v>
      </c>
      <c r="Q17" s="16" t="e">
        <f>(R16+(Crescimento!#REF!-(R16*0.64))/0.8)/1000</f>
        <v>#REF!</v>
      </c>
      <c r="R17" s="17" t="e">
        <f>-53.07 + (304.89 * (Q17)) + (90.79 *Crescimento!#REF!) - (3.13 * Crescimento!#REF!*Crescimento!#REF!)</f>
        <v>#REF!</v>
      </c>
      <c r="T17" s="16" t="e">
        <f>(U16+(Crescimento!#REF!-(U16*0.64))/0.8)/1000</f>
        <v>#REF!</v>
      </c>
      <c r="U17" s="17" t="e">
        <f>-53.07 + (304.89 * (T17)) + (90.79 *Crescimento!#REF!) - (3.13 * Crescimento!#REF!*Crescimento!#REF!)</f>
        <v>#REF!</v>
      </c>
      <c r="W17" s="16" t="e">
        <f>(X16+(Crescimento!#REF!-(X16*0.64))/0.8)/1000</f>
        <v>#REF!</v>
      </c>
      <c r="X17" s="17" t="e">
        <f>-53.07 + (304.89 * (W17)) + (90.79 *Crescimento!#REF!) - (3.13 * Crescimento!#REF!*Crescimento!#REF!)</f>
        <v>#REF!</v>
      </c>
      <c r="Y17" s="6"/>
      <c r="Z17" s="16" t="e">
        <f>(AA16+(Crescimento!#REF!-(AA16*0.64))/0.8)/1000</f>
        <v>#REF!</v>
      </c>
      <c r="AA17" s="17" t="e">
        <f>-53.07 + (304.89 * (Z17)) + (90.79 *Crescimento!#REF!) - (3.13 * Crescimento!#REF!*Crescimento!#REF!)</f>
        <v>#REF!</v>
      </c>
      <c r="AB17" s="6"/>
      <c r="AC17" s="16" t="e">
        <f>(AD16+(Crescimento!#REF!-(AD16*0.64))/0.8)/1000</f>
        <v>#REF!</v>
      </c>
      <c r="AD17" s="17" t="e">
        <f>-53.07 + (304.89 * (AC17)) + (90.79 *Crescimento!#REF!) - (3.13 * Crescimento!#REF!*Crescimento!#REF!)</f>
        <v>#REF!</v>
      </c>
      <c r="AE17" s="17"/>
      <c r="AF17" s="16" t="e">
        <f>(AG16+(Crescimento!#REF!-(AG16*0.64))/0.8)/1000</f>
        <v>#REF!</v>
      </c>
      <c r="AG17" s="17" t="e">
        <f>-53.07 + (304.89 * (AF17)) + (90.79 *Crescimento!#REF!) - (3.13 * Crescimento!#REF!*Crescimento!#REF!)</f>
        <v>#REF!</v>
      </c>
      <c r="AI17" s="16" t="e">
        <f>(AJ16+(Crescimento!#REF!-(AJ16*0.64))/0.8)/1000</f>
        <v>#REF!</v>
      </c>
      <c r="AJ17" s="17" t="e">
        <f>-53.07 + (304.89 * (AI17)) + (90.79 *Crescimento!#REF!) - (3.13 * Crescimento!#REF!*Crescimento!#REF!)</f>
        <v>#REF!</v>
      </c>
      <c r="AL17" s="16" t="e">
        <f>(AM16+(Crescimento!#REF!-(AM16*0.64))/0.8)/1000</f>
        <v>#REF!</v>
      </c>
      <c r="AM17" s="17" t="e">
        <f>-53.07 + (304.89 * (AL17)) + (90.79 *Crescimento!#REF!) - (3.13 * Crescimento!#REF!*Crescimento!#REF!)</f>
        <v>#REF!</v>
      </c>
      <c r="AO17" s="16" t="e">
        <f>(AP16+(Crescimento!#REF!-(AP16*0.64))/0.8)/1000</f>
        <v>#REF!</v>
      </c>
      <c r="AP17" s="17" t="e">
        <f>-53.07 + (304.89 * (AO17)) + (90.79 *Crescimento!#REF!) - (3.13 * Crescimento!#REF!*Crescimento!#REF!)</f>
        <v>#REF!</v>
      </c>
      <c r="AR17" s="16" t="e">
        <f>(AS16+(Crescimento!#REF!-(AS16*0.64))/0.8)/1000</f>
        <v>#REF!</v>
      </c>
      <c r="AS17" s="17" t="e">
        <f>-53.07 + (304.89 * (AR17)) + (90.79 *Crescimento!#REF!) - (3.13 * Crescimento!#REF!*Crescimento!#REF!)</f>
        <v>#REF!</v>
      </c>
      <c r="AU17" s="16" t="e">
        <f>(AV16+(Crescimento!#REF!-(AV16*0.64))/0.8)/1000</f>
        <v>#REF!</v>
      </c>
      <c r="AV17" s="17" t="e">
        <f>-53.07 + (304.89 * (AU17)) + (90.79 *Crescimento!#REF!) - (3.13 * Crescimento!#REF!*Crescimento!#REF!)</f>
        <v>#REF!</v>
      </c>
      <c r="AX17" s="16" t="e">
        <f>(AY16+(Crescimento!#REF!-(AY16*0.64))/0.8)/1000</f>
        <v>#REF!</v>
      </c>
      <c r="AY17" s="17" t="e">
        <f>-53.07 + (304.89 * (AX17)) + (90.79 *Crescimento!#REF!) - (3.13 * Crescimento!#REF!*Crescimento!#REF!)</f>
        <v>#REF!</v>
      </c>
      <c r="BA17" s="16" t="e">
        <f>(BB16+(Crescimento!#REF!-(BB16*0.64))/0.8)/1000</f>
        <v>#REF!</v>
      </c>
      <c r="BB17" s="17" t="e">
        <f>-53.07 + (304.89 * (BA17)) + (90.79 *Crescimento!#REF!) - (3.13 * Crescimento!#REF!*Crescimento!#REF!)</f>
        <v>#REF!</v>
      </c>
      <c r="BD17" s="16" t="e">
        <f>(BE16+(Crescimento!#REF!-(BE16*0.64))/0.8)/1000</f>
        <v>#REF!</v>
      </c>
      <c r="BE17" s="17" t="e">
        <f>-53.07 + (304.89 * (BD17)) + (90.79 *Crescimento!#REF!) - (3.13 * Crescimento!#REF!*Crescimento!#REF!)</f>
        <v>#REF!</v>
      </c>
      <c r="BG17" s="16" t="e">
        <f>(BH16+(Crescimento!#REF!-(BH16*0.64))/0.8)/1000</f>
        <v>#REF!</v>
      </c>
      <c r="BH17" s="17" t="e">
        <f>-53.07 + (304.89 * (BG17)) + (90.79 *Crescimento!#REF!) - (3.13 * Crescimento!#REF!*Crescimento!#REF!)</f>
        <v>#REF!</v>
      </c>
      <c r="BJ17" s="16" t="e">
        <f>(BK16+(Crescimento!#REF!-(BK16*0.64))/0.8)/1000</f>
        <v>#REF!</v>
      </c>
      <c r="BK17" s="17" t="e">
        <f>-53.07 + (304.89 * (BJ17)) + (90.79 *Crescimento!#REF!) - (3.13 * Crescimento!#REF!*Crescimento!#REF!)</f>
        <v>#REF!</v>
      </c>
      <c r="BM17" s="16" t="e">
        <f>(BN16+(Crescimento!#REF!-(BN16*0.64))/0.8)/1000</f>
        <v>#REF!</v>
      </c>
      <c r="BN17" s="17" t="e">
        <f>-53.07 + (304.89 * (BM17)) + (90.79 *Crescimento!#REF!) - (3.13 * Crescimento!#REF!*Crescimento!#REF!)</f>
        <v>#REF!</v>
      </c>
      <c r="BP17" s="16" t="e">
        <f>(BQ16+(Crescimento!#REF!-(BQ16*0.64))/0.8)/1000</f>
        <v>#REF!</v>
      </c>
      <c r="BQ17" s="17" t="e">
        <f>-53.07 + (304.89 * (BP17)) + (90.79 *Crescimento!#REF!) - (3.13 * Crescimento!#REF!*Crescimento!#REF!)</f>
        <v>#REF!</v>
      </c>
      <c r="BS17" s="16" t="e">
        <f>(BT16+(Crescimento!#REF!-(BT16*0.64))/0.8)/1000</f>
        <v>#REF!</v>
      </c>
      <c r="BT17" s="17" t="e">
        <f>-53.07 + (304.89 * (BS17)) + (90.79 *Crescimento!#REF!) - (3.13 * Crescimento!#REF!*Crescimento!#REF!)</f>
        <v>#REF!</v>
      </c>
      <c r="BV17" s="16" t="e">
        <f>(BW16+(Crescimento!#REF!-(BW16*0.64))/0.8)/1000</f>
        <v>#REF!</v>
      </c>
      <c r="BW17" s="17" t="e">
        <f>-53.07 + (304.89 * (BV17)) + (90.79 *Crescimento!#REF!) - (3.13 * Crescimento!#REF!*Crescimento!#REF!)</f>
        <v>#REF!</v>
      </c>
      <c r="BY17" s="16" t="e">
        <f>(BZ16+(Crescimento!#REF!-(BZ16*0.64))/0.8)/1000</f>
        <v>#REF!</v>
      </c>
      <c r="BZ17" s="17" t="e">
        <f>-53.07 + (304.89 * (BY17)) + (90.79 *Crescimento!#REF!) - (3.13 * Crescimento!#REF!*Crescimento!#REF!)</f>
        <v>#REF!</v>
      </c>
      <c r="CB17" s="16" t="e">
        <f>(CC16+(Crescimento!#REF!-(CC16*0.64))/0.8)/1000</f>
        <v>#REF!</v>
      </c>
      <c r="CC17" s="17" t="e">
        <f>-53.07 + (304.89 * (CB17)) + (90.79 *Crescimento!#REF!) - (3.13 * Crescimento!#REF!*Crescimento!#REF!)</f>
        <v>#REF!</v>
      </c>
      <c r="CE17" s="16" t="e">
        <f>(CF16+(Crescimento!#REF!-(CF16*0.64))/0.8)/1000</f>
        <v>#REF!</v>
      </c>
      <c r="CF17" s="17" t="e">
        <f>-53.07 + (304.89 * (CE17)) + (90.79 *Crescimento!#REF!) - (3.13 * Crescimento!#REF!*Crescimento!#REF!)</f>
        <v>#REF!</v>
      </c>
      <c r="CH17" s="16" t="e">
        <f>(CI16+(Crescimento!#REF!-(CI16*0.64))/0.8)/1000</f>
        <v>#REF!</v>
      </c>
      <c r="CI17" s="17" t="e">
        <f>-53.07 + (304.89 * (CH17)) + (90.79 *Crescimento!#REF!) - (3.13 * Crescimento!#REF!*Crescimento!#REF!)</f>
        <v>#REF!</v>
      </c>
      <c r="CK17" s="16" t="e">
        <f>(CL16+(Crescimento!#REF!-(CL16*0.64))/0.8)/1000</f>
        <v>#REF!</v>
      </c>
      <c r="CL17" s="17" t="e">
        <f>-53.07 + (304.89 * (CK17)) + (90.79 *Crescimento!#REF!) - (3.13 * Crescimento!#REF!*Crescimento!#REF!)</f>
        <v>#REF!</v>
      </c>
    </row>
    <row r="18" spans="2:90" ht="15" customHeight="1" x14ac:dyDescent="0.25">
      <c r="B18" s="16">
        <f>(C17+('Vacas e Bezerros'!$O$29-(C17*0.64))/0.8)/1000</f>
        <v>1.1219974776113528</v>
      </c>
      <c r="C18" s="17">
        <f>-53.07 + (304.89 * (B18)) + (90.79 *'Vacas e Bezerros'!$O$23) - (3.13 * 'Vacas e Bezerros'!$O$23*'Vacas e Bezerros'!$O$23)</f>
        <v>715.77733851110622</v>
      </c>
      <c r="E18" s="16" t="e">
        <f>(F17+(Crescimento!#REF!-(F17*0.64))/0.8)/1000</f>
        <v>#REF!</v>
      </c>
      <c r="F18" s="17" t="e">
        <f>-53.07 + (304.89 * (E18)) + (90.79 *Crescimento!#REF!) - (3.13 * Crescimento!#REF!*Crescimento!#REF!)</f>
        <v>#REF!</v>
      </c>
      <c r="G18" s="1"/>
      <c r="H18" s="16" t="e">
        <f>(I17+(Crescimento!#REF!-(I17*0.64))/0.8)/1000</f>
        <v>#REF!</v>
      </c>
      <c r="I18" s="17" t="e">
        <f>-53.07 + (304.89 * (H18)) + (90.79 *Crescimento!#REF!) - (3.13 * Crescimento!#REF!*Crescimento!#REF!)</f>
        <v>#REF!</v>
      </c>
      <c r="K18" s="16" t="e">
        <f>(L17+(Crescimento!#REF!-(L17*0.64))/0.8)/1000</f>
        <v>#REF!</v>
      </c>
      <c r="L18" s="17" t="e">
        <f>-53.07 + (304.89 * (K18)) + (90.79 *Crescimento!#REF!) - (3.13 * Crescimento!#REF!*Crescimento!#REF!)</f>
        <v>#REF!</v>
      </c>
      <c r="N18" s="16" t="e">
        <f>(O17+(Crescimento!#REF!-(O17*0.64))/0.8)/1000</f>
        <v>#REF!</v>
      </c>
      <c r="O18" s="17" t="e">
        <f>-53.07 + (304.89 * (N18)) + (90.79 *Crescimento!#REF!) - (3.13 * Crescimento!#REF!*Crescimento!#REF!)</f>
        <v>#REF!</v>
      </c>
      <c r="Q18" s="16" t="e">
        <f>(R17+(Crescimento!#REF!-(R17*0.64))/0.8)/1000</f>
        <v>#REF!</v>
      </c>
      <c r="R18" s="17" t="e">
        <f>-53.07 + (304.89 * (Q18)) + (90.79 *Crescimento!#REF!) - (3.13 * Crescimento!#REF!*Crescimento!#REF!)</f>
        <v>#REF!</v>
      </c>
      <c r="T18" s="16" t="e">
        <f>(U17+(Crescimento!#REF!-(U17*0.64))/0.8)/1000</f>
        <v>#REF!</v>
      </c>
      <c r="U18" s="17" t="e">
        <f>-53.07 + (304.89 * (T18)) + (90.79 *Crescimento!#REF!) - (3.13 * Crescimento!#REF!*Crescimento!#REF!)</f>
        <v>#REF!</v>
      </c>
      <c r="W18" s="16" t="e">
        <f>(X17+(Crescimento!#REF!-(X17*0.64))/0.8)/1000</f>
        <v>#REF!</v>
      </c>
      <c r="X18" s="17" t="e">
        <f>-53.07 + (304.89 * (W18)) + (90.79 *Crescimento!#REF!) - (3.13 * Crescimento!#REF!*Crescimento!#REF!)</f>
        <v>#REF!</v>
      </c>
      <c r="Y18" s="6"/>
      <c r="Z18" s="16" t="e">
        <f>(AA17+(Crescimento!#REF!-(AA17*0.64))/0.8)/1000</f>
        <v>#REF!</v>
      </c>
      <c r="AA18" s="17" t="e">
        <f>-53.07 + (304.89 * (Z18)) + (90.79 *Crescimento!#REF!) - (3.13 * Crescimento!#REF!*Crescimento!#REF!)</f>
        <v>#REF!</v>
      </c>
      <c r="AB18" s="6"/>
      <c r="AC18" s="16" t="e">
        <f>(AD17+(Crescimento!#REF!-(AD17*0.64))/0.8)/1000</f>
        <v>#REF!</v>
      </c>
      <c r="AD18" s="17" t="e">
        <f>-53.07 + (304.89 * (AC18)) + (90.79 *Crescimento!#REF!) - (3.13 * Crescimento!#REF!*Crescimento!#REF!)</f>
        <v>#REF!</v>
      </c>
      <c r="AE18" s="17"/>
      <c r="AF18" s="16" t="e">
        <f>(AG17+(Crescimento!#REF!-(AG17*0.64))/0.8)/1000</f>
        <v>#REF!</v>
      </c>
      <c r="AG18" s="17" t="e">
        <f>-53.07 + (304.89 * (AF18)) + (90.79 *Crescimento!#REF!) - (3.13 * Crescimento!#REF!*Crescimento!#REF!)</f>
        <v>#REF!</v>
      </c>
      <c r="AI18" s="16" t="e">
        <f>(AJ17+(Crescimento!#REF!-(AJ17*0.64))/0.8)/1000</f>
        <v>#REF!</v>
      </c>
      <c r="AJ18" s="17" t="e">
        <f>-53.07 + (304.89 * (AI18)) + (90.79 *Crescimento!#REF!) - (3.13 * Crescimento!#REF!*Crescimento!#REF!)</f>
        <v>#REF!</v>
      </c>
      <c r="AL18" s="16" t="e">
        <f>(AM17+(Crescimento!#REF!-(AM17*0.64))/0.8)/1000</f>
        <v>#REF!</v>
      </c>
      <c r="AM18" s="17" t="e">
        <f>-53.07 + (304.89 * (AL18)) + (90.79 *Crescimento!#REF!) - (3.13 * Crescimento!#REF!*Crescimento!#REF!)</f>
        <v>#REF!</v>
      </c>
      <c r="AO18" s="16" t="e">
        <f>(AP17+(Crescimento!#REF!-(AP17*0.64))/0.8)/1000</f>
        <v>#REF!</v>
      </c>
      <c r="AP18" s="17" t="e">
        <f>-53.07 + (304.89 * (AO18)) + (90.79 *Crescimento!#REF!) - (3.13 * Crescimento!#REF!*Crescimento!#REF!)</f>
        <v>#REF!</v>
      </c>
      <c r="AR18" s="16" t="e">
        <f>(AS17+(Crescimento!#REF!-(AS17*0.64))/0.8)/1000</f>
        <v>#REF!</v>
      </c>
      <c r="AS18" s="17" t="e">
        <f>-53.07 + (304.89 * (AR18)) + (90.79 *Crescimento!#REF!) - (3.13 * Crescimento!#REF!*Crescimento!#REF!)</f>
        <v>#REF!</v>
      </c>
      <c r="AU18" s="16" t="e">
        <f>(AV17+(Crescimento!#REF!-(AV17*0.64))/0.8)/1000</f>
        <v>#REF!</v>
      </c>
      <c r="AV18" s="17" t="e">
        <f>-53.07 + (304.89 * (AU18)) + (90.79 *Crescimento!#REF!) - (3.13 * Crescimento!#REF!*Crescimento!#REF!)</f>
        <v>#REF!</v>
      </c>
      <c r="AX18" s="16" t="e">
        <f>(AY17+(Crescimento!#REF!-(AY17*0.64))/0.8)/1000</f>
        <v>#REF!</v>
      </c>
      <c r="AY18" s="17" t="e">
        <f>-53.07 + (304.89 * (AX18)) + (90.79 *Crescimento!#REF!) - (3.13 * Crescimento!#REF!*Crescimento!#REF!)</f>
        <v>#REF!</v>
      </c>
      <c r="BA18" s="16" t="e">
        <f>(BB17+(Crescimento!#REF!-(BB17*0.64))/0.8)/1000</f>
        <v>#REF!</v>
      </c>
      <c r="BB18" s="17" t="e">
        <f>-53.07 + (304.89 * (BA18)) + (90.79 *Crescimento!#REF!) - (3.13 * Crescimento!#REF!*Crescimento!#REF!)</f>
        <v>#REF!</v>
      </c>
      <c r="BD18" s="16" t="e">
        <f>(BE17+(Crescimento!#REF!-(BE17*0.64))/0.8)/1000</f>
        <v>#REF!</v>
      </c>
      <c r="BE18" s="17" t="e">
        <f>-53.07 + (304.89 * (BD18)) + (90.79 *Crescimento!#REF!) - (3.13 * Crescimento!#REF!*Crescimento!#REF!)</f>
        <v>#REF!</v>
      </c>
      <c r="BG18" s="16" t="e">
        <f>(BH17+(Crescimento!#REF!-(BH17*0.64))/0.8)/1000</f>
        <v>#REF!</v>
      </c>
      <c r="BH18" s="17" t="e">
        <f>-53.07 + (304.89 * (BG18)) + (90.79 *Crescimento!#REF!) - (3.13 * Crescimento!#REF!*Crescimento!#REF!)</f>
        <v>#REF!</v>
      </c>
      <c r="BJ18" s="16" t="e">
        <f>(BK17+(Crescimento!#REF!-(BK17*0.64))/0.8)/1000</f>
        <v>#REF!</v>
      </c>
      <c r="BK18" s="17" t="e">
        <f>-53.07 + (304.89 * (BJ18)) + (90.79 *Crescimento!#REF!) - (3.13 * Crescimento!#REF!*Crescimento!#REF!)</f>
        <v>#REF!</v>
      </c>
      <c r="BM18" s="16" t="e">
        <f>(BN17+(Crescimento!#REF!-(BN17*0.64))/0.8)/1000</f>
        <v>#REF!</v>
      </c>
      <c r="BN18" s="17" t="e">
        <f>-53.07 + (304.89 * (BM18)) + (90.79 *Crescimento!#REF!) - (3.13 * Crescimento!#REF!*Crescimento!#REF!)</f>
        <v>#REF!</v>
      </c>
      <c r="BP18" s="16" t="e">
        <f>(BQ17+(Crescimento!#REF!-(BQ17*0.64))/0.8)/1000</f>
        <v>#REF!</v>
      </c>
      <c r="BQ18" s="17" t="e">
        <f>-53.07 + (304.89 * (BP18)) + (90.79 *Crescimento!#REF!) - (3.13 * Crescimento!#REF!*Crescimento!#REF!)</f>
        <v>#REF!</v>
      </c>
      <c r="BS18" s="16" t="e">
        <f>(BT17+(Crescimento!#REF!-(BT17*0.64))/0.8)/1000</f>
        <v>#REF!</v>
      </c>
      <c r="BT18" s="17" t="e">
        <f>-53.07 + (304.89 * (BS18)) + (90.79 *Crescimento!#REF!) - (3.13 * Crescimento!#REF!*Crescimento!#REF!)</f>
        <v>#REF!</v>
      </c>
      <c r="BV18" s="16" t="e">
        <f>(BW17+(Crescimento!#REF!-(BW17*0.64))/0.8)/1000</f>
        <v>#REF!</v>
      </c>
      <c r="BW18" s="17" t="e">
        <f>-53.07 + (304.89 * (BV18)) + (90.79 *Crescimento!#REF!) - (3.13 * Crescimento!#REF!*Crescimento!#REF!)</f>
        <v>#REF!</v>
      </c>
      <c r="BY18" s="16" t="e">
        <f>(BZ17+(Crescimento!#REF!-(BZ17*0.64))/0.8)/1000</f>
        <v>#REF!</v>
      </c>
      <c r="BZ18" s="17" t="e">
        <f>-53.07 + (304.89 * (BY18)) + (90.79 *Crescimento!#REF!) - (3.13 * Crescimento!#REF!*Crescimento!#REF!)</f>
        <v>#REF!</v>
      </c>
      <c r="CB18" s="16" t="e">
        <f>(CC17+(Crescimento!#REF!-(CC17*0.64))/0.8)/1000</f>
        <v>#REF!</v>
      </c>
      <c r="CC18" s="17" t="e">
        <f>-53.07 + (304.89 * (CB18)) + (90.79 *Crescimento!#REF!) - (3.13 * Crescimento!#REF!*Crescimento!#REF!)</f>
        <v>#REF!</v>
      </c>
      <c r="CE18" s="16" t="e">
        <f>(CF17+(Crescimento!#REF!-(CF17*0.64))/0.8)/1000</f>
        <v>#REF!</v>
      </c>
      <c r="CF18" s="17" t="e">
        <f>-53.07 + (304.89 * (CE18)) + (90.79 *Crescimento!#REF!) - (3.13 * Crescimento!#REF!*Crescimento!#REF!)</f>
        <v>#REF!</v>
      </c>
      <c r="CH18" s="16" t="e">
        <f>(CI17+(Crescimento!#REF!-(CI17*0.64))/0.8)/1000</f>
        <v>#REF!</v>
      </c>
      <c r="CI18" s="17" t="e">
        <f>-53.07 + (304.89 * (CH18)) + (90.79 *Crescimento!#REF!) - (3.13 * Crescimento!#REF!*Crescimento!#REF!)</f>
        <v>#REF!</v>
      </c>
      <c r="CK18" s="16" t="e">
        <f>(CL17+(Crescimento!#REF!-(CL17*0.64))/0.8)/1000</f>
        <v>#REF!</v>
      </c>
      <c r="CL18" s="17" t="e">
        <f>-53.07 + (304.89 * (CK18)) + (90.79 *Crescimento!#REF!) - (3.13 * Crescimento!#REF!*Crescimento!#REF!)</f>
        <v>#REF!</v>
      </c>
    </row>
    <row r="19" spans="2:90" ht="15" customHeight="1" x14ac:dyDescent="0.25">
      <c r="B19" s="16">
        <f>(C18+('Vacas e Bezerros'!$O$29-(C18*0.64))/0.8)/1000</f>
        <v>1.1219974776113528</v>
      </c>
      <c r="C19" s="17">
        <f>-53.07 + (304.89 * (B19)) + (90.79 *'Vacas e Bezerros'!$O$23) - (3.13 * 'Vacas e Bezerros'!$O$23*'Vacas e Bezerros'!$O$23)</f>
        <v>715.77733851110622</v>
      </c>
      <c r="E19" s="16" t="e">
        <f>(F18+(Crescimento!#REF!-(F18*0.64))/0.8)/1000</f>
        <v>#REF!</v>
      </c>
      <c r="F19" s="17" t="e">
        <f>-53.07 + (304.89 * (E19)) + (90.79 *Crescimento!#REF!) - (3.13 * Crescimento!#REF!*Crescimento!#REF!)</f>
        <v>#REF!</v>
      </c>
      <c r="G19" s="1"/>
      <c r="H19" s="16" t="e">
        <f>(I18+(Crescimento!#REF!-(I18*0.64))/0.8)/1000</f>
        <v>#REF!</v>
      </c>
      <c r="I19" s="17" t="e">
        <f>-53.07 + (304.89 * (H19)) + (90.79 *Crescimento!#REF!) - (3.13 * Crescimento!#REF!*Crescimento!#REF!)</f>
        <v>#REF!</v>
      </c>
      <c r="K19" s="16" t="e">
        <f>(L18+(Crescimento!#REF!-(L18*0.64))/0.8)/1000</f>
        <v>#REF!</v>
      </c>
      <c r="L19" s="17" t="e">
        <f>-53.07 + (304.89 * (K19)) + (90.79 *Crescimento!#REF!) - (3.13 * Crescimento!#REF!*Crescimento!#REF!)</f>
        <v>#REF!</v>
      </c>
      <c r="N19" s="16" t="e">
        <f>(O18+(Crescimento!#REF!-(O18*0.64))/0.8)/1000</f>
        <v>#REF!</v>
      </c>
      <c r="O19" s="17" t="e">
        <f>-53.07 + (304.89 * (N19)) + (90.79 *Crescimento!#REF!) - (3.13 * Crescimento!#REF!*Crescimento!#REF!)</f>
        <v>#REF!</v>
      </c>
      <c r="Q19" s="16" t="e">
        <f>(R18+(Crescimento!#REF!-(R18*0.64))/0.8)/1000</f>
        <v>#REF!</v>
      </c>
      <c r="R19" s="17" t="e">
        <f>-53.07 + (304.89 * (Q19)) + (90.79 *Crescimento!#REF!) - (3.13 * Crescimento!#REF!*Crescimento!#REF!)</f>
        <v>#REF!</v>
      </c>
      <c r="T19" s="16" t="e">
        <f>(U18+(Crescimento!#REF!-(U18*0.64))/0.8)/1000</f>
        <v>#REF!</v>
      </c>
      <c r="U19" s="17" t="e">
        <f>-53.07 + (304.89 * (T19)) + (90.79 *Crescimento!#REF!) - (3.13 * Crescimento!#REF!*Crescimento!#REF!)</f>
        <v>#REF!</v>
      </c>
      <c r="W19" s="16" t="e">
        <f>(X18+(Crescimento!#REF!-(X18*0.64))/0.8)/1000</f>
        <v>#REF!</v>
      </c>
      <c r="X19" s="17" t="e">
        <f>-53.07 + (304.89 * (W19)) + (90.79 *Crescimento!#REF!) - (3.13 * Crescimento!#REF!*Crescimento!#REF!)</f>
        <v>#REF!</v>
      </c>
      <c r="Y19" s="6"/>
      <c r="Z19" s="16" t="e">
        <f>(AA18+(Crescimento!#REF!-(AA18*0.64))/0.8)/1000</f>
        <v>#REF!</v>
      </c>
      <c r="AA19" s="17" t="e">
        <f>-53.07 + (304.89 * (Z19)) + (90.79 *Crescimento!#REF!) - (3.13 * Crescimento!#REF!*Crescimento!#REF!)</f>
        <v>#REF!</v>
      </c>
      <c r="AB19" s="6"/>
      <c r="AC19" s="16" t="e">
        <f>(AD18+(Crescimento!#REF!-(AD18*0.64))/0.8)/1000</f>
        <v>#REF!</v>
      </c>
      <c r="AD19" s="17" t="e">
        <f>-53.07 + (304.89 * (AC19)) + (90.79 *Crescimento!#REF!) - (3.13 * Crescimento!#REF!*Crescimento!#REF!)</f>
        <v>#REF!</v>
      </c>
      <c r="AE19" s="17"/>
      <c r="AF19" s="16" t="e">
        <f>(AG18+(Crescimento!#REF!-(AG18*0.64))/0.8)/1000</f>
        <v>#REF!</v>
      </c>
      <c r="AG19" s="17" t="e">
        <f>-53.07 + (304.89 * (AF19)) + (90.79 *Crescimento!#REF!) - (3.13 * Crescimento!#REF!*Crescimento!#REF!)</f>
        <v>#REF!</v>
      </c>
      <c r="AI19" s="16" t="e">
        <f>(AJ18+(Crescimento!#REF!-(AJ18*0.64))/0.8)/1000</f>
        <v>#REF!</v>
      </c>
      <c r="AJ19" s="17" t="e">
        <f>-53.07 + (304.89 * (AI19)) + (90.79 *Crescimento!#REF!) - (3.13 * Crescimento!#REF!*Crescimento!#REF!)</f>
        <v>#REF!</v>
      </c>
      <c r="AL19" s="16" t="e">
        <f>(AM18+(Crescimento!#REF!-(AM18*0.64))/0.8)/1000</f>
        <v>#REF!</v>
      </c>
      <c r="AM19" s="17" t="e">
        <f>-53.07 + (304.89 * (AL19)) + (90.79 *Crescimento!#REF!) - (3.13 * Crescimento!#REF!*Crescimento!#REF!)</f>
        <v>#REF!</v>
      </c>
      <c r="AO19" s="16" t="e">
        <f>(AP18+(Crescimento!#REF!-(AP18*0.64))/0.8)/1000</f>
        <v>#REF!</v>
      </c>
      <c r="AP19" s="17" t="e">
        <f>-53.07 + (304.89 * (AO19)) + (90.79 *Crescimento!#REF!) - (3.13 * Crescimento!#REF!*Crescimento!#REF!)</f>
        <v>#REF!</v>
      </c>
      <c r="AR19" s="16" t="e">
        <f>(AS18+(Crescimento!#REF!-(AS18*0.64))/0.8)/1000</f>
        <v>#REF!</v>
      </c>
      <c r="AS19" s="17" t="e">
        <f>-53.07 + (304.89 * (AR19)) + (90.79 *Crescimento!#REF!) - (3.13 * Crescimento!#REF!*Crescimento!#REF!)</f>
        <v>#REF!</v>
      </c>
      <c r="AU19" s="16" t="e">
        <f>(AV18+(Crescimento!#REF!-(AV18*0.64))/0.8)/1000</f>
        <v>#REF!</v>
      </c>
      <c r="AV19" s="17" t="e">
        <f>-53.07 + (304.89 * (AU19)) + (90.79 *Crescimento!#REF!) - (3.13 * Crescimento!#REF!*Crescimento!#REF!)</f>
        <v>#REF!</v>
      </c>
      <c r="AX19" s="16" t="e">
        <f>(AY18+(Crescimento!#REF!-(AY18*0.64))/0.8)/1000</f>
        <v>#REF!</v>
      </c>
      <c r="AY19" s="17" t="e">
        <f>-53.07 + (304.89 * (AX19)) + (90.79 *Crescimento!#REF!) - (3.13 * Crescimento!#REF!*Crescimento!#REF!)</f>
        <v>#REF!</v>
      </c>
      <c r="BA19" s="16" t="e">
        <f>(BB18+(Crescimento!#REF!-(BB18*0.64))/0.8)/1000</f>
        <v>#REF!</v>
      </c>
      <c r="BB19" s="17" t="e">
        <f>-53.07 + (304.89 * (BA19)) + (90.79 *Crescimento!#REF!) - (3.13 * Crescimento!#REF!*Crescimento!#REF!)</f>
        <v>#REF!</v>
      </c>
      <c r="BD19" s="16" t="e">
        <f>(BE18+(Crescimento!#REF!-(BE18*0.64))/0.8)/1000</f>
        <v>#REF!</v>
      </c>
      <c r="BE19" s="17" t="e">
        <f>-53.07 + (304.89 * (BD19)) + (90.79 *Crescimento!#REF!) - (3.13 * Crescimento!#REF!*Crescimento!#REF!)</f>
        <v>#REF!</v>
      </c>
      <c r="BG19" s="16" t="e">
        <f>(BH18+(Crescimento!#REF!-(BH18*0.64))/0.8)/1000</f>
        <v>#REF!</v>
      </c>
      <c r="BH19" s="17" t="e">
        <f>-53.07 + (304.89 * (BG19)) + (90.79 *Crescimento!#REF!) - (3.13 * Crescimento!#REF!*Crescimento!#REF!)</f>
        <v>#REF!</v>
      </c>
      <c r="BJ19" s="16" t="e">
        <f>(BK18+(Crescimento!#REF!-(BK18*0.64))/0.8)/1000</f>
        <v>#REF!</v>
      </c>
      <c r="BK19" s="17" t="e">
        <f>-53.07 + (304.89 * (BJ19)) + (90.79 *Crescimento!#REF!) - (3.13 * Crescimento!#REF!*Crescimento!#REF!)</f>
        <v>#REF!</v>
      </c>
      <c r="BM19" s="16" t="e">
        <f>(BN18+(Crescimento!#REF!-(BN18*0.64))/0.8)/1000</f>
        <v>#REF!</v>
      </c>
      <c r="BN19" s="17" t="e">
        <f>-53.07 + (304.89 * (BM19)) + (90.79 *Crescimento!#REF!) - (3.13 * Crescimento!#REF!*Crescimento!#REF!)</f>
        <v>#REF!</v>
      </c>
      <c r="BP19" s="16" t="e">
        <f>(BQ18+(Crescimento!#REF!-(BQ18*0.64))/0.8)/1000</f>
        <v>#REF!</v>
      </c>
      <c r="BQ19" s="17" t="e">
        <f>-53.07 + (304.89 * (BP19)) + (90.79 *Crescimento!#REF!) - (3.13 * Crescimento!#REF!*Crescimento!#REF!)</f>
        <v>#REF!</v>
      </c>
      <c r="BS19" s="16" t="e">
        <f>(BT18+(Crescimento!#REF!-(BT18*0.64))/0.8)/1000</f>
        <v>#REF!</v>
      </c>
      <c r="BT19" s="17" t="e">
        <f>-53.07 + (304.89 * (BS19)) + (90.79 *Crescimento!#REF!) - (3.13 * Crescimento!#REF!*Crescimento!#REF!)</f>
        <v>#REF!</v>
      </c>
      <c r="BV19" s="16" t="e">
        <f>(BW18+(Crescimento!#REF!-(BW18*0.64))/0.8)/1000</f>
        <v>#REF!</v>
      </c>
      <c r="BW19" s="17" t="e">
        <f>-53.07 + (304.89 * (BV19)) + (90.79 *Crescimento!#REF!) - (3.13 * Crescimento!#REF!*Crescimento!#REF!)</f>
        <v>#REF!</v>
      </c>
      <c r="BY19" s="16" t="e">
        <f>(BZ18+(Crescimento!#REF!-(BZ18*0.64))/0.8)/1000</f>
        <v>#REF!</v>
      </c>
      <c r="BZ19" s="17" t="e">
        <f>-53.07 + (304.89 * (BY19)) + (90.79 *Crescimento!#REF!) - (3.13 * Crescimento!#REF!*Crescimento!#REF!)</f>
        <v>#REF!</v>
      </c>
      <c r="CB19" s="16" t="e">
        <f>(CC18+(Crescimento!#REF!-(CC18*0.64))/0.8)/1000</f>
        <v>#REF!</v>
      </c>
      <c r="CC19" s="17" t="e">
        <f>-53.07 + (304.89 * (CB19)) + (90.79 *Crescimento!#REF!) - (3.13 * Crescimento!#REF!*Crescimento!#REF!)</f>
        <v>#REF!</v>
      </c>
      <c r="CE19" s="16" t="e">
        <f>(CF18+(Crescimento!#REF!-(CF18*0.64))/0.8)/1000</f>
        <v>#REF!</v>
      </c>
      <c r="CF19" s="17" t="e">
        <f>-53.07 + (304.89 * (CE19)) + (90.79 *Crescimento!#REF!) - (3.13 * Crescimento!#REF!*Crescimento!#REF!)</f>
        <v>#REF!</v>
      </c>
      <c r="CH19" s="16" t="e">
        <f>(CI18+(Crescimento!#REF!-(CI18*0.64))/0.8)/1000</f>
        <v>#REF!</v>
      </c>
      <c r="CI19" s="17" t="e">
        <f>-53.07 + (304.89 * (CH19)) + (90.79 *Crescimento!#REF!) - (3.13 * Crescimento!#REF!*Crescimento!#REF!)</f>
        <v>#REF!</v>
      </c>
      <c r="CK19" s="16" t="e">
        <f>(CL18+(Crescimento!#REF!-(CL18*0.64))/0.8)/1000</f>
        <v>#REF!</v>
      </c>
      <c r="CL19" s="17" t="e">
        <f>-53.07 + (304.89 * (CK19)) + (90.79 *Crescimento!#REF!) - (3.13 * Crescimento!#REF!*Crescimento!#REF!)</f>
        <v>#REF!</v>
      </c>
    </row>
    <row r="20" spans="2:90" ht="15" customHeight="1" x14ac:dyDescent="0.25">
      <c r="B20" s="16">
        <f>(C19+('Vacas e Bezerros'!$O$29-(C19*0.64))/0.8)/1000</f>
        <v>1.1219974776113528</v>
      </c>
      <c r="C20" s="17">
        <f>-53.07 + (304.89 * (B20)) + (90.79 *'Vacas e Bezerros'!$O$23) - (3.13 * 'Vacas e Bezerros'!$O$23*'Vacas e Bezerros'!$O$23)</f>
        <v>715.77733851110622</v>
      </c>
      <c r="E20" s="16" t="e">
        <f>(F19+(Crescimento!#REF!-(F19*0.64))/0.8)/1000</f>
        <v>#REF!</v>
      </c>
      <c r="F20" s="17" t="e">
        <f>-53.07 + (304.89 * (E20)) + (90.79 *Crescimento!#REF!) - (3.13 * Crescimento!#REF!*Crescimento!#REF!)</f>
        <v>#REF!</v>
      </c>
      <c r="G20" s="1"/>
      <c r="H20" s="16" t="e">
        <f>(I19+(Crescimento!#REF!-(I19*0.64))/0.8)/1000</f>
        <v>#REF!</v>
      </c>
      <c r="I20" s="17" t="e">
        <f>-53.07 + (304.89 * (H20)) + (90.79 *Crescimento!#REF!) - (3.13 * Crescimento!#REF!*Crescimento!#REF!)</f>
        <v>#REF!</v>
      </c>
      <c r="K20" s="16" t="e">
        <f>(L19+(Crescimento!#REF!-(L19*0.64))/0.8)/1000</f>
        <v>#REF!</v>
      </c>
      <c r="L20" s="17" t="e">
        <f>-53.07 + (304.89 * (K20)) + (90.79 *Crescimento!#REF!) - (3.13 * Crescimento!#REF!*Crescimento!#REF!)</f>
        <v>#REF!</v>
      </c>
      <c r="N20" s="16" t="e">
        <f>(O19+(Crescimento!#REF!-(O19*0.64))/0.8)/1000</f>
        <v>#REF!</v>
      </c>
      <c r="O20" s="17" t="e">
        <f>-53.07 + (304.89 * (N20)) + (90.79 *Crescimento!#REF!) - (3.13 * Crescimento!#REF!*Crescimento!#REF!)</f>
        <v>#REF!</v>
      </c>
      <c r="Q20" s="16" t="e">
        <f>(R19+(Crescimento!#REF!-(R19*0.64))/0.8)/1000</f>
        <v>#REF!</v>
      </c>
      <c r="R20" s="17" t="e">
        <f>-53.07 + (304.89 * (Q20)) + (90.79 *Crescimento!#REF!) - (3.13 * Crescimento!#REF!*Crescimento!#REF!)</f>
        <v>#REF!</v>
      </c>
      <c r="T20" s="16" t="e">
        <f>(U19+(Crescimento!#REF!-(U19*0.64))/0.8)/1000</f>
        <v>#REF!</v>
      </c>
      <c r="U20" s="17" t="e">
        <f>-53.07 + (304.89 * (T20)) + (90.79 *Crescimento!#REF!) - (3.13 * Crescimento!#REF!*Crescimento!#REF!)</f>
        <v>#REF!</v>
      </c>
      <c r="W20" s="16" t="e">
        <f>(X19+(Crescimento!#REF!-(X19*0.64))/0.8)/1000</f>
        <v>#REF!</v>
      </c>
      <c r="X20" s="17" t="e">
        <f>-53.07 + (304.89 * (W20)) + (90.79 *Crescimento!#REF!) - (3.13 * Crescimento!#REF!*Crescimento!#REF!)</f>
        <v>#REF!</v>
      </c>
      <c r="Y20" s="6"/>
      <c r="Z20" s="16" t="e">
        <f>(AA19+(Crescimento!#REF!-(AA19*0.64))/0.8)/1000</f>
        <v>#REF!</v>
      </c>
      <c r="AA20" s="17" t="e">
        <f>-53.07 + (304.89 * (Z20)) + (90.79 *Crescimento!#REF!) - (3.13 * Crescimento!#REF!*Crescimento!#REF!)</f>
        <v>#REF!</v>
      </c>
      <c r="AB20" s="6"/>
      <c r="AC20" s="16" t="e">
        <f>(AD19+(Crescimento!#REF!-(AD19*0.64))/0.8)/1000</f>
        <v>#REF!</v>
      </c>
      <c r="AD20" s="17" t="e">
        <f>-53.07 + (304.89 * (AC20)) + (90.79 *Crescimento!#REF!) - (3.13 * Crescimento!#REF!*Crescimento!#REF!)</f>
        <v>#REF!</v>
      </c>
      <c r="AE20" s="17"/>
      <c r="AF20" s="16" t="e">
        <f>(AG19+(Crescimento!#REF!-(AG19*0.64))/0.8)/1000</f>
        <v>#REF!</v>
      </c>
      <c r="AG20" s="17" t="e">
        <f>-53.07 + (304.89 * (AF20)) + (90.79 *Crescimento!#REF!) - (3.13 * Crescimento!#REF!*Crescimento!#REF!)</f>
        <v>#REF!</v>
      </c>
      <c r="AI20" s="16" t="e">
        <f>(AJ19+(Crescimento!#REF!-(AJ19*0.64))/0.8)/1000</f>
        <v>#REF!</v>
      </c>
      <c r="AJ20" s="17" t="e">
        <f>-53.07 + (304.89 * (AI20)) + (90.79 *Crescimento!#REF!) - (3.13 * Crescimento!#REF!*Crescimento!#REF!)</f>
        <v>#REF!</v>
      </c>
      <c r="AL20" s="16" t="e">
        <f>(AM19+(Crescimento!#REF!-(AM19*0.64))/0.8)/1000</f>
        <v>#REF!</v>
      </c>
      <c r="AM20" s="17" t="e">
        <f>-53.07 + (304.89 * (AL20)) + (90.79 *Crescimento!#REF!) - (3.13 * Crescimento!#REF!*Crescimento!#REF!)</f>
        <v>#REF!</v>
      </c>
      <c r="AO20" s="16" t="e">
        <f>(AP19+(Crescimento!#REF!-(AP19*0.64))/0.8)/1000</f>
        <v>#REF!</v>
      </c>
      <c r="AP20" s="17" t="e">
        <f>-53.07 + (304.89 * (AO20)) + (90.79 *Crescimento!#REF!) - (3.13 * Crescimento!#REF!*Crescimento!#REF!)</f>
        <v>#REF!</v>
      </c>
      <c r="AR20" s="16" t="e">
        <f>(AS19+(Crescimento!#REF!-(AS19*0.64))/0.8)/1000</f>
        <v>#REF!</v>
      </c>
      <c r="AS20" s="17" t="e">
        <f>-53.07 + (304.89 * (AR20)) + (90.79 *Crescimento!#REF!) - (3.13 * Crescimento!#REF!*Crescimento!#REF!)</f>
        <v>#REF!</v>
      </c>
      <c r="AU20" s="16" t="e">
        <f>(AV19+(Crescimento!#REF!-(AV19*0.64))/0.8)/1000</f>
        <v>#REF!</v>
      </c>
      <c r="AV20" s="17" t="e">
        <f>-53.07 + (304.89 * (AU20)) + (90.79 *Crescimento!#REF!) - (3.13 * Crescimento!#REF!*Crescimento!#REF!)</f>
        <v>#REF!</v>
      </c>
      <c r="AX20" s="16" t="e">
        <f>(AY19+(Crescimento!#REF!-(AY19*0.64))/0.8)/1000</f>
        <v>#REF!</v>
      </c>
      <c r="AY20" s="17" t="e">
        <f>-53.07 + (304.89 * (AX20)) + (90.79 *Crescimento!#REF!) - (3.13 * Crescimento!#REF!*Crescimento!#REF!)</f>
        <v>#REF!</v>
      </c>
      <c r="BA20" s="16" t="e">
        <f>(BB19+(Crescimento!#REF!-(BB19*0.64))/0.8)/1000</f>
        <v>#REF!</v>
      </c>
      <c r="BB20" s="17" t="e">
        <f>-53.07 + (304.89 * (BA20)) + (90.79 *Crescimento!#REF!) - (3.13 * Crescimento!#REF!*Crescimento!#REF!)</f>
        <v>#REF!</v>
      </c>
      <c r="BD20" s="16" t="e">
        <f>(BE19+(Crescimento!#REF!-(BE19*0.64))/0.8)/1000</f>
        <v>#REF!</v>
      </c>
      <c r="BE20" s="17" t="e">
        <f>-53.07 + (304.89 * (BD20)) + (90.79 *Crescimento!#REF!) - (3.13 * Crescimento!#REF!*Crescimento!#REF!)</f>
        <v>#REF!</v>
      </c>
      <c r="BG20" s="16" t="e">
        <f>(BH19+(Crescimento!#REF!-(BH19*0.64))/0.8)/1000</f>
        <v>#REF!</v>
      </c>
      <c r="BH20" s="17" t="e">
        <f>-53.07 + (304.89 * (BG20)) + (90.79 *Crescimento!#REF!) - (3.13 * Crescimento!#REF!*Crescimento!#REF!)</f>
        <v>#REF!</v>
      </c>
      <c r="BJ20" s="16" t="e">
        <f>(BK19+(Crescimento!#REF!-(BK19*0.64))/0.8)/1000</f>
        <v>#REF!</v>
      </c>
      <c r="BK20" s="17" t="e">
        <f>-53.07 + (304.89 * (BJ20)) + (90.79 *Crescimento!#REF!) - (3.13 * Crescimento!#REF!*Crescimento!#REF!)</f>
        <v>#REF!</v>
      </c>
      <c r="BM20" s="16" t="e">
        <f>(BN19+(Crescimento!#REF!-(BN19*0.64))/0.8)/1000</f>
        <v>#REF!</v>
      </c>
      <c r="BN20" s="17" t="e">
        <f>-53.07 + (304.89 * (BM20)) + (90.79 *Crescimento!#REF!) - (3.13 * Crescimento!#REF!*Crescimento!#REF!)</f>
        <v>#REF!</v>
      </c>
      <c r="BP20" s="16" t="e">
        <f>(BQ19+(Crescimento!#REF!-(BQ19*0.64))/0.8)/1000</f>
        <v>#REF!</v>
      </c>
      <c r="BQ20" s="17" t="e">
        <f>-53.07 + (304.89 * (BP20)) + (90.79 *Crescimento!#REF!) - (3.13 * Crescimento!#REF!*Crescimento!#REF!)</f>
        <v>#REF!</v>
      </c>
      <c r="BS20" s="16" t="e">
        <f>(BT19+(Crescimento!#REF!-(BT19*0.64))/0.8)/1000</f>
        <v>#REF!</v>
      </c>
      <c r="BT20" s="17" t="e">
        <f>-53.07 + (304.89 * (BS20)) + (90.79 *Crescimento!#REF!) - (3.13 * Crescimento!#REF!*Crescimento!#REF!)</f>
        <v>#REF!</v>
      </c>
      <c r="BV20" s="16" t="e">
        <f>(BW19+(Crescimento!#REF!-(BW19*0.64))/0.8)/1000</f>
        <v>#REF!</v>
      </c>
      <c r="BW20" s="17" t="e">
        <f>-53.07 + (304.89 * (BV20)) + (90.79 *Crescimento!#REF!) - (3.13 * Crescimento!#REF!*Crescimento!#REF!)</f>
        <v>#REF!</v>
      </c>
      <c r="BY20" s="16" t="e">
        <f>(BZ19+(Crescimento!#REF!-(BZ19*0.64))/0.8)/1000</f>
        <v>#REF!</v>
      </c>
      <c r="BZ20" s="17" t="e">
        <f>-53.07 + (304.89 * (BY20)) + (90.79 *Crescimento!#REF!) - (3.13 * Crescimento!#REF!*Crescimento!#REF!)</f>
        <v>#REF!</v>
      </c>
      <c r="CB20" s="16" t="e">
        <f>(CC19+(Crescimento!#REF!-(CC19*0.64))/0.8)/1000</f>
        <v>#REF!</v>
      </c>
      <c r="CC20" s="17" t="e">
        <f>-53.07 + (304.89 * (CB20)) + (90.79 *Crescimento!#REF!) - (3.13 * Crescimento!#REF!*Crescimento!#REF!)</f>
        <v>#REF!</v>
      </c>
      <c r="CE20" s="16" t="e">
        <f>(CF19+(Crescimento!#REF!-(CF19*0.64))/0.8)/1000</f>
        <v>#REF!</v>
      </c>
      <c r="CF20" s="17" t="e">
        <f>-53.07 + (304.89 * (CE20)) + (90.79 *Crescimento!#REF!) - (3.13 * Crescimento!#REF!*Crescimento!#REF!)</f>
        <v>#REF!</v>
      </c>
      <c r="CH20" s="16" t="e">
        <f>(CI19+(Crescimento!#REF!-(CI19*0.64))/0.8)/1000</f>
        <v>#REF!</v>
      </c>
      <c r="CI20" s="17" t="e">
        <f>-53.07 + (304.89 * (CH20)) + (90.79 *Crescimento!#REF!) - (3.13 * Crescimento!#REF!*Crescimento!#REF!)</f>
        <v>#REF!</v>
      </c>
      <c r="CK20" s="16" t="e">
        <f>(CL19+(Crescimento!#REF!-(CL19*0.64))/0.8)/1000</f>
        <v>#REF!</v>
      </c>
      <c r="CL20" s="17" t="e">
        <f>-53.07 + (304.89 * (CK20)) + (90.79 *Crescimento!#REF!) - (3.13 * Crescimento!#REF!*Crescimento!#REF!)</f>
        <v>#REF!</v>
      </c>
    </row>
    <row r="21" spans="2:90" ht="15" customHeight="1" x14ac:dyDescent="0.25">
      <c r="B21" s="16">
        <f>(C20+('Vacas e Bezerros'!$O$29-(C20*0.64))/0.8)/1000</f>
        <v>1.1219974776113528</v>
      </c>
      <c r="C21" s="17">
        <f>-53.07 + (304.89 * (B21)) + (90.79 *'Vacas e Bezerros'!$O$23) - (3.13 * 'Vacas e Bezerros'!$O$23*'Vacas e Bezerros'!$O$23)</f>
        <v>715.77733851110622</v>
      </c>
      <c r="E21" s="16" t="e">
        <f>(F20+(Crescimento!#REF!-(F20*0.64))/0.8)/1000</f>
        <v>#REF!</v>
      </c>
      <c r="F21" s="17" t="e">
        <f>-53.07 + (304.89 * (E21)) + (90.79 *Crescimento!#REF!) - (3.13 * Crescimento!#REF!*Crescimento!#REF!)</f>
        <v>#REF!</v>
      </c>
      <c r="G21" s="1"/>
      <c r="H21" s="16" t="e">
        <f>(I20+(Crescimento!#REF!-(I20*0.64))/0.8)/1000</f>
        <v>#REF!</v>
      </c>
      <c r="I21" s="17" t="e">
        <f>-53.07 + (304.89 * (H21)) + (90.79 *Crescimento!#REF!) - (3.13 * Crescimento!#REF!*Crescimento!#REF!)</f>
        <v>#REF!</v>
      </c>
      <c r="K21" s="16" t="e">
        <f>(L20+(Crescimento!#REF!-(L20*0.64))/0.8)/1000</f>
        <v>#REF!</v>
      </c>
      <c r="L21" s="17" t="e">
        <f>-53.07 + (304.89 * (K21)) + (90.79 *Crescimento!#REF!) - (3.13 * Crescimento!#REF!*Crescimento!#REF!)</f>
        <v>#REF!</v>
      </c>
      <c r="N21" s="16" t="e">
        <f>(O20+(Crescimento!#REF!-(O20*0.64))/0.8)/1000</f>
        <v>#REF!</v>
      </c>
      <c r="O21" s="17" t="e">
        <f>-53.07 + (304.89 * (N21)) + (90.79 *Crescimento!#REF!) - (3.13 * Crescimento!#REF!*Crescimento!#REF!)</f>
        <v>#REF!</v>
      </c>
      <c r="Q21" s="16" t="e">
        <f>(R20+(Crescimento!#REF!-(R20*0.64))/0.8)/1000</f>
        <v>#REF!</v>
      </c>
      <c r="R21" s="17" t="e">
        <f>-53.07 + (304.89 * (Q21)) + (90.79 *Crescimento!#REF!) - (3.13 * Crescimento!#REF!*Crescimento!#REF!)</f>
        <v>#REF!</v>
      </c>
      <c r="T21" s="16" t="e">
        <f>(U20+(Crescimento!#REF!-(U20*0.64))/0.8)/1000</f>
        <v>#REF!</v>
      </c>
      <c r="U21" s="17" t="e">
        <f>-53.07 + (304.89 * (T21)) + (90.79 *Crescimento!#REF!) - (3.13 * Crescimento!#REF!*Crescimento!#REF!)</f>
        <v>#REF!</v>
      </c>
      <c r="W21" s="16" t="e">
        <f>(X20+(Crescimento!#REF!-(X20*0.64))/0.8)/1000</f>
        <v>#REF!</v>
      </c>
      <c r="X21" s="17" t="e">
        <f>-53.07 + (304.89 * (W21)) + (90.79 *Crescimento!#REF!) - (3.13 * Crescimento!#REF!*Crescimento!#REF!)</f>
        <v>#REF!</v>
      </c>
      <c r="Y21" s="6"/>
      <c r="Z21" s="16" t="e">
        <f>(AA20+(Crescimento!#REF!-(AA20*0.64))/0.8)/1000</f>
        <v>#REF!</v>
      </c>
      <c r="AA21" s="17" t="e">
        <f>-53.07 + (304.89 * (Z21)) + (90.79 *Crescimento!#REF!) - (3.13 * Crescimento!#REF!*Crescimento!#REF!)</f>
        <v>#REF!</v>
      </c>
      <c r="AB21" s="6"/>
      <c r="AC21" s="16" t="e">
        <f>(AD20+(Crescimento!#REF!-(AD20*0.64))/0.8)/1000</f>
        <v>#REF!</v>
      </c>
      <c r="AD21" s="17" t="e">
        <f>-53.07 + (304.89 * (AC21)) + (90.79 *Crescimento!#REF!) - (3.13 * Crescimento!#REF!*Crescimento!#REF!)</f>
        <v>#REF!</v>
      </c>
      <c r="AE21" s="17"/>
      <c r="AF21" s="16" t="e">
        <f>(AG20+(Crescimento!#REF!-(AG20*0.64))/0.8)/1000</f>
        <v>#REF!</v>
      </c>
      <c r="AG21" s="17" t="e">
        <f>-53.07 + (304.89 * (AF21)) + (90.79 *Crescimento!#REF!) - (3.13 * Crescimento!#REF!*Crescimento!#REF!)</f>
        <v>#REF!</v>
      </c>
      <c r="AI21" s="16" t="e">
        <f>(AJ20+(Crescimento!#REF!-(AJ20*0.64))/0.8)/1000</f>
        <v>#REF!</v>
      </c>
      <c r="AJ21" s="17" t="e">
        <f>-53.07 + (304.89 * (AI21)) + (90.79 *Crescimento!#REF!) - (3.13 * Crescimento!#REF!*Crescimento!#REF!)</f>
        <v>#REF!</v>
      </c>
      <c r="AL21" s="16" t="e">
        <f>(AM20+(Crescimento!#REF!-(AM20*0.64))/0.8)/1000</f>
        <v>#REF!</v>
      </c>
      <c r="AM21" s="17" t="e">
        <f>-53.07 + (304.89 * (AL21)) + (90.79 *Crescimento!#REF!) - (3.13 * Crescimento!#REF!*Crescimento!#REF!)</f>
        <v>#REF!</v>
      </c>
      <c r="AO21" s="16" t="e">
        <f>(AP20+(Crescimento!#REF!-(AP20*0.64))/0.8)/1000</f>
        <v>#REF!</v>
      </c>
      <c r="AP21" s="17" t="e">
        <f>-53.07 + (304.89 * (AO21)) + (90.79 *Crescimento!#REF!) - (3.13 * Crescimento!#REF!*Crescimento!#REF!)</f>
        <v>#REF!</v>
      </c>
      <c r="AR21" s="16" t="e">
        <f>(AS20+(Crescimento!#REF!-(AS20*0.64))/0.8)/1000</f>
        <v>#REF!</v>
      </c>
      <c r="AS21" s="17" t="e">
        <f>-53.07 + (304.89 * (AR21)) + (90.79 *Crescimento!#REF!) - (3.13 * Crescimento!#REF!*Crescimento!#REF!)</f>
        <v>#REF!</v>
      </c>
      <c r="AU21" s="16" t="e">
        <f>(AV20+(Crescimento!#REF!-(AV20*0.64))/0.8)/1000</f>
        <v>#REF!</v>
      </c>
      <c r="AV21" s="17" t="e">
        <f>-53.07 + (304.89 * (AU21)) + (90.79 *Crescimento!#REF!) - (3.13 * Crescimento!#REF!*Crescimento!#REF!)</f>
        <v>#REF!</v>
      </c>
      <c r="AX21" s="16" t="e">
        <f>(AY20+(Crescimento!#REF!-(AY20*0.64))/0.8)/1000</f>
        <v>#REF!</v>
      </c>
      <c r="AY21" s="17" t="e">
        <f>-53.07 + (304.89 * (AX21)) + (90.79 *Crescimento!#REF!) - (3.13 * Crescimento!#REF!*Crescimento!#REF!)</f>
        <v>#REF!</v>
      </c>
      <c r="BA21" s="16" t="e">
        <f>(BB20+(Crescimento!#REF!-(BB20*0.64))/0.8)/1000</f>
        <v>#REF!</v>
      </c>
      <c r="BB21" s="17" t="e">
        <f>-53.07 + (304.89 * (BA21)) + (90.79 *Crescimento!#REF!) - (3.13 * Crescimento!#REF!*Crescimento!#REF!)</f>
        <v>#REF!</v>
      </c>
      <c r="BD21" s="16" t="e">
        <f>(BE20+(Crescimento!#REF!-(BE20*0.64))/0.8)/1000</f>
        <v>#REF!</v>
      </c>
      <c r="BE21" s="17" t="e">
        <f>-53.07 + (304.89 * (BD21)) + (90.79 *Crescimento!#REF!) - (3.13 * Crescimento!#REF!*Crescimento!#REF!)</f>
        <v>#REF!</v>
      </c>
      <c r="BG21" s="16" t="e">
        <f>(BH20+(Crescimento!#REF!-(BH20*0.64))/0.8)/1000</f>
        <v>#REF!</v>
      </c>
      <c r="BH21" s="17" t="e">
        <f>-53.07 + (304.89 * (BG21)) + (90.79 *Crescimento!#REF!) - (3.13 * Crescimento!#REF!*Crescimento!#REF!)</f>
        <v>#REF!</v>
      </c>
      <c r="BJ21" s="16" t="e">
        <f>(BK20+(Crescimento!#REF!-(BK20*0.64))/0.8)/1000</f>
        <v>#REF!</v>
      </c>
      <c r="BK21" s="17" t="e">
        <f>-53.07 + (304.89 * (BJ21)) + (90.79 *Crescimento!#REF!) - (3.13 * Crescimento!#REF!*Crescimento!#REF!)</f>
        <v>#REF!</v>
      </c>
      <c r="BM21" s="16" t="e">
        <f>(BN20+(Crescimento!#REF!-(BN20*0.64))/0.8)/1000</f>
        <v>#REF!</v>
      </c>
      <c r="BN21" s="17" t="e">
        <f>-53.07 + (304.89 * (BM21)) + (90.79 *Crescimento!#REF!) - (3.13 * Crescimento!#REF!*Crescimento!#REF!)</f>
        <v>#REF!</v>
      </c>
      <c r="BP21" s="16" t="e">
        <f>(BQ20+(Crescimento!#REF!-(BQ20*0.64))/0.8)/1000</f>
        <v>#REF!</v>
      </c>
      <c r="BQ21" s="17" t="e">
        <f>-53.07 + (304.89 * (BP21)) + (90.79 *Crescimento!#REF!) - (3.13 * Crescimento!#REF!*Crescimento!#REF!)</f>
        <v>#REF!</v>
      </c>
      <c r="BS21" s="16" t="e">
        <f>(BT20+(Crescimento!#REF!-(BT20*0.64))/0.8)/1000</f>
        <v>#REF!</v>
      </c>
      <c r="BT21" s="17" t="e">
        <f>-53.07 + (304.89 * (BS21)) + (90.79 *Crescimento!#REF!) - (3.13 * Crescimento!#REF!*Crescimento!#REF!)</f>
        <v>#REF!</v>
      </c>
      <c r="BV21" s="16" t="e">
        <f>(BW20+(Crescimento!#REF!-(BW20*0.64))/0.8)/1000</f>
        <v>#REF!</v>
      </c>
      <c r="BW21" s="17" t="e">
        <f>-53.07 + (304.89 * (BV21)) + (90.79 *Crescimento!#REF!) - (3.13 * Crescimento!#REF!*Crescimento!#REF!)</f>
        <v>#REF!</v>
      </c>
      <c r="BY21" s="16" t="e">
        <f>(BZ20+(Crescimento!#REF!-(BZ20*0.64))/0.8)/1000</f>
        <v>#REF!</v>
      </c>
      <c r="BZ21" s="17" t="e">
        <f>-53.07 + (304.89 * (BY21)) + (90.79 *Crescimento!#REF!) - (3.13 * Crescimento!#REF!*Crescimento!#REF!)</f>
        <v>#REF!</v>
      </c>
      <c r="CB21" s="16" t="e">
        <f>(CC20+(Crescimento!#REF!-(CC20*0.64))/0.8)/1000</f>
        <v>#REF!</v>
      </c>
      <c r="CC21" s="17" t="e">
        <f>-53.07 + (304.89 * (CB21)) + (90.79 *Crescimento!#REF!) - (3.13 * Crescimento!#REF!*Crescimento!#REF!)</f>
        <v>#REF!</v>
      </c>
      <c r="CE21" s="16" t="e">
        <f>(CF20+(Crescimento!#REF!-(CF20*0.64))/0.8)/1000</f>
        <v>#REF!</v>
      </c>
      <c r="CF21" s="17" t="e">
        <f>-53.07 + (304.89 * (CE21)) + (90.79 *Crescimento!#REF!) - (3.13 * Crescimento!#REF!*Crescimento!#REF!)</f>
        <v>#REF!</v>
      </c>
      <c r="CH21" s="16" t="e">
        <f>(CI20+(Crescimento!#REF!-(CI20*0.64))/0.8)/1000</f>
        <v>#REF!</v>
      </c>
      <c r="CI21" s="17" t="e">
        <f>-53.07 + (304.89 * (CH21)) + (90.79 *Crescimento!#REF!) - (3.13 * Crescimento!#REF!*Crescimento!#REF!)</f>
        <v>#REF!</v>
      </c>
      <c r="CK21" s="16" t="e">
        <f>(CL20+(Crescimento!#REF!-(CL20*0.64))/0.8)/1000</f>
        <v>#REF!</v>
      </c>
      <c r="CL21" s="17" t="e">
        <f>-53.07 + (304.89 * (CK21)) + (90.79 *Crescimento!#REF!) - (3.13 * Crescimento!#REF!*Crescimento!#REF!)</f>
        <v>#REF!</v>
      </c>
    </row>
    <row r="22" spans="2:90" ht="15" customHeight="1" x14ac:dyDescent="0.25">
      <c r="B22" s="16">
        <f>(C21+('Vacas e Bezerros'!$O$29-(C21*0.64))/0.8)/1000</f>
        <v>1.1219974776113528</v>
      </c>
      <c r="C22" s="17">
        <f>-53.07 + (304.89 * (B22)) + (90.79 *'Vacas e Bezerros'!$O$23) - (3.13 * 'Vacas e Bezerros'!$O$23*'Vacas e Bezerros'!$O$23)</f>
        <v>715.77733851110622</v>
      </c>
      <c r="E22" s="16" t="e">
        <f>(F21+(Crescimento!#REF!-(F21*0.64))/0.8)/1000</f>
        <v>#REF!</v>
      </c>
      <c r="F22" s="17" t="e">
        <f>-53.07 + (304.89 * (E22)) + (90.79 *Crescimento!#REF!) - (3.13 * Crescimento!#REF!*Crescimento!#REF!)</f>
        <v>#REF!</v>
      </c>
      <c r="G22" s="1"/>
      <c r="H22" s="16" t="e">
        <f>(I21+(Crescimento!#REF!-(I21*0.64))/0.8)/1000</f>
        <v>#REF!</v>
      </c>
      <c r="I22" s="17" t="e">
        <f>-53.07 + (304.89 * (H22)) + (90.79 *Crescimento!#REF!) - (3.13 * Crescimento!#REF!*Crescimento!#REF!)</f>
        <v>#REF!</v>
      </c>
      <c r="K22" s="16" t="e">
        <f>(L21+(Crescimento!#REF!-(L21*0.64))/0.8)/1000</f>
        <v>#REF!</v>
      </c>
      <c r="L22" s="17" t="e">
        <f>-53.07 + (304.89 * (K22)) + (90.79 *Crescimento!#REF!) - (3.13 * Crescimento!#REF!*Crescimento!#REF!)</f>
        <v>#REF!</v>
      </c>
      <c r="N22" s="16" t="e">
        <f>(O21+(Crescimento!#REF!-(O21*0.64))/0.8)/1000</f>
        <v>#REF!</v>
      </c>
      <c r="O22" s="17" t="e">
        <f>-53.07 + (304.89 * (N22)) + (90.79 *Crescimento!#REF!) - (3.13 * Crescimento!#REF!*Crescimento!#REF!)</f>
        <v>#REF!</v>
      </c>
      <c r="Q22" s="16" t="e">
        <f>(R21+(Crescimento!#REF!-(R21*0.64))/0.8)/1000</f>
        <v>#REF!</v>
      </c>
      <c r="R22" s="17" t="e">
        <f>-53.07 + (304.89 * (Q22)) + (90.79 *Crescimento!#REF!) - (3.13 * Crescimento!#REF!*Crescimento!#REF!)</f>
        <v>#REF!</v>
      </c>
      <c r="T22" s="16" t="e">
        <f>(U21+(Crescimento!#REF!-(U21*0.64))/0.8)/1000</f>
        <v>#REF!</v>
      </c>
      <c r="U22" s="17" t="e">
        <f>-53.07 + (304.89 * (T22)) + (90.79 *Crescimento!#REF!) - (3.13 * Crescimento!#REF!*Crescimento!#REF!)</f>
        <v>#REF!</v>
      </c>
      <c r="W22" s="16" t="e">
        <f>(X21+(Crescimento!#REF!-(X21*0.64))/0.8)/1000</f>
        <v>#REF!</v>
      </c>
      <c r="X22" s="17" t="e">
        <f>-53.07 + (304.89 * (W22)) + (90.79 *Crescimento!#REF!) - (3.13 * Crescimento!#REF!*Crescimento!#REF!)</f>
        <v>#REF!</v>
      </c>
      <c r="Y22" s="6"/>
      <c r="Z22" s="16" t="e">
        <f>(AA21+(Crescimento!#REF!-(AA21*0.64))/0.8)/1000</f>
        <v>#REF!</v>
      </c>
      <c r="AA22" s="17" t="e">
        <f>-53.07 + (304.89 * (Z22)) + (90.79 *Crescimento!#REF!) - (3.13 * Crescimento!#REF!*Crescimento!#REF!)</f>
        <v>#REF!</v>
      </c>
      <c r="AB22" s="6"/>
      <c r="AC22" s="16" t="e">
        <f>(AD21+(Crescimento!#REF!-(AD21*0.64))/0.8)/1000</f>
        <v>#REF!</v>
      </c>
      <c r="AD22" s="17" t="e">
        <f>-53.07 + (304.89 * (AC22)) + (90.79 *Crescimento!#REF!) - (3.13 * Crescimento!#REF!*Crescimento!#REF!)</f>
        <v>#REF!</v>
      </c>
      <c r="AE22" s="17"/>
      <c r="AF22" s="16" t="e">
        <f>(AG21+(Crescimento!#REF!-(AG21*0.64))/0.8)/1000</f>
        <v>#REF!</v>
      </c>
      <c r="AG22" s="17" t="e">
        <f>-53.07 + (304.89 * (AF22)) + (90.79 *Crescimento!#REF!) - (3.13 * Crescimento!#REF!*Crescimento!#REF!)</f>
        <v>#REF!</v>
      </c>
      <c r="AI22" s="16" t="e">
        <f>(AJ21+(Crescimento!#REF!-(AJ21*0.64))/0.8)/1000</f>
        <v>#REF!</v>
      </c>
      <c r="AJ22" s="17" t="e">
        <f>-53.07 + (304.89 * (AI22)) + (90.79 *Crescimento!#REF!) - (3.13 * Crescimento!#REF!*Crescimento!#REF!)</f>
        <v>#REF!</v>
      </c>
      <c r="AL22" s="16" t="e">
        <f>(AM21+(Crescimento!#REF!-(AM21*0.64))/0.8)/1000</f>
        <v>#REF!</v>
      </c>
      <c r="AM22" s="17" t="e">
        <f>-53.07 + (304.89 * (AL22)) + (90.79 *Crescimento!#REF!) - (3.13 * Crescimento!#REF!*Crescimento!#REF!)</f>
        <v>#REF!</v>
      </c>
      <c r="AO22" s="16" t="e">
        <f>(AP21+(Crescimento!#REF!-(AP21*0.64))/0.8)/1000</f>
        <v>#REF!</v>
      </c>
      <c r="AP22" s="17" t="e">
        <f>-53.07 + (304.89 * (AO22)) + (90.79 *Crescimento!#REF!) - (3.13 * Crescimento!#REF!*Crescimento!#REF!)</f>
        <v>#REF!</v>
      </c>
      <c r="AR22" s="16" t="e">
        <f>(AS21+(Crescimento!#REF!-(AS21*0.64))/0.8)/1000</f>
        <v>#REF!</v>
      </c>
      <c r="AS22" s="17" t="e">
        <f>-53.07 + (304.89 * (AR22)) + (90.79 *Crescimento!#REF!) - (3.13 * Crescimento!#REF!*Crescimento!#REF!)</f>
        <v>#REF!</v>
      </c>
      <c r="AU22" s="16" t="e">
        <f>(AV21+(Crescimento!#REF!-(AV21*0.64))/0.8)/1000</f>
        <v>#REF!</v>
      </c>
      <c r="AV22" s="17" t="e">
        <f>-53.07 + (304.89 * (AU22)) + (90.79 *Crescimento!#REF!) - (3.13 * Crescimento!#REF!*Crescimento!#REF!)</f>
        <v>#REF!</v>
      </c>
      <c r="AX22" s="16" t="e">
        <f>(AY21+(Crescimento!#REF!-(AY21*0.64))/0.8)/1000</f>
        <v>#REF!</v>
      </c>
      <c r="AY22" s="17" t="e">
        <f>-53.07 + (304.89 * (AX22)) + (90.79 *Crescimento!#REF!) - (3.13 * Crescimento!#REF!*Crescimento!#REF!)</f>
        <v>#REF!</v>
      </c>
      <c r="BA22" s="16" t="e">
        <f>(BB21+(Crescimento!#REF!-(BB21*0.64))/0.8)/1000</f>
        <v>#REF!</v>
      </c>
      <c r="BB22" s="17" t="e">
        <f>-53.07 + (304.89 * (BA22)) + (90.79 *Crescimento!#REF!) - (3.13 * Crescimento!#REF!*Crescimento!#REF!)</f>
        <v>#REF!</v>
      </c>
      <c r="BD22" s="16" t="e">
        <f>(BE21+(Crescimento!#REF!-(BE21*0.64))/0.8)/1000</f>
        <v>#REF!</v>
      </c>
      <c r="BE22" s="17" t="e">
        <f>-53.07 + (304.89 * (BD22)) + (90.79 *Crescimento!#REF!) - (3.13 * Crescimento!#REF!*Crescimento!#REF!)</f>
        <v>#REF!</v>
      </c>
      <c r="BG22" s="16" t="e">
        <f>(BH21+(Crescimento!#REF!-(BH21*0.64))/0.8)/1000</f>
        <v>#REF!</v>
      </c>
      <c r="BH22" s="17" t="e">
        <f>-53.07 + (304.89 * (BG22)) + (90.79 *Crescimento!#REF!) - (3.13 * Crescimento!#REF!*Crescimento!#REF!)</f>
        <v>#REF!</v>
      </c>
      <c r="BJ22" s="16" t="e">
        <f>(BK21+(Crescimento!#REF!-(BK21*0.64))/0.8)/1000</f>
        <v>#REF!</v>
      </c>
      <c r="BK22" s="17" t="e">
        <f>-53.07 + (304.89 * (BJ22)) + (90.79 *Crescimento!#REF!) - (3.13 * Crescimento!#REF!*Crescimento!#REF!)</f>
        <v>#REF!</v>
      </c>
      <c r="BM22" s="16" t="e">
        <f>(BN21+(Crescimento!#REF!-(BN21*0.64))/0.8)/1000</f>
        <v>#REF!</v>
      </c>
      <c r="BN22" s="17" t="e">
        <f>-53.07 + (304.89 * (BM22)) + (90.79 *Crescimento!#REF!) - (3.13 * Crescimento!#REF!*Crescimento!#REF!)</f>
        <v>#REF!</v>
      </c>
      <c r="BP22" s="16" t="e">
        <f>(BQ21+(Crescimento!#REF!-(BQ21*0.64))/0.8)/1000</f>
        <v>#REF!</v>
      </c>
      <c r="BQ22" s="17" t="e">
        <f>-53.07 + (304.89 * (BP22)) + (90.79 *Crescimento!#REF!) - (3.13 * Crescimento!#REF!*Crescimento!#REF!)</f>
        <v>#REF!</v>
      </c>
      <c r="BS22" s="16" t="e">
        <f>(BT21+(Crescimento!#REF!-(BT21*0.64))/0.8)/1000</f>
        <v>#REF!</v>
      </c>
      <c r="BT22" s="17" t="e">
        <f>-53.07 + (304.89 * (BS22)) + (90.79 *Crescimento!#REF!) - (3.13 * Crescimento!#REF!*Crescimento!#REF!)</f>
        <v>#REF!</v>
      </c>
      <c r="BV22" s="16" t="e">
        <f>(BW21+(Crescimento!#REF!-(BW21*0.64))/0.8)/1000</f>
        <v>#REF!</v>
      </c>
      <c r="BW22" s="17" t="e">
        <f>-53.07 + (304.89 * (BV22)) + (90.79 *Crescimento!#REF!) - (3.13 * Crescimento!#REF!*Crescimento!#REF!)</f>
        <v>#REF!</v>
      </c>
      <c r="BY22" s="16" t="e">
        <f>(BZ21+(Crescimento!#REF!-(BZ21*0.64))/0.8)/1000</f>
        <v>#REF!</v>
      </c>
      <c r="BZ22" s="17" t="e">
        <f>-53.07 + (304.89 * (BY22)) + (90.79 *Crescimento!#REF!) - (3.13 * Crescimento!#REF!*Crescimento!#REF!)</f>
        <v>#REF!</v>
      </c>
      <c r="CB22" s="16" t="e">
        <f>(CC21+(Crescimento!#REF!-(CC21*0.64))/0.8)/1000</f>
        <v>#REF!</v>
      </c>
      <c r="CC22" s="17" t="e">
        <f>-53.07 + (304.89 * (CB22)) + (90.79 *Crescimento!#REF!) - (3.13 * Crescimento!#REF!*Crescimento!#REF!)</f>
        <v>#REF!</v>
      </c>
      <c r="CE22" s="16" t="e">
        <f>(CF21+(Crescimento!#REF!-(CF21*0.64))/0.8)/1000</f>
        <v>#REF!</v>
      </c>
      <c r="CF22" s="17" t="e">
        <f>-53.07 + (304.89 * (CE22)) + (90.79 *Crescimento!#REF!) - (3.13 * Crescimento!#REF!*Crescimento!#REF!)</f>
        <v>#REF!</v>
      </c>
      <c r="CH22" s="16" t="e">
        <f>(CI21+(Crescimento!#REF!-(CI21*0.64))/0.8)/1000</f>
        <v>#REF!</v>
      </c>
      <c r="CI22" s="17" t="e">
        <f>-53.07 + (304.89 * (CH22)) + (90.79 *Crescimento!#REF!) - (3.13 * Crescimento!#REF!*Crescimento!#REF!)</f>
        <v>#REF!</v>
      </c>
      <c r="CK22" s="16" t="e">
        <f>(CL21+(Crescimento!#REF!-(CL21*0.64))/0.8)/1000</f>
        <v>#REF!</v>
      </c>
      <c r="CL22" s="17" t="e">
        <f>-53.07 + (304.89 * (CK22)) + (90.79 *Crescimento!#REF!) - (3.13 * Crescimento!#REF!*Crescimento!#REF!)</f>
        <v>#REF!</v>
      </c>
    </row>
    <row r="23" spans="2:90" ht="15" customHeight="1" x14ac:dyDescent="0.25">
      <c r="B23" s="16">
        <f>(C22+('Vacas e Bezerros'!$O$29-(C22*0.64))/0.8)/1000</f>
        <v>1.1219974776113528</v>
      </c>
      <c r="C23" s="17">
        <f>-53.07 + (304.89 * (B23)) + (90.79 *'Vacas e Bezerros'!$O$23) - (3.13 * 'Vacas e Bezerros'!$O$23*'Vacas e Bezerros'!$O$23)</f>
        <v>715.77733851110622</v>
      </c>
      <c r="E23" s="16" t="e">
        <f>(F22+(Crescimento!#REF!-(F22*0.64))/0.8)/1000</f>
        <v>#REF!</v>
      </c>
      <c r="F23" s="17" t="e">
        <f>-53.07 + (304.89 * (E23)) + (90.79 *Crescimento!#REF!) - (3.13 * Crescimento!#REF!*Crescimento!#REF!)</f>
        <v>#REF!</v>
      </c>
      <c r="G23" s="1"/>
      <c r="H23" s="16" t="e">
        <f>(I22+(Crescimento!#REF!-(I22*0.64))/0.8)/1000</f>
        <v>#REF!</v>
      </c>
      <c r="I23" s="17" t="e">
        <f>-53.07 + (304.89 * (H23)) + (90.79 *Crescimento!#REF!) - (3.13 * Crescimento!#REF!*Crescimento!#REF!)</f>
        <v>#REF!</v>
      </c>
      <c r="K23" s="16" t="e">
        <f>(L22+(Crescimento!#REF!-(L22*0.64))/0.8)/1000</f>
        <v>#REF!</v>
      </c>
      <c r="L23" s="17" t="e">
        <f>-53.07 + (304.89 * (K23)) + (90.79 *Crescimento!#REF!) - (3.13 * Crescimento!#REF!*Crescimento!#REF!)</f>
        <v>#REF!</v>
      </c>
      <c r="N23" s="16" t="e">
        <f>(O22+(Crescimento!#REF!-(O22*0.64))/0.8)/1000</f>
        <v>#REF!</v>
      </c>
      <c r="O23" s="17" t="e">
        <f>-53.07 + (304.89 * (N23)) + (90.79 *Crescimento!#REF!) - (3.13 * Crescimento!#REF!*Crescimento!#REF!)</f>
        <v>#REF!</v>
      </c>
      <c r="Q23" s="16" t="e">
        <f>(R22+(Crescimento!#REF!-(R22*0.64))/0.8)/1000</f>
        <v>#REF!</v>
      </c>
      <c r="R23" s="17" t="e">
        <f>-53.07 + (304.89 * (Q23)) + (90.79 *Crescimento!#REF!) - (3.13 * Crescimento!#REF!*Crescimento!#REF!)</f>
        <v>#REF!</v>
      </c>
      <c r="T23" s="16" t="e">
        <f>(U22+(Crescimento!#REF!-(U22*0.64))/0.8)/1000</f>
        <v>#REF!</v>
      </c>
      <c r="U23" s="17" t="e">
        <f>-53.07 + (304.89 * (T23)) + (90.79 *Crescimento!#REF!) - (3.13 * Crescimento!#REF!*Crescimento!#REF!)</f>
        <v>#REF!</v>
      </c>
      <c r="W23" s="16" t="e">
        <f>(X22+(Crescimento!#REF!-(X22*0.64))/0.8)/1000</f>
        <v>#REF!</v>
      </c>
      <c r="X23" s="17" t="e">
        <f>-53.07 + (304.89 * (W23)) + (90.79 *Crescimento!#REF!) - (3.13 * Crescimento!#REF!*Crescimento!#REF!)</f>
        <v>#REF!</v>
      </c>
      <c r="Y23" s="6"/>
      <c r="Z23" s="16" t="e">
        <f>(AA22+(Crescimento!#REF!-(AA22*0.64))/0.8)/1000</f>
        <v>#REF!</v>
      </c>
      <c r="AA23" s="17" t="e">
        <f>-53.07 + (304.89 * (Z23)) + (90.79 *Crescimento!#REF!) - (3.13 * Crescimento!#REF!*Crescimento!#REF!)</f>
        <v>#REF!</v>
      </c>
      <c r="AB23" s="6"/>
      <c r="AC23" s="16" t="e">
        <f>(AD22+(Crescimento!#REF!-(AD22*0.64))/0.8)/1000</f>
        <v>#REF!</v>
      </c>
      <c r="AD23" s="17" t="e">
        <f>-53.07 + (304.89 * (AC23)) + (90.79 *Crescimento!#REF!) - (3.13 * Crescimento!#REF!*Crescimento!#REF!)</f>
        <v>#REF!</v>
      </c>
      <c r="AE23" s="17"/>
      <c r="AF23" s="16" t="e">
        <f>(AG22+(Crescimento!#REF!-(AG22*0.64))/0.8)/1000</f>
        <v>#REF!</v>
      </c>
      <c r="AG23" s="17" t="e">
        <f>-53.07 + (304.89 * (AF23)) + (90.79 *Crescimento!#REF!) - (3.13 * Crescimento!#REF!*Crescimento!#REF!)</f>
        <v>#REF!</v>
      </c>
      <c r="AI23" s="16" t="e">
        <f>(AJ22+(Crescimento!#REF!-(AJ22*0.64))/0.8)/1000</f>
        <v>#REF!</v>
      </c>
      <c r="AJ23" s="17" t="e">
        <f>-53.07 + (304.89 * (AI23)) + (90.79 *Crescimento!#REF!) - (3.13 * Crescimento!#REF!*Crescimento!#REF!)</f>
        <v>#REF!</v>
      </c>
      <c r="AL23" s="16" t="e">
        <f>(AM22+(Crescimento!#REF!-(AM22*0.64))/0.8)/1000</f>
        <v>#REF!</v>
      </c>
      <c r="AM23" s="17" t="e">
        <f>-53.07 + (304.89 * (AL23)) + (90.79 *Crescimento!#REF!) - (3.13 * Crescimento!#REF!*Crescimento!#REF!)</f>
        <v>#REF!</v>
      </c>
      <c r="AO23" s="16" t="e">
        <f>(AP22+(Crescimento!#REF!-(AP22*0.64))/0.8)/1000</f>
        <v>#REF!</v>
      </c>
      <c r="AP23" s="17" t="e">
        <f>-53.07 + (304.89 * (AO23)) + (90.79 *Crescimento!#REF!) - (3.13 * Crescimento!#REF!*Crescimento!#REF!)</f>
        <v>#REF!</v>
      </c>
      <c r="AR23" s="16" t="e">
        <f>(AS22+(Crescimento!#REF!-(AS22*0.64))/0.8)/1000</f>
        <v>#REF!</v>
      </c>
      <c r="AS23" s="17" t="e">
        <f>-53.07 + (304.89 * (AR23)) + (90.79 *Crescimento!#REF!) - (3.13 * Crescimento!#REF!*Crescimento!#REF!)</f>
        <v>#REF!</v>
      </c>
      <c r="AU23" s="16" t="e">
        <f>(AV22+(Crescimento!#REF!-(AV22*0.64))/0.8)/1000</f>
        <v>#REF!</v>
      </c>
      <c r="AV23" s="17" t="e">
        <f>-53.07 + (304.89 * (AU23)) + (90.79 *Crescimento!#REF!) - (3.13 * Crescimento!#REF!*Crescimento!#REF!)</f>
        <v>#REF!</v>
      </c>
      <c r="AX23" s="16" t="e">
        <f>(AY22+(Crescimento!#REF!-(AY22*0.64))/0.8)/1000</f>
        <v>#REF!</v>
      </c>
      <c r="AY23" s="17" t="e">
        <f>-53.07 + (304.89 * (AX23)) + (90.79 *Crescimento!#REF!) - (3.13 * Crescimento!#REF!*Crescimento!#REF!)</f>
        <v>#REF!</v>
      </c>
      <c r="BA23" s="16" t="e">
        <f>(BB22+(Crescimento!#REF!-(BB22*0.64))/0.8)/1000</f>
        <v>#REF!</v>
      </c>
      <c r="BB23" s="17" t="e">
        <f>-53.07 + (304.89 * (BA23)) + (90.79 *Crescimento!#REF!) - (3.13 * Crescimento!#REF!*Crescimento!#REF!)</f>
        <v>#REF!</v>
      </c>
      <c r="BD23" s="16" t="e">
        <f>(BE22+(Crescimento!#REF!-(BE22*0.64))/0.8)/1000</f>
        <v>#REF!</v>
      </c>
      <c r="BE23" s="17" t="e">
        <f>-53.07 + (304.89 * (BD23)) + (90.79 *Crescimento!#REF!) - (3.13 * Crescimento!#REF!*Crescimento!#REF!)</f>
        <v>#REF!</v>
      </c>
      <c r="BG23" s="16" t="e">
        <f>(BH22+(Crescimento!#REF!-(BH22*0.64))/0.8)/1000</f>
        <v>#REF!</v>
      </c>
      <c r="BH23" s="17" t="e">
        <f>-53.07 + (304.89 * (BG23)) + (90.79 *Crescimento!#REF!) - (3.13 * Crescimento!#REF!*Crescimento!#REF!)</f>
        <v>#REF!</v>
      </c>
      <c r="BJ23" s="16" t="e">
        <f>(BK22+(Crescimento!#REF!-(BK22*0.64))/0.8)/1000</f>
        <v>#REF!</v>
      </c>
      <c r="BK23" s="17" t="e">
        <f>-53.07 + (304.89 * (BJ23)) + (90.79 *Crescimento!#REF!) - (3.13 * Crescimento!#REF!*Crescimento!#REF!)</f>
        <v>#REF!</v>
      </c>
      <c r="BM23" s="16" t="e">
        <f>(BN22+(Crescimento!#REF!-(BN22*0.64))/0.8)/1000</f>
        <v>#REF!</v>
      </c>
      <c r="BN23" s="17" t="e">
        <f>-53.07 + (304.89 * (BM23)) + (90.79 *Crescimento!#REF!) - (3.13 * Crescimento!#REF!*Crescimento!#REF!)</f>
        <v>#REF!</v>
      </c>
      <c r="BP23" s="16" t="e">
        <f>(BQ22+(Crescimento!#REF!-(BQ22*0.64))/0.8)/1000</f>
        <v>#REF!</v>
      </c>
      <c r="BQ23" s="17" t="e">
        <f>-53.07 + (304.89 * (BP23)) + (90.79 *Crescimento!#REF!) - (3.13 * Crescimento!#REF!*Crescimento!#REF!)</f>
        <v>#REF!</v>
      </c>
      <c r="BS23" s="16" t="e">
        <f>(BT22+(Crescimento!#REF!-(BT22*0.64))/0.8)/1000</f>
        <v>#REF!</v>
      </c>
      <c r="BT23" s="17" t="e">
        <f>-53.07 + (304.89 * (BS23)) + (90.79 *Crescimento!#REF!) - (3.13 * Crescimento!#REF!*Crescimento!#REF!)</f>
        <v>#REF!</v>
      </c>
      <c r="BV23" s="16" t="e">
        <f>(BW22+(Crescimento!#REF!-(BW22*0.64))/0.8)/1000</f>
        <v>#REF!</v>
      </c>
      <c r="BW23" s="17" t="e">
        <f>-53.07 + (304.89 * (BV23)) + (90.79 *Crescimento!#REF!) - (3.13 * Crescimento!#REF!*Crescimento!#REF!)</f>
        <v>#REF!</v>
      </c>
      <c r="BY23" s="16" t="e">
        <f>(BZ22+(Crescimento!#REF!-(BZ22*0.64))/0.8)/1000</f>
        <v>#REF!</v>
      </c>
      <c r="BZ23" s="17" t="e">
        <f>-53.07 + (304.89 * (BY23)) + (90.79 *Crescimento!#REF!) - (3.13 * Crescimento!#REF!*Crescimento!#REF!)</f>
        <v>#REF!</v>
      </c>
      <c r="CB23" s="16" t="e">
        <f>(CC22+(Crescimento!#REF!-(CC22*0.64))/0.8)/1000</f>
        <v>#REF!</v>
      </c>
      <c r="CC23" s="17" t="e">
        <f>-53.07 + (304.89 * (CB23)) + (90.79 *Crescimento!#REF!) - (3.13 * Crescimento!#REF!*Crescimento!#REF!)</f>
        <v>#REF!</v>
      </c>
      <c r="CE23" s="16" t="e">
        <f>(CF22+(Crescimento!#REF!-(CF22*0.64))/0.8)/1000</f>
        <v>#REF!</v>
      </c>
      <c r="CF23" s="17" t="e">
        <f>-53.07 + (304.89 * (CE23)) + (90.79 *Crescimento!#REF!) - (3.13 * Crescimento!#REF!*Crescimento!#REF!)</f>
        <v>#REF!</v>
      </c>
      <c r="CH23" s="16" t="e">
        <f>(CI22+(Crescimento!#REF!-(CI22*0.64))/0.8)/1000</f>
        <v>#REF!</v>
      </c>
      <c r="CI23" s="17" t="e">
        <f>-53.07 + (304.89 * (CH23)) + (90.79 *Crescimento!#REF!) - (3.13 * Crescimento!#REF!*Crescimento!#REF!)</f>
        <v>#REF!</v>
      </c>
      <c r="CK23" s="16" t="e">
        <f>(CL22+(Crescimento!#REF!-(CL22*0.64))/0.8)/1000</f>
        <v>#REF!</v>
      </c>
      <c r="CL23" s="17" t="e">
        <f>-53.07 + (304.89 * (CK23)) + (90.79 *Crescimento!#REF!) - (3.13 * Crescimento!#REF!*Crescimento!#REF!)</f>
        <v>#REF!</v>
      </c>
    </row>
    <row r="24" spans="2:90" ht="15" customHeight="1" x14ac:dyDescent="0.25">
      <c r="B24" s="16">
        <f>(C23+('Vacas e Bezerros'!$O$29-(C23*0.64))/0.8)/1000</f>
        <v>1.1219974776113528</v>
      </c>
      <c r="C24" s="17">
        <f>-53.07 + (304.89 * (B24)) + (90.79 *'Vacas e Bezerros'!$O$23) - (3.13 * 'Vacas e Bezerros'!$O$23*'Vacas e Bezerros'!$O$23)</f>
        <v>715.77733851110622</v>
      </c>
      <c r="E24" s="16" t="e">
        <f>(F23+(Crescimento!#REF!-(F23*0.64))/0.8)/1000</f>
        <v>#REF!</v>
      </c>
      <c r="F24" s="17" t="e">
        <f>-53.07 + (304.89 * (E24)) + (90.79 *Crescimento!#REF!) - (3.13 * Crescimento!#REF!*Crescimento!#REF!)</f>
        <v>#REF!</v>
      </c>
      <c r="G24" s="1"/>
      <c r="H24" s="16" t="e">
        <f>(I23+(Crescimento!#REF!-(I23*0.64))/0.8)/1000</f>
        <v>#REF!</v>
      </c>
      <c r="I24" s="17" t="e">
        <f>-53.07 + (304.89 * (H24)) + (90.79 *Crescimento!#REF!) - (3.13 * Crescimento!#REF!*Crescimento!#REF!)</f>
        <v>#REF!</v>
      </c>
      <c r="K24" s="16" t="e">
        <f>(L23+(Crescimento!#REF!-(L23*0.64))/0.8)/1000</f>
        <v>#REF!</v>
      </c>
      <c r="L24" s="17" t="e">
        <f>-53.07 + (304.89 * (K24)) + (90.79 *Crescimento!#REF!) - (3.13 * Crescimento!#REF!*Crescimento!#REF!)</f>
        <v>#REF!</v>
      </c>
      <c r="N24" s="16" t="e">
        <f>(O23+(Crescimento!#REF!-(O23*0.64))/0.8)/1000</f>
        <v>#REF!</v>
      </c>
      <c r="O24" s="17" t="e">
        <f>-53.07 + (304.89 * (N24)) + (90.79 *Crescimento!#REF!) - (3.13 * Crescimento!#REF!*Crescimento!#REF!)</f>
        <v>#REF!</v>
      </c>
      <c r="Q24" s="16" t="e">
        <f>(R23+(Crescimento!#REF!-(R23*0.64))/0.8)/1000</f>
        <v>#REF!</v>
      </c>
      <c r="R24" s="17" t="e">
        <f>-53.07 + (304.89 * (Q24)) + (90.79 *Crescimento!#REF!) - (3.13 * Crescimento!#REF!*Crescimento!#REF!)</f>
        <v>#REF!</v>
      </c>
      <c r="T24" s="16" t="e">
        <f>(U23+(Crescimento!#REF!-(U23*0.64))/0.8)/1000</f>
        <v>#REF!</v>
      </c>
      <c r="U24" s="17" t="e">
        <f>-53.07 + (304.89 * (T24)) + (90.79 *Crescimento!#REF!) - (3.13 * Crescimento!#REF!*Crescimento!#REF!)</f>
        <v>#REF!</v>
      </c>
      <c r="W24" s="16" t="e">
        <f>(X23+(Crescimento!#REF!-(X23*0.64))/0.8)/1000</f>
        <v>#REF!</v>
      </c>
      <c r="X24" s="17" t="e">
        <f>-53.07 + (304.89 * (W24)) + (90.79 *Crescimento!#REF!) - (3.13 * Crescimento!#REF!*Crescimento!#REF!)</f>
        <v>#REF!</v>
      </c>
      <c r="Y24" s="6"/>
      <c r="Z24" s="16" t="e">
        <f>(AA23+(Crescimento!#REF!-(AA23*0.64))/0.8)/1000</f>
        <v>#REF!</v>
      </c>
      <c r="AA24" s="17" t="e">
        <f>-53.07 + (304.89 * (Z24)) + (90.79 *Crescimento!#REF!) - (3.13 * Crescimento!#REF!*Crescimento!#REF!)</f>
        <v>#REF!</v>
      </c>
      <c r="AB24" s="6"/>
      <c r="AC24" s="16" t="e">
        <f>(AD23+(Crescimento!#REF!-(AD23*0.64))/0.8)/1000</f>
        <v>#REF!</v>
      </c>
      <c r="AD24" s="17" t="e">
        <f>-53.07 + (304.89 * (AC24)) + (90.79 *Crescimento!#REF!) - (3.13 * Crescimento!#REF!*Crescimento!#REF!)</f>
        <v>#REF!</v>
      </c>
      <c r="AE24" s="17"/>
      <c r="AF24" s="16" t="e">
        <f>(AG23+(Crescimento!#REF!-(AG23*0.64))/0.8)/1000</f>
        <v>#REF!</v>
      </c>
      <c r="AG24" s="17" t="e">
        <f>-53.07 + (304.89 * (AF24)) + (90.79 *Crescimento!#REF!) - (3.13 * Crescimento!#REF!*Crescimento!#REF!)</f>
        <v>#REF!</v>
      </c>
      <c r="AI24" s="16" t="e">
        <f>(AJ23+(Crescimento!#REF!-(AJ23*0.64))/0.8)/1000</f>
        <v>#REF!</v>
      </c>
      <c r="AJ24" s="17" t="e">
        <f>-53.07 + (304.89 * (AI24)) + (90.79 *Crescimento!#REF!) - (3.13 * Crescimento!#REF!*Crescimento!#REF!)</f>
        <v>#REF!</v>
      </c>
      <c r="AL24" s="16" t="e">
        <f>(AM23+(Crescimento!#REF!-(AM23*0.64))/0.8)/1000</f>
        <v>#REF!</v>
      </c>
      <c r="AM24" s="17" t="e">
        <f>-53.07 + (304.89 * (AL24)) + (90.79 *Crescimento!#REF!) - (3.13 * Crescimento!#REF!*Crescimento!#REF!)</f>
        <v>#REF!</v>
      </c>
      <c r="AO24" s="16" t="e">
        <f>(AP23+(Crescimento!#REF!-(AP23*0.64))/0.8)/1000</f>
        <v>#REF!</v>
      </c>
      <c r="AP24" s="17" t="e">
        <f>-53.07 + (304.89 * (AO24)) + (90.79 *Crescimento!#REF!) - (3.13 * Crescimento!#REF!*Crescimento!#REF!)</f>
        <v>#REF!</v>
      </c>
      <c r="AR24" s="16" t="e">
        <f>(AS23+(Crescimento!#REF!-(AS23*0.64))/0.8)/1000</f>
        <v>#REF!</v>
      </c>
      <c r="AS24" s="17" t="e">
        <f>-53.07 + (304.89 * (AR24)) + (90.79 *Crescimento!#REF!) - (3.13 * Crescimento!#REF!*Crescimento!#REF!)</f>
        <v>#REF!</v>
      </c>
      <c r="AU24" s="16" t="e">
        <f>(AV23+(Crescimento!#REF!-(AV23*0.64))/0.8)/1000</f>
        <v>#REF!</v>
      </c>
      <c r="AV24" s="17" t="e">
        <f>-53.07 + (304.89 * (AU24)) + (90.79 *Crescimento!#REF!) - (3.13 * Crescimento!#REF!*Crescimento!#REF!)</f>
        <v>#REF!</v>
      </c>
      <c r="AX24" s="16" t="e">
        <f>(AY23+(Crescimento!#REF!-(AY23*0.64))/0.8)/1000</f>
        <v>#REF!</v>
      </c>
      <c r="AY24" s="17" t="e">
        <f>-53.07 + (304.89 * (AX24)) + (90.79 *Crescimento!#REF!) - (3.13 * Crescimento!#REF!*Crescimento!#REF!)</f>
        <v>#REF!</v>
      </c>
      <c r="BA24" s="16" t="e">
        <f>(BB23+(Crescimento!#REF!-(BB23*0.64))/0.8)/1000</f>
        <v>#REF!</v>
      </c>
      <c r="BB24" s="17" t="e">
        <f>-53.07 + (304.89 * (BA24)) + (90.79 *Crescimento!#REF!) - (3.13 * Crescimento!#REF!*Crescimento!#REF!)</f>
        <v>#REF!</v>
      </c>
      <c r="BD24" s="16" t="e">
        <f>(BE23+(Crescimento!#REF!-(BE23*0.64))/0.8)/1000</f>
        <v>#REF!</v>
      </c>
      <c r="BE24" s="17" t="e">
        <f>-53.07 + (304.89 * (BD24)) + (90.79 *Crescimento!#REF!) - (3.13 * Crescimento!#REF!*Crescimento!#REF!)</f>
        <v>#REF!</v>
      </c>
      <c r="BG24" s="16" t="e">
        <f>(BH23+(Crescimento!#REF!-(BH23*0.64))/0.8)/1000</f>
        <v>#REF!</v>
      </c>
      <c r="BH24" s="17" t="e">
        <f>-53.07 + (304.89 * (BG24)) + (90.79 *Crescimento!#REF!) - (3.13 * Crescimento!#REF!*Crescimento!#REF!)</f>
        <v>#REF!</v>
      </c>
      <c r="BJ24" s="16" t="e">
        <f>(BK23+(Crescimento!#REF!-(BK23*0.64))/0.8)/1000</f>
        <v>#REF!</v>
      </c>
      <c r="BK24" s="17" t="e">
        <f>-53.07 + (304.89 * (BJ24)) + (90.79 *Crescimento!#REF!) - (3.13 * Crescimento!#REF!*Crescimento!#REF!)</f>
        <v>#REF!</v>
      </c>
      <c r="BM24" s="16" t="e">
        <f>(BN23+(Crescimento!#REF!-(BN23*0.64))/0.8)/1000</f>
        <v>#REF!</v>
      </c>
      <c r="BN24" s="17" t="e">
        <f>-53.07 + (304.89 * (BM24)) + (90.79 *Crescimento!#REF!) - (3.13 * Crescimento!#REF!*Crescimento!#REF!)</f>
        <v>#REF!</v>
      </c>
      <c r="BP24" s="16" t="e">
        <f>(BQ23+(Crescimento!#REF!-(BQ23*0.64))/0.8)/1000</f>
        <v>#REF!</v>
      </c>
      <c r="BQ24" s="17" t="e">
        <f>-53.07 + (304.89 * (BP24)) + (90.79 *Crescimento!#REF!) - (3.13 * Crescimento!#REF!*Crescimento!#REF!)</f>
        <v>#REF!</v>
      </c>
      <c r="BS24" s="16" t="e">
        <f>(BT23+(Crescimento!#REF!-(BT23*0.64))/0.8)/1000</f>
        <v>#REF!</v>
      </c>
      <c r="BT24" s="17" t="e">
        <f>-53.07 + (304.89 * (BS24)) + (90.79 *Crescimento!#REF!) - (3.13 * Crescimento!#REF!*Crescimento!#REF!)</f>
        <v>#REF!</v>
      </c>
      <c r="BV24" s="16" t="e">
        <f>(BW23+(Crescimento!#REF!-(BW23*0.64))/0.8)/1000</f>
        <v>#REF!</v>
      </c>
      <c r="BW24" s="17" t="e">
        <f>-53.07 + (304.89 * (BV24)) + (90.79 *Crescimento!#REF!) - (3.13 * Crescimento!#REF!*Crescimento!#REF!)</f>
        <v>#REF!</v>
      </c>
      <c r="BY24" s="16" t="e">
        <f>(BZ23+(Crescimento!#REF!-(BZ23*0.64))/0.8)/1000</f>
        <v>#REF!</v>
      </c>
      <c r="BZ24" s="17" t="e">
        <f>-53.07 + (304.89 * (BY24)) + (90.79 *Crescimento!#REF!) - (3.13 * Crescimento!#REF!*Crescimento!#REF!)</f>
        <v>#REF!</v>
      </c>
      <c r="CB24" s="16" t="e">
        <f>(CC23+(Crescimento!#REF!-(CC23*0.64))/0.8)/1000</f>
        <v>#REF!</v>
      </c>
      <c r="CC24" s="17" t="e">
        <f>-53.07 + (304.89 * (CB24)) + (90.79 *Crescimento!#REF!) - (3.13 * Crescimento!#REF!*Crescimento!#REF!)</f>
        <v>#REF!</v>
      </c>
      <c r="CE24" s="16" t="e">
        <f>(CF23+(Crescimento!#REF!-(CF23*0.64))/0.8)/1000</f>
        <v>#REF!</v>
      </c>
      <c r="CF24" s="17" t="e">
        <f>-53.07 + (304.89 * (CE24)) + (90.79 *Crescimento!#REF!) - (3.13 * Crescimento!#REF!*Crescimento!#REF!)</f>
        <v>#REF!</v>
      </c>
      <c r="CH24" s="16" t="e">
        <f>(CI23+(Crescimento!#REF!-(CI23*0.64))/0.8)/1000</f>
        <v>#REF!</v>
      </c>
      <c r="CI24" s="17" t="e">
        <f>-53.07 + (304.89 * (CH24)) + (90.79 *Crescimento!#REF!) - (3.13 * Crescimento!#REF!*Crescimento!#REF!)</f>
        <v>#REF!</v>
      </c>
      <c r="CK24" s="16" t="e">
        <f>(CL23+(Crescimento!#REF!-(CL23*0.64))/0.8)/1000</f>
        <v>#REF!</v>
      </c>
      <c r="CL24" s="17" t="e">
        <f>-53.07 + (304.89 * (CK24)) + (90.79 *Crescimento!#REF!) - (3.13 * Crescimento!#REF!*Crescimento!#REF!)</f>
        <v>#REF!</v>
      </c>
    </row>
    <row r="25" spans="2:90" ht="15" customHeight="1" x14ac:dyDescent="0.25">
      <c r="B25" s="16">
        <f>(C24+('Vacas e Bezerros'!$O$29-(C24*0.64))/0.8)/1000</f>
        <v>1.1219974776113528</v>
      </c>
      <c r="C25" s="17">
        <f>-53.07 + (304.89 * (B25)) + (90.79 *'Vacas e Bezerros'!$O$23) - (3.13 * 'Vacas e Bezerros'!$O$23*'Vacas e Bezerros'!$O$23)</f>
        <v>715.77733851110622</v>
      </c>
      <c r="E25" s="16" t="e">
        <f>(F24+(Crescimento!#REF!-(F24*0.64))/0.8)/1000</f>
        <v>#REF!</v>
      </c>
      <c r="F25" s="17" t="e">
        <f>-53.07 + (304.89 * (E25)) + (90.79 *Crescimento!#REF!) - (3.13 * Crescimento!#REF!*Crescimento!#REF!)</f>
        <v>#REF!</v>
      </c>
      <c r="G25" s="1"/>
      <c r="H25" s="16" t="e">
        <f>(I24+(Crescimento!#REF!-(I24*0.64))/0.8)/1000</f>
        <v>#REF!</v>
      </c>
      <c r="I25" s="17" t="e">
        <f>-53.07 + (304.89 * (H25)) + (90.79 *Crescimento!#REF!) - (3.13 * Crescimento!#REF!*Crescimento!#REF!)</f>
        <v>#REF!</v>
      </c>
      <c r="K25" s="16" t="e">
        <f>(L24+(Crescimento!#REF!-(L24*0.64))/0.8)/1000</f>
        <v>#REF!</v>
      </c>
      <c r="L25" s="17" t="e">
        <f>-53.07 + (304.89 * (K25)) + (90.79 *Crescimento!#REF!) - (3.13 * Crescimento!#REF!*Crescimento!#REF!)</f>
        <v>#REF!</v>
      </c>
      <c r="N25" s="16" t="e">
        <f>(O24+(Crescimento!#REF!-(O24*0.64))/0.8)/1000</f>
        <v>#REF!</v>
      </c>
      <c r="O25" s="17" t="e">
        <f>-53.07 + (304.89 * (N25)) + (90.79 *Crescimento!#REF!) - (3.13 * Crescimento!#REF!*Crescimento!#REF!)</f>
        <v>#REF!</v>
      </c>
      <c r="Q25" s="16" t="e">
        <f>(R24+(Crescimento!#REF!-(R24*0.64))/0.8)/1000</f>
        <v>#REF!</v>
      </c>
      <c r="R25" s="17" t="e">
        <f>-53.07 + (304.89 * (Q25)) + (90.79 *Crescimento!#REF!) - (3.13 * Crescimento!#REF!*Crescimento!#REF!)</f>
        <v>#REF!</v>
      </c>
      <c r="T25" s="16" t="e">
        <f>(U24+(Crescimento!#REF!-(U24*0.64))/0.8)/1000</f>
        <v>#REF!</v>
      </c>
      <c r="U25" s="17" t="e">
        <f>-53.07 + (304.89 * (T25)) + (90.79 *Crescimento!#REF!) - (3.13 * Crescimento!#REF!*Crescimento!#REF!)</f>
        <v>#REF!</v>
      </c>
      <c r="W25" s="16" t="e">
        <f>(X24+(Crescimento!#REF!-(X24*0.64))/0.8)/1000</f>
        <v>#REF!</v>
      </c>
      <c r="X25" s="17" t="e">
        <f>-53.07 + (304.89 * (W25)) + (90.79 *Crescimento!#REF!) - (3.13 * Crescimento!#REF!*Crescimento!#REF!)</f>
        <v>#REF!</v>
      </c>
      <c r="Y25" s="6"/>
      <c r="Z25" s="16" t="e">
        <f>(AA24+(Crescimento!#REF!-(AA24*0.64))/0.8)/1000</f>
        <v>#REF!</v>
      </c>
      <c r="AA25" s="17" t="e">
        <f>-53.07 + (304.89 * (Z25)) + (90.79 *Crescimento!#REF!) - (3.13 * Crescimento!#REF!*Crescimento!#REF!)</f>
        <v>#REF!</v>
      </c>
      <c r="AB25" s="6"/>
      <c r="AC25" s="16" t="e">
        <f>(AD24+(Crescimento!#REF!-(AD24*0.64))/0.8)/1000</f>
        <v>#REF!</v>
      </c>
      <c r="AD25" s="17" t="e">
        <f>-53.07 + (304.89 * (AC25)) + (90.79 *Crescimento!#REF!) - (3.13 * Crescimento!#REF!*Crescimento!#REF!)</f>
        <v>#REF!</v>
      </c>
      <c r="AE25" s="17"/>
      <c r="AF25" s="16" t="e">
        <f>(AG24+(Crescimento!#REF!-(AG24*0.64))/0.8)/1000</f>
        <v>#REF!</v>
      </c>
      <c r="AG25" s="17" t="e">
        <f>-53.07 + (304.89 * (AF25)) + (90.79 *Crescimento!#REF!) - (3.13 * Crescimento!#REF!*Crescimento!#REF!)</f>
        <v>#REF!</v>
      </c>
      <c r="AI25" s="16" t="e">
        <f>(AJ24+(Crescimento!#REF!-(AJ24*0.64))/0.8)/1000</f>
        <v>#REF!</v>
      </c>
      <c r="AJ25" s="17" t="e">
        <f>-53.07 + (304.89 * (AI25)) + (90.79 *Crescimento!#REF!) - (3.13 * Crescimento!#REF!*Crescimento!#REF!)</f>
        <v>#REF!</v>
      </c>
      <c r="AL25" s="16" t="e">
        <f>(AM24+(Crescimento!#REF!-(AM24*0.64))/0.8)/1000</f>
        <v>#REF!</v>
      </c>
      <c r="AM25" s="17" t="e">
        <f>-53.07 + (304.89 * (AL25)) + (90.79 *Crescimento!#REF!) - (3.13 * Crescimento!#REF!*Crescimento!#REF!)</f>
        <v>#REF!</v>
      </c>
      <c r="AO25" s="16" t="e">
        <f>(AP24+(Crescimento!#REF!-(AP24*0.64))/0.8)/1000</f>
        <v>#REF!</v>
      </c>
      <c r="AP25" s="17" t="e">
        <f>-53.07 + (304.89 * (AO25)) + (90.79 *Crescimento!#REF!) - (3.13 * Crescimento!#REF!*Crescimento!#REF!)</f>
        <v>#REF!</v>
      </c>
      <c r="AR25" s="16" t="e">
        <f>(AS24+(Crescimento!#REF!-(AS24*0.64))/0.8)/1000</f>
        <v>#REF!</v>
      </c>
      <c r="AS25" s="17" t="e">
        <f>-53.07 + (304.89 * (AR25)) + (90.79 *Crescimento!#REF!) - (3.13 * Crescimento!#REF!*Crescimento!#REF!)</f>
        <v>#REF!</v>
      </c>
      <c r="AU25" s="16" t="e">
        <f>(AV24+(Crescimento!#REF!-(AV24*0.64))/0.8)/1000</f>
        <v>#REF!</v>
      </c>
      <c r="AV25" s="17" t="e">
        <f>-53.07 + (304.89 * (AU25)) + (90.79 *Crescimento!#REF!) - (3.13 * Crescimento!#REF!*Crescimento!#REF!)</f>
        <v>#REF!</v>
      </c>
      <c r="AX25" s="16" t="e">
        <f>(AY24+(Crescimento!#REF!-(AY24*0.64))/0.8)/1000</f>
        <v>#REF!</v>
      </c>
      <c r="AY25" s="17" t="e">
        <f>-53.07 + (304.89 * (AX25)) + (90.79 *Crescimento!#REF!) - (3.13 * Crescimento!#REF!*Crescimento!#REF!)</f>
        <v>#REF!</v>
      </c>
      <c r="BA25" s="16" t="e">
        <f>(BB24+(Crescimento!#REF!-(BB24*0.64))/0.8)/1000</f>
        <v>#REF!</v>
      </c>
      <c r="BB25" s="17" t="e">
        <f>-53.07 + (304.89 * (BA25)) + (90.79 *Crescimento!#REF!) - (3.13 * Crescimento!#REF!*Crescimento!#REF!)</f>
        <v>#REF!</v>
      </c>
      <c r="BD25" s="16" t="e">
        <f>(BE24+(Crescimento!#REF!-(BE24*0.64))/0.8)/1000</f>
        <v>#REF!</v>
      </c>
      <c r="BE25" s="17" t="e">
        <f>-53.07 + (304.89 * (BD25)) + (90.79 *Crescimento!#REF!) - (3.13 * Crescimento!#REF!*Crescimento!#REF!)</f>
        <v>#REF!</v>
      </c>
      <c r="BG25" s="16" t="e">
        <f>(BH24+(Crescimento!#REF!-(BH24*0.64))/0.8)/1000</f>
        <v>#REF!</v>
      </c>
      <c r="BH25" s="17" t="e">
        <f>-53.07 + (304.89 * (BG25)) + (90.79 *Crescimento!#REF!) - (3.13 * Crescimento!#REF!*Crescimento!#REF!)</f>
        <v>#REF!</v>
      </c>
      <c r="BJ25" s="16" t="e">
        <f>(BK24+(Crescimento!#REF!-(BK24*0.64))/0.8)/1000</f>
        <v>#REF!</v>
      </c>
      <c r="BK25" s="17" t="e">
        <f>-53.07 + (304.89 * (BJ25)) + (90.79 *Crescimento!#REF!) - (3.13 * Crescimento!#REF!*Crescimento!#REF!)</f>
        <v>#REF!</v>
      </c>
      <c r="BM25" s="16" t="e">
        <f>(BN24+(Crescimento!#REF!-(BN24*0.64))/0.8)/1000</f>
        <v>#REF!</v>
      </c>
      <c r="BN25" s="17" t="e">
        <f>-53.07 + (304.89 * (BM25)) + (90.79 *Crescimento!#REF!) - (3.13 * Crescimento!#REF!*Crescimento!#REF!)</f>
        <v>#REF!</v>
      </c>
      <c r="BP25" s="16" t="e">
        <f>(BQ24+(Crescimento!#REF!-(BQ24*0.64))/0.8)/1000</f>
        <v>#REF!</v>
      </c>
      <c r="BQ25" s="17" t="e">
        <f>-53.07 + (304.89 * (BP25)) + (90.79 *Crescimento!#REF!) - (3.13 * Crescimento!#REF!*Crescimento!#REF!)</f>
        <v>#REF!</v>
      </c>
      <c r="BS25" s="16" t="e">
        <f>(BT24+(Crescimento!#REF!-(BT24*0.64))/0.8)/1000</f>
        <v>#REF!</v>
      </c>
      <c r="BT25" s="17" t="e">
        <f>-53.07 + (304.89 * (BS25)) + (90.79 *Crescimento!#REF!) - (3.13 * Crescimento!#REF!*Crescimento!#REF!)</f>
        <v>#REF!</v>
      </c>
      <c r="BV25" s="16" t="e">
        <f>(BW24+(Crescimento!#REF!-(BW24*0.64))/0.8)/1000</f>
        <v>#REF!</v>
      </c>
      <c r="BW25" s="17" t="e">
        <f>-53.07 + (304.89 * (BV25)) + (90.79 *Crescimento!#REF!) - (3.13 * Crescimento!#REF!*Crescimento!#REF!)</f>
        <v>#REF!</v>
      </c>
      <c r="BY25" s="16" t="e">
        <f>(BZ24+(Crescimento!#REF!-(BZ24*0.64))/0.8)/1000</f>
        <v>#REF!</v>
      </c>
      <c r="BZ25" s="17" t="e">
        <f>-53.07 + (304.89 * (BY25)) + (90.79 *Crescimento!#REF!) - (3.13 * Crescimento!#REF!*Crescimento!#REF!)</f>
        <v>#REF!</v>
      </c>
      <c r="CB25" s="16" t="e">
        <f>(CC24+(Crescimento!#REF!-(CC24*0.64))/0.8)/1000</f>
        <v>#REF!</v>
      </c>
      <c r="CC25" s="17" t="e">
        <f>-53.07 + (304.89 * (CB25)) + (90.79 *Crescimento!#REF!) - (3.13 * Crescimento!#REF!*Crescimento!#REF!)</f>
        <v>#REF!</v>
      </c>
      <c r="CE25" s="16" t="e">
        <f>(CF24+(Crescimento!#REF!-(CF24*0.64))/0.8)/1000</f>
        <v>#REF!</v>
      </c>
      <c r="CF25" s="17" t="e">
        <f>-53.07 + (304.89 * (CE25)) + (90.79 *Crescimento!#REF!) - (3.13 * Crescimento!#REF!*Crescimento!#REF!)</f>
        <v>#REF!</v>
      </c>
      <c r="CH25" s="16" t="e">
        <f>(CI24+(Crescimento!#REF!-(CI24*0.64))/0.8)/1000</f>
        <v>#REF!</v>
      </c>
      <c r="CI25" s="17" t="e">
        <f>-53.07 + (304.89 * (CH25)) + (90.79 *Crescimento!#REF!) - (3.13 * Crescimento!#REF!*Crescimento!#REF!)</f>
        <v>#REF!</v>
      </c>
      <c r="CK25" s="16" t="e">
        <f>(CL24+(Crescimento!#REF!-(CL24*0.64))/0.8)/1000</f>
        <v>#REF!</v>
      </c>
      <c r="CL25" s="17" t="e">
        <f>-53.07 + (304.89 * (CK25)) + (90.79 *Crescimento!#REF!) - (3.13 * Crescimento!#REF!*Crescimento!#REF!)</f>
        <v>#REF!</v>
      </c>
    </row>
    <row r="26" spans="2:90" ht="15" customHeight="1" x14ac:dyDescent="0.25">
      <c r="B26" s="16">
        <f>(C25+('Vacas e Bezerros'!$O$29-(C25*0.64))/0.8)/1000</f>
        <v>1.1219974776113528</v>
      </c>
      <c r="C26" s="17">
        <f>-53.07 + (304.89 * (B26)) + (90.79 *'Vacas e Bezerros'!$O$23) - (3.13 * 'Vacas e Bezerros'!$O$23*'Vacas e Bezerros'!$O$23)</f>
        <v>715.77733851110622</v>
      </c>
      <c r="E26" s="16" t="e">
        <f>(F25+(Crescimento!#REF!-(F25*0.64))/0.8)/1000</f>
        <v>#REF!</v>
      </c>
      <c r="F26" s="17" t="e">
        <f>-53.07 + (304.89 * (E26)) + (90.79 *Crescimento!#REF!) - (3.13 * Crescimento!#REF!*Crescimento!#REF!)</f>
        <v>#REF!</v>
      </c>
      <c r="G26" s="1"/>
      <c r="H26" s="16" t="e">
        <f>(I25+(Crescimento!#REF!-(I25*0.64))/0.8)/1000</f>
        <v>#REF!</v>
      </c>
      <c r="I26" s="17" t="e">
        <f>-53.07 + (304.89 * (H26)) + (90.79 *Crescimento!#REF!) - (3.13 * Crescimento!#REF!*Crescimento!#REF!)</f>
        <v>#REF!</v>
      </c>
      <c r="K26" s="16" t="e">
        <f>(L25+(Crescimento!#REF!-(L25*0.64))/0.8)/1000</f>
        <v>#REF!</v>
      </c>
      <c r="L26" s="17" t="e">
        <f>-53.07 + (304.89 * (K26)) + (90.79 *Crescimento!#REF!) - (3.13 * Crescimento!#REF!*Crescimento!#REF!)</f>
        <v>#REF!</v>
      </c>
      <c r="N26" s="16" t="e">
        <f>(O25+(Crescimento!#REF!-(O25*0.64))/0.8)/1000</f>
        <v>#REF!</v>
      </c>
      <c r="O26" s="17" t="e">
        <f>-53.07 + (304.89 * (N26)) + (90.79 *Crescimento!#REF!) - (3.13 * Crescimento!#REF!*Crescimento!#REF!)</f>
        <v>#REF!</v>
      </c>
      <c r="Q26" s="16" t="e">
        <f>(R25+(Crescimento!#REF!-(R25*0.64))/0.8)/1000</f>
        <v>#REF!</v>
      </c>
      <c r="R26" s="17" t="e">
        <f>-53.07 + (304.89 * (Q26)) + (90.79 *Crescimento!#REF!) - (3.13 * Crescimento!#REF!*Crescimento!#REF!)</f>
        <v>#REF!</v>
      </c>
      <c r="T26" s="16" t="e">
        <f>(U25+(Crescimento!#REF!-(U25*0.64))/0.8)/1000</f>
        <v>#REF!</v>
      </c>
      <c r="U26" s="17" t="e">
        <f>-53.07 + (304.89 * (T26)) + (90.79 *Crescimento!#REF!) - (3.13 * Crescimento!#REF!*Crescimento!#REF!)</f>
        <v>#REF!</v>
      </c>
      <c r="W26" s="16" t="e">
        <f>(X25+(Crescimento!#REF!-(X25*0.64))/0.8)/1000</f>
        <v>#REF!</v>
      </c>
      <c r="X26" s="17" t="e">
        <f>-53.07 + (304.89 * (W26)) + (90.79 *Crescimento!#REF!) - (3.13 * Crescimento!#REF!*Crescimento!#REF!)</f>
        <v>#REF!</v>
      </c>
      <c r="Y26" s="6"/>
      <c r="Z26" s="16" t="e">
        <f>(AA25+(Crescimento!#REF!-(AA25*0.64))/0.8)/1000</f>
        <v>#REF!</v>
      </c>
      <c r="AA26" s="17" t="e">
        <f>-53.07 + (304.89 * (Z26)) + (90.79 *Crescimento!#REF!) - (3.13 * Crescimento!#REF!*Crescimento!#REF!)</f>
        <v>#REF!</v>
      </c>
      <c r="AB26" s="6"/>
      <c r="AC26" s="16" t="e">
        <f>(AD25+(Crescimento!#REF!-(AD25*0.64))/0.8)/1000</f>
        <v>#REF!</v>
      </c>
      <c r="AD26" s="17" t="e">
        <f>-53.07 + (304.89 * (AC26)) + (90.79 *Crescimento!#REF!) - (3.13 * Crescimento!#REF!*Crescimento!#REF!)</f>
        <v>#REF!</v>
      </c>
      <c r="AE26" s="17"/>
      <c r="AF26" s="16" t="e">
        <f>(AG25+(Crescimento!#REF!-(AG25*0.64))/0.8)/1000</f>
        <v>#REF!</v>
      </c>
      <c r="AG26" s="17" t="e">
        <f>-53.07 + (304.89 * (AF26)) + (90.79 *Crescimento!#REF!) - (3.13 * Crescimento!#REF!*Crescimento!#REF!)</f>
        <v>#REF!</v>
      </c>
      <c r="AI26" s="16" t="e">
        <f>(AJ25+(Crescimento!#REF!-(AJ25*0.64))/0.8)/1000</f>
        <v>#REF!</v>
      </c>
      <c r="AJ26" s="17" t="e">
        <f>-53.07 + (304.89 * (AI26)) + (90.79 *Crescimento!#REF!) - (3.13 * Crescimento!#REF!*Crescimento!#REF!)</f>
        <v>#REF!</v>
      </c>
      <c r="AL26" s="16" t="e">
        <f>(AM25+(Crescimento!#REF!-(AM25*0.64))/0.8)/1000</f>
        <v>#REF!</v>
      </c>
      <c r="AM26" s="17" t="e">
        <f>-53.07 + (304.89 * (AL26)) + (90.79 *Crescimento!#REF!) - (3.13 * Crescimento!#REF!*Crescimento!#REF!)</f>
        <v>#REF!</v>
      </c>
      <c r="AO26" s="16" t="e">
        <f>(AP25+(Crescimento!#REF!-(AP25*0.64))/0.8)/1000</f>
        <v>#REF!</v>
      </c>
      <c r="AP26" s="17" t="e">
        <f>-53.07 + (304.89 * (AO26)) + (90.79 *Crescimento!#REF!) - (3.13 * Crescimento!#REF!*Crescimento!#REF!)</f>
        <v>#REF!</v>
      </c>
      <c r="AR26" s="16" t="e">
        <f>(AS25+(Crescimento!#REF!-(AS25*0.64))/0.8)/1000</f>
        <v>#REF!</v>
      </c>
      <c r="AS26" s="17" t="e">
        <f>-53.07 + (304.89 * (AR26)) + (90.79 *Crescimento!#REF!) - (3.13 * Crescimento!#REF!*Crescimento!#REF!)</f>
        <v>#REF!</v>
      </c>
      <c r="AU26" s="16" t="e">
        <f>(AV25+(Crescimento!#REF!-(AV25*0.64))/0.8)/1000</f>
        <v>#REF!</v>
      </c>
      <c r="AV26" s="17" t="e">
        <f>-53.07 + (304.89 * (AU26)) + (90.79 *Crescimento!#REF!) - (3.13 * Crescimento!#REF!*Crescimento!#REF!)</f>
        <v>#REF!</v>
      </c>
      <c r="AX26" s="16" t="e">
        <f>(AY25+(Crescimento!#REF!-(AY25*0.64))/0.8)/1000</f>
        <v>#REF!</v>
      </c>
      <c r="AY26" s="17" t="e">
        <f>-53.07 + (304.89 * (AX26)) + (90.79 *Crescimento!#REF!) - (3.13 * Crescimento!#REF!*Crescimento!#REF!)</f>
        <v>#REF!</v>
      </c>
      <c r="BA26" s="16" t="e">
        <f>(BB25+(Crescimento!#REF!-(BB25*0.64))/0.8)/1000</f>
        <v>#REF!</v>
      </c>
      <c r="BB26" s="17" t="e">
        <f>-53.07 + (304.89 * (BA26)) + (90.79 *Crescimento!#REF!) - (3.13 * Crescimento!#REF!*Crescimento!#REF!)</f>
        <v>#REF!</v>
      </c>
      <c r="BD26" s="16" t="e">
        <f>(BE25+(Crescimento!#REF!-(BE25*0.64))/0.8)/1000</f>
        <v>#REF!</v>
      </c>
      <c r="BE26" s="17" t="e">
        <f>-53.07 + (304.89 * (BD26)) + (90.79 *Crescimento!#REF!) - (3.13 * Crescimento!#REF!*Crescimento!#REF!)</f>
        <v>#REF!</v>
      </c>
      <c r="BG26" s="16" t="e">
        <f>(BH25+(Crescimento!#REF!-(BH25*0.64))/0.8)/1000</f>
        <v>#REF!</v>
      </c>
      <c r="BH26" s="17" t="e">
        <f>-53.07 + (304.89 * (BG26)) + (90.79 *Crescimento!#REF!) - (3.13 * Crescimento!#REF!*Crescimento!#REF!)</f>
        <v>#REF!</v>
      </c>
      <c r="BJ26" s="16" t="e">
        <f>(BK25+(Crescimento!#REF!-(BK25*0.64))/0.8)/1000</f>
        <v>#REF!</v>
      </c>
      <c r="BK26" s="17" t="e">
        <f>-53.07 + (304.89 * (BJ26)) + (90.79 *Crescimento!#REF!) - (3.13 * Crescimento!#REF!*Crescimento!#REF!)</f>
        <v>#REF!</v>
      </c>
      <c r="BM26" s="16" t="e">
        <f>(BN25+(Crescimento!#REF!-(BN25*0.64))/0.8)/1000</f>
        <v>#REF!</v>
      </c>
      <c r="BN26" s="17" t="e">
        <f>-53.07 + (304.89 * (BM26)) + (90.79 *Crescimento!#REF!) - (3.13 * Crescimento!#REF!*Crescimento!#REF!)</f>
        <v>#REF!</v>
      </c>
      <c r="BP26" s="16" t="e">
        <f>(BQ25+(Crescimento!#REF!-(BQ25*0.64))/0.8)/1000</f>
        <v>#REF!</v>
      </c>
      <c r="BQ26" s="17" t="e">
        <f>-53.07 + (304.89 * (BP26)) + (90.79 *Crescimento!#REF!) - (3.13 * Crescimento!#REF!*Crescimento!#REF!)</f>
        <v>#REF!</v>
      </c>
      <c r="BS26" s="16" t="e">
        <f>(BT25+(Crescimento!#REF!-(BT25*0.64))/0.8)/1000</f>
        <v>#REF!</v>
      </c>
      <c r="BT26" s="17" t="e">
        <f>-53.07 + (304.89 * (BS26)) + (90.79 *Crescimento!#REF!) - (3.13 * Crescimento!#REF!*Crescimento!#REF!)</f>
        <v>#REF!</v>
      </c>
      <c r="BV26" s="16" t="e">
        <f>(BW25+(Crescimento!#REF!-(BW25*0.64))/0.8)/1000</f>
        <v>#REF!</v>
      </c>
      <c r="BW26" s="17" t="e">
        <f>-53.07 + (304.89 * (BV26)) + (90.79 *Crescimento!#REF!) - (3.13 * Crescimento!#REF!*Crescimento!#REF!)</f>
        <v>#REF!</v>
      </c>
      <c r="BY26" s="16" t="e">
        <f>(BZ25+(Crescimento!#REF!-(BZ25*0.64))/0.8)/1000</f>
        <v>#REF!</v>
      </c>
      <c r="BZ26" s="17" t="e">
        <f>-53.07 + (304.89 * (BY26)) + (90.79 *Crescimento!#REF!) - (3.13 * Crescimento!#REF!*Crescimento!#REF!)</f>
        <v>#REF!</v>
      </c>
      <c r="CB26" s="16" t="e">
        <f>(CC25+(Crescimento!#REF!-(CC25*0.64))/0.8)/1000</f>
        <v>#REF!</v>
      </c>
      <c r="CC26" s="17" t="e">
        <f>-53.07 + (304.89 * (CB26)) + (90.79 *Crescimento!#REF!) - (3.13 * Crescimento!#REF!*Crescimento!#REF!)</f>
        <v>#REF!</v>
      </c>
      <c r="CE26" s="16" t="e">
        <f>(CF25+(Crescimento!#REF!-(CF25*0.64))/0.8)/1000</f>
        <v>#REF!</v>
      </c>
      <c r="CF26" s="17" t="e">
        <f>-53.07 + (304.89 * (CE26)) + (90.79 *Crescimento!#REF!) - (3.13 * Crescimento!#REF!*Crescimento!#REF!)</f>
        <v>#REF!</v>
      </c>
      <c r="CH26" s="16" t="e">
        <f>(CI25+(Crescimento!#REF!-(CI25*0.64))/0.8)/1000</f>
        <v>#REF!</v>
      </c>
      <c r="CI26" s="17" t="e">
        <f>-53.07 + (304.89 * (CH26)) + (90.79 *Crescimento!#REF!) - (3.13 * Crescimento!#REF!*Crescimento!#REF!)</f>
        <v>#REF!</v>
      </c>
      <c r="CK26" s="16" t="e">
        <f>(CL25+(Crescimento!#REF!-(CL25*0.64))/0.8)/1000</f>
        <v>#REF!</v>
      </c>
      <c r="CL26" s="17" t="e">
        <f>-53.07 + (304.89 * (CK26)) + (90.79 *Crescimento!#REF!) - (3.13 * Crescimento!#REF!*Crescimento!#REF!)</f>
        <v>#REF!</v>
      </c>
    </row>
    <row r="27" spans="2:90" ht="15" customHeight="1" x14ac:dyDescent="0.25">
      <c r="B27" s="16">
        <f>(C26+('Vacas e Bezerros'!$O$29-(C26*0.64))/0.8)/1000</f>
        <v>1.1219974776113528</v>
      </c>
      <c r="C27" s="17">
        <f>-53.07 + (304.89 * (B27)) + (90.79 *'Vacas e Bezerros'!$O$23) - (3.13 * 'Vacas e Bezerros'!$O$23*'Vacas e Bezerros'!$O$23)</f>
        <v>715.77733851110622</v>
      </c>
      <c r="E27" s="16" t="e">
        <f>(F26+(Crescimento!#REF!-(F26*0.64))/0.8)/1000</f>
        <v>#REF!</v>
      </c>
      <c r="F27" s="17" t="e">
        <f>-53.07 + (304.89 * (E27)) + (90.79 *Crescimento!#REF!) - (3.13 * Crescimento!#REF!*Crescimento!#REF!)</f>
        <v>#REF!</v>
      </c>
      <c r="G27" s="1"/>
      <c r="H27" s="16" t="e">
        <f>(I26+(Crescimento!#REF!-(I26*0.64))/0.8)/1000</f>
        <v>#REF!</v>
      </c>
      <c r="I27" s="17" t="e">
        <f>-53.07 + (304.89 * (H27)) + (90.79 *Crescimento!#REF!) - (3.13 * Crescimento!#REF!*Crescimento!#REF!)</f>
        <v>#REF!</v>
      </c>
      <c r="K27" s="16" t="e">
        <f>(L26+(Crescimento!#REF!-(L26*0.64))/0.8)/1000</f>
        <v>#REF!</v>
      </c>
      <c r="L27" s="17" t="e">
        <f>-53.07 + (304.89 * (K27)) + (90.79 *Crescimento!#REF!) - (3.13 * Crescimento!#REF!*Crescimento!#REF!)</f>
        <v>#REF!</v>
      </c>
      <c r="N27" s="16" t="e">
        <f>(O26+(Crescimento!#REF!-(O26*0.64))/0.8)/1000</f>
        <v>#REF!</v>
      </c>
      <c r="O27" s="17" t="e">
        <f>-53.07 + (304.89 * (N27)) + (90.79 *Crescimento!#REF!) - (3.13 * Crescimento!#REF!*Crescimento!#REF!)</f>
        <v>#REF!</v>
      </c>
      <c r="Q27" s="16" t="e">
        <f>(R26+(Crescimento!#REF!-(R26*0.64))/0.8)/1000</f>
        <v>#REF!</v>
      </c>
      <c r="R27" s="17" t="e">
        <f>-53.07 + (304.89 * (Q27)) + (90.79 *Crescimento!#REF!) - (3.13 * Crescimento!#REF!*Crescimento!#REF!)</f>
        <v>#REF!</v>
      </c>
      <c r="T27" s="16" t="e">
        <f>(U26+(Crescimento!#REF!-(U26*0.64))/0.8)/1000</f>
        <v>#REF!</v>
      </c>
      <c r="U27" s="17" t="e">
        <f>-53.07 + (304.89 * (T27)) + (90.79 *Crescimento!#REF!) - (3.13 * Crescimento!#REF!*Crescimento!#REF!)</f>
        <v>#REF!</v>
      </c>
      <c r="W27" s="16" t="e">
        <f>(X26+(Crescimento!#REF!-(X26*0.64))/0.8)/1000</f>
        <v>#REF!</v>
      </c>
      <c r="X27" s="17" t="e">
        <f>-53.07 + (304.89 * (W27)) + (90.79 *Crescimento!#REF!) - (3.13 * Crescimento!#REF!*Crescimento!#REF!)</f>
        <v>#REF!</v>
      </c>
      <c r="Y27" s="6"/>
      <c r="Z27" s="16" t="e">
        <f>(AA26+(Crescimento!#REF!-(AA26*0.64))/0.8)/1000</f>
        <v>#REF!</v>
      </c>
      <c r="AA27" s="17" t="e">
        <f>-53.07 + (304.89 * (Z27)) + (90.79 *Crescimento!#REF!) - (3.13 * Crescimento!#REF!*Crescimento!#REF!)</f>
        <v>#REF!</v>
      </c>
      <c r="AB27" s="6"/>
      <c r="AC27" s="16" t="e">
        <f>(AD26+(Crescimento!#REF!-(AD26*0.64))/0.8)/1000</f>
        <v>#REF!</v>
      </c>
      <c r="AD27" s="17" t="e">
        <f>-53.07 + (304.89 * (AC27)) + (90.79 *Crescimento!#REF!) - (3.13 * Crescimento!#REF!*Crescimento!#REF!)</f>
        <v>#REF!</v>
      </c>
      <c r="AE27" s="17"/>
      <c r="AF27" s="16" t="e">
        <f>(AG26+(Crescimento!#REF!-(AG26*0.64))/0.8)/1000</f>
        <v>#REF!</v>
      </c>
      <c r="AG27" s="17" t="e">
        <f>-53.07 + (304.89 * (AF27)) + (90.79 *Crescimento!#REF!) - (3.13 * Crescimento!#REF!*Crescimento!#REF!)</f>
        <v>#REF!</v>
      </c>
      <c r="AI27" s="16" t="e">
        <f>(AJ26+(Crescimento!#REF!-(AJ26*0.64))/0.8)/1000</f>
        <v>#REF!</v>
      </c>
      <c r="AJ27" s="17" t="e">
        <f>-53.07 + (304.89 * (AI27)) + (90.79 *Crescimento!#REF!) - (3.13 * Crescimento!#REF!*Crescimento!#REF!)</f>
        <v>#REF!</v>
      </c>
      <c r="AL27" s="16" t="e">
        <f>(AM26+(Crescimento!#REF!-(AM26*0.64))/0.8)/1000</f>
        <v>#REF!</v>
      </c>
      <c r="AM27" s="17" t="e">
        <f>-53.07 + (304.89 * (AL27)) + (90.79 *Crescimento!#REF!) - (3.13 * Crescimento!#REF!*Crescimento!#REF!)</f>
        <v>#REF!</v>
      </c>
      <c r="AO27" s="16" t="e">
        <f>(AP26+(Crescimento!#REF!-(AP26*0.64))/0.8)/1000</f>
        <v>#REF!</v>
      </c>
      <c r="AP27" s="17" t="e">
        <f>-53.07 + (304.89 * (AO27)) + (90.79 *Crescimento!#REF!) - (3.13 * Crescimento!#REF!*Crescimento!#REF!)</f>
        <v>#REF!</v>
      </c>
      <c r="AR27" s="16" t="e">
        <f>(AS26+(Crescimento!#REF!-(AS26*0.64))/0.8)/1000</f>
        <v>#REF!</v>
      </c>
      <c r="AS27" s="17" t="e">
        <f>-53.07 + (304.89 * (AR27)) + (90.79 *Crescimento!#REF!) - (3.13 * Crescimento!#REF!*Crescimento!#REF!)</f>
        <v>#REF!</v>
      </c>
      <c r="AU27" s="16" t="e">
        <f>(AV26+(Crescimento!#REF!-(AV26*0.64))/0.8)/1000</f>
        <v>#REF!</v>
      </c>
      <c r="AV27" s="17" t="e">
        <f>-53.07 + (304.89 * (AU27)) + (90.79 *Crescimento!#REF!) - (3.13 * Crescimento!#REF!*Crescimento!#REF!)</f>
        <v>#REF!</v>
      </c>
      <c r="AX27" s="16" t="e">
        <f>(AY26+(Crescimento!#REF!-(AY26*0.64))/0.8)/1000</f>
        <v>#REF!</v>
      </c>
      <c r="AY27" s="17" t="e">
        <f>-53.07 + (304.89 * (AX27)) + (90.79 *Crescimento!#REF!) - (3.13 * Crescimento!#REF!*Crescimento!#REF!)</f>
        <v>#REF!</v>
      </c>
      <c r="BA27" s="16" t="e">
        <f>(BB26+(Crescimento!#REF!-(BB26*0.64))/0.8)/1000</f>
        <v>#REF!</v>
      </c>
      <c r="BB27" s="17" t="e">
        <f>-53.07 + (304.89 * (BA27)) + (90.79 *Crescimento!#REF!) - (3.13 * Crescimento!#REF!*Crescimento!#REF!)</f>
        <v>#REF!</v>
      </c>
      <c r="BD27" s="16" t="e">
        <f>(BE26+(Crescimento!#REF!-(BE26*0.64))/0.8)/1000</f>
        <v>#REF!</v>
      </c>
      <c r="BE27" s="17" t="e">
        <f>-53.07 + (304.89 * (BD27)) + (90.79 *Crescimento!#REF!) - (3.13 * Crescimento!#REF!*Crescimento!#REF!)</f>
        <v>#REF!</v>
      </c>
      <c r="BG27" s="16" t="e">
        <f>(BH26+(Crescimento!#REF!-(BH26*0.64))/0.8)/1000</f>
        <v>#REF!</v>
      </c>
      <c r="BH27" s="17" t="e">
        <f>-53.07 + (304.89 * (BG27)) + (90.79 *Crescimento!#REF!) - (3.13 * Crescimento!#REF!*Crescimento!#REF!)</f>
        <v>#REF!</v>
      </c>
      <c r="BJ27" s="16" t="e">
        <f>(BK26+(Crescimento!#REF!-(BK26*0.64))/0.8)/1000</f>
        <v>#REF!</v>
      </c>
      <c r="BK27" s="17" t="e">
        <f>-53.07 + (304.89 * (BJ27)) + (90.79 *Crescimento!#REF!) - (3.13 * Crescimento!#REF!*Crescimento!#REF!)</f>
        <v>#REF!</v>
      </c>
      <c r="BM27" s="16" t="e">
        <f>(BN26+(Crescimento!#REF!-(BN26*0.64))/0.8)/1000</f>
        <v>#REF!</v>
      </c>
      <c r="BN27" s="17" t="e">
        <f>-53.07 + (304.89 * (BM27)) + (90.79 *Crescimento!#REF!) - (3.13 * Crescimento!#REF!*Crescimento!#REF!)</f>
        <v>#REF!</v>
      </c>
      <c r="BP27" s="16" t="e">
        <f>(BQ26+(Crescimento!#REF!-(BQ26*0.64))/0.8)/1000</f>
        <v>#REF!</v>
      </c>
      <c r="BQ27" s="17" t="e">
        <f>-53.07 + (304.89 * (BP27)) + (90.79 *Crescimento!#REF!) - (3.13 * Crescimento!#REF!*Crescimento!#REF!)</f>
        <v>#REF!</v>
      </c>
      <c r="BS27" s="16" t="e">
        <f>(BT26+(Crescimento!#REF!-(BT26*0.64))/0.8)/1000</f>
        <v>#REF!</v>
      </c>
      <c r="BT27" s="17" t="e">
        <f>-53.07 + (304.89 * (BS27)) + (90.79 *Crescimento!#REF!) - (3.13 * Crescimento!#REF!*Crescimento!#REF!)</f>
        <v>#REF!</v>
      </c>
      <c r="BV27" s="16" t="e">
        <f>(BW26+(Crescimento!#REF!-(BW26*0.64))/0.8)/1000</f>
        <v>#REF!</v>
      </c>
      <c r="BW27" s="17" t="e">
        <f>-53.07 + (304.89 * (BV27)) + (90.79 *Crescimento!#REF!) - (3.13 * Crescimento!#REF!*Crescimento!#REF!)</f>
        <v>#REF!</v>
      </c>
      <c r="BY27" s="16" t="e">
        <f>(BZ26+(Crescimento!#REF!-(BZ26*0.64))/0.8)/1000</f>
        <v>#REF!</v>
      </c>
      <c r="BZ27" s="17" t="e">
        <f>-53.07 + (304.89 * (BY27)) + (90.79 *Crescimento!#REF!) - (3.13 * Crescimento!#REF!*Crescimento!#REF!)</f>
        <v>#REF!</v>
      </c>
      <c r="CB27" s="16" t="e">
        <f>(CC26+(Crescimento!#REF!-(CC26*0.64))/0.8)/1000</f>
        <v>#REF!</v>
      </c>
      <c r="CC27" s="17" t="e">
        <f>-53.07 + (304.89 * (CB27)) + (90.79 *Crescimento!#REF!) - (3.13 * Crescimento!#REF!*Crescimento!#REF!)</f>
        <v>#REF!</v>
      </c>
      <c r="CE27" s="16" t="e">
        <f>(CF26+(Crescimento!#REF!-(CF26*0.64))/0.8)/1000</f>
        <v>#REF!</v>
      </c>
      <c r="CF27" s="17" t="e">
        <f>-53.07 + (304.89 * (CE27)) + (90.79 *Crescimento!#REF!) - (3.13 * Crescimento!#REF!*Crescimento!#REF!)</f>
        <v>#REF!</v>
      </c>
      <c r="CH27" s="16" t="e">
        <f>(CI26+(Crescimento!#REF!-(CI26*0.64))/0.8)/1000</f>
        <v>#REF!</v>
      </c>
      <c r="CI27" s="17" t="e">
        <f>-53.07 + (304.89 * (CH27)) + (90.79 *Crescimento!#REF!) - (3.13 * Crescimento!#REF!*Crescimento!#REF!)</f>
        <v>#REF!</v>
      </c>
      <c r="CK27" s="16" t="e">
        <f>(CL26+(Crescimento!#REF!-(CL26*0.64))/0.8)/1000</f>
        <v>#REF!</v>
      </c>
      <c r="CL27" s="17" t="e">
        <f>-53.07 + (304.89 * (CK27)) + (90.79 *Crescimento!#REF!) - (3.13 * Crescimento!#REF!*Crescimento!#REF!)</f>
        <v>#REF!</v>
      </c>
    </row>
    <row r="28" spans="2:90" ht="15" customHeight="1" x14ac:dyDescent="0.25">
      <c r="B28" s="16">
        <f>(C27+('Vacas e Bezerros'!$O$29-(C27*0.64))/0.8)/1000</f>
        <v>1.1219974776113528</v>
      </c>
      <c r="C28" s="17">
        <f>-53.07 + (304.89 * (B28)) + (90.79 *'Vacas e Bezerros'!$O$23) - (3.13 * 'Vacas e Bezerros'!$O$23*'Vacas e Bezerros'!$O$23)</f>
        <v>715.77733851110622</v>
      </c>
      <c r="E28" s="16" t="e">
        <f>(F27+(Crescimento!#REF!-(F27*0.64))/0.8)/1000</f>
        <v>#REF!</v>
      </c>
      <c r="F28" s="17" t="e">
        <f>-53.07 + (304.89 * (E28)) + (90.79 *Crescimento!#REF!) - (3.13 * Crescimento!#REF!*Crescimento!#REF!)</f>
        <v>#REF!</v>
      </c>
      <c r="G28" s="1"/>
      <c r="H28" s="16" t="e">
        <f>(I27+(Crescimento!#REF!-(I27*0.64))/0.8)/1000</f>
        <v>#REF!</v>
      </c>
      <c r="I28" s="17" t="e">
        <f>-53.07 + (304.89 * (H28)) + (90.79 *Crescimento!#REF!) - (3.13 * Crescimento!#REF!*Crescimento!#REF!)</f>
        <v>#REF!</v>
      </c>
      <c r="K28" s="16" t="e">
        <f>(L27+(Crescimento!#REF!-(L27*0.64))/0.8)/1000</f>
        <v>#REF!</v>
      </c>
      <c r="L28" s="17" t="e">
        <f>-53.07 + (304.89 * (K28)) + (90.79 *Crescimento!#REF!) - (3.13 * Crescimento!#REF!*Crescimento!#REF!)</f>
        <v>#REF!</v>
      </c>
      <c r="N28" s="16" t="e">
        <f>(O27+(Crescimento!#REF!-(O27*0.64))/0.8)/1000</f>
        <v>#REF!</v>
      </c>
      <c r="O28" s="17" t="e">
        <f>-53.07 + (304.89 * (N28)) + (90.79 *Crescimento!#REF!) - (3.13 * Crescimento!#REF!*Crescimento!#REF!)</f>
        <v>#REF!</v>
      </c>
      <c r="Q28" s="16" t="e">
        <f>(R27+(Crescimento!#REF!-(R27*0.64))/0.8)/1000</f>
        <v>#REF!</v>
      </c>
      <c r="R28" s="17" t="e">
        <f>-53.07 + (304.89 * (Q28)) + (90.79 *Crescimento!#REF!) - (3.13 * Crescimento!#REF!*Crescimento!#REF!)</f>
        <v>#REF!</v>
      </c>
      <c r="T28" s="16" t="e">
        <f>(U27+(Crescimento!#REF!-(U27*0.64))/0.8)/1000</f>
        <v>#REF!</v>
      </c>
      <c r="U28" s="17" t="e">
        <f>-53.07 + (304.89 * (T28)) + (90.79 *Crescimento!#REF!) - (3.13 * Crescimento!#REF!*Crescimento!#REF!)</f>
        <v>#REF!</v>
      </c>
      <c r="W28" s="16" t="e">
        <f>(X27+(Crescimento!#REF!-(X27*0.64))/0.8)/1000</f>
        <v>#REF!</v>
      </c>
      <c r="X28" s="17" t="e">
        <f>-53.07 + (304.89 * (W28)) + (90.79 *Crescimento!#REF!) - (3.13 * Crescimento!#REF!*Crescimento!#REF!)</f>
        <v>#REF!</v>
      </c>
      <c r="Y28" s="6"/>
      <c r="Z28" s="16" t="e">
        <f>(AA27+(Crescimento!#REF!-(AA27*0.64))/0.8)/1000</f>
        <v>#REF!</v>
      </c>
      <c r="AA28" s="17" t="e">
        <f>-53.07 + (304.89 * (Z28)) + (90.79 *Crescimento!#REF!) - (3.13 * Crescimento!#REF!*Crescimento!#REF!)</f>
        <v>#REF!</v>
      </c>
      <c r="AB28" s="6"/>
      <c r="AC28" s="16" t="e">
        <f>(AD27+(Crescimento!#REF!-(AD27*0.64))/0.8)/1000</f>
        <v>#REF!</v>
      </c>
      <c r="AD28" s="17" t="e">
        <f>-53.07 + (304.89 * (AC28)) + (90.79 *Crescimento!#REF!) - (3.13 * Crescimento!#REF!*Crescimento!#REF!)</f>
        <v>#REF!</v>
      </c>
      <c r="AE28" s="17"/>
      <c r="AF28" s="16" t="e">
        <f>(AG27+(Crescimento!#REF!-(AG27*0.64))/0.8)/1000</f>
        <v>#REF!</v>
      </c>
      <c r="AG28" s="17" t="e">
        <f>-53.07 + (304.89 * (AF28)) + (90.79 *Crescimento!#REF!) - (3.13 * Crescimento!#REF!*Crescimento!#REF!)</f>
        <v>#REF!</v>
      </c>
      <c r="AI28" s="16" t="e">
        <f>(AJ27+(Crescimento!#REF!-(AJ27*0.64))/0.8)/1000</f>
        <v>#REF!</v>
      </c>
      <c r="AJ28" s="17" t="e">
        <f>-53.07 + (304.89 * (AI28)) + (90.79 *Crescimento!#REF!) - (3.13 * Crescimento!#REF!*Crescimento!#REF!)</f>
        <v>#REF!</v>
      </c>
      <c r="AL28" s="16" t="e">
        <f>(AM27+(Crescimento!#REF!-(AM27*0.64))/0.8)/1000</f>
        <v>#REF!</v>
      </c>
      <c r="AM28" s="17" t="e">
        <f>-53.07 + (304.89 * (AL28)) + (90.79 *Crescimento!#REF!) - (3.13 * Crescimento!#REF!*Crescimento!#REF!)</f>
        <v>#REF!</v>
      </c>
      <c r="AO28" s="16" t="e">
        <f>(AP27+(Crescimento!#REF!-(AP27*0.64))/0.8)/1000</f>
        <v>#REF!</v>
      </c>
      <c r="AP28" s="17" t="e">
        <f>-53.07 + (304.89 * (AO28)) + (90.79 *Crescimento!#REF!) - (3.13 * Crescimento!#REF!*Crescimento!#REF!)</f>
        <v>#REF!</v>
      </c>
      <c r="AR28" s="16" t="e">
        <f>(AS27+(Crescimento!#REF!-(AS27*0.64))/0.8)/1000</f>
        <v>#REF!</v>
      </c>
      <c r="AS28" s="17" t="e">
        <f>-53.07 + (304.89 * (AR28)) + (90.79 *Crescimento!#REF!) - (3.13 * Crescimento!#REF!*Crescimento!#REF!)</f>
        <v>#REF!</v>
      </c>
      <c r="AU28" s="16" t="e">
        <f>(AV27+(Crescimento!#REF!-(AV27*0.64))/0.8)/1000</f>
        <v>#REF!</v>
      </c>
      <c r="AV28" s="17" t="e">
        <f>-53.07 + (304.89 * (AU28)) + (90.79 *Crescimento!#REF!) - (3.13 * Crescimento!#REF!*Crescimento!#REF!)</f>
        <v>#REF!</v>
      </c>
      <c r="AX28" s="16" t="e">
        <f>(AY27+(Crescimento!#REF!-(AY27*0.64))/0.8)/1000</f>
        <v>#REF!</v>
      </c>
      <c r="AY28" s="17" t="e">
        <f>-53.07 + (304.89 * (AX28)) + (90.79 *Crescimento!#REF!) - (3.13 * Crescimento!#REF!*Crescimento!#REF!)</f>
        <v>#REF!</v>
      </c>
      <c r="BA28" s="16" t="e">
        <f>(BB27+(Crescimento!#REF!-(BB27*0.64))/0.8)/1000</f>
        <v>#REF!</v>
      </c>
      <c r="BB28" s="17" t="e">
        <f>-53.07 + (304.89 * (BA28)) + (90.79 *Crescimento!#REF!) - (3.13 * Crescimento!#REF!*Crescimento!#REF!)</f>
        <v>#REF!</v>
      </c>
      <c r="BD28" s="16" t="e">
        <f>(BE27+(Crescimento!#REF!-(BE27*0.64))/0.8)/1000</f>
        <v>#REF!</v>
      </c>
      <c r="BE28" s="17" t="e">
        <f>-53.07 + (304.89 * (BD28)) + (90.79 *Crescimento!#REF!) - (3.13 * Crescimento!#REF!*Crescimento!#REF!)</f>
        <v>#REF!</v>
      </c>
      <c r="BG28" s="16" t="e">
        <f>(BH27+(Crescimento!#REF!-(BH27*0.64))/0.8)/1000</f>
        <v>#REF!</v>
      </c>
      <c r="BH28" s="17" t="e">
        <f>-53.07 + (304.89 * (BG28)) + (90.79 *Crescimento!#REF!) - (3.13 * Crescimento!#REF!*Crescimento!#REF!)</f>
        <v>#REF!</v>
      </c>
      <c r="BJ28" s="16" t="e">
        <f>(BK27+(Crescimento!#REF!-(BK27*0.64))/0.8)/1000</f>
        <v>#REF!</v>
      </c>
      <c r="BK28" s="17" t="e">
        <f>-53.07 + (304.89 * (BJ28)) + (90.79 *Crescimento!#REF!) - (3.13 * Crescimento!#REF!*Crescimento!#REF!)</f>
        <v>#REF!</v>
      </c>
      <c r="BM28" s="16" t="e">
        <f>(BN27+(Crescimento!#REF!-(BN27*0.64))/0.8)/1000</f>
        <v>#REF!</v>
      </c>
      <c r="BN28" s="17" t="e">
        <f>-53.07 + (304.89 * (BM28)) + (90.79 *Crescimento!#REF!) - (3.13 * Crescimento!#REF!*Crescimento!#REF!)</f>
        <v>#REF!</v>
      </c>
      <c r="BP28" s="16" t="e">
        <f>(BQ27+(Crescimento!#REF!-(BQ27*0.64))/0.8)/1000</f>
        <v>#REF!</v>
      </c>
      <c r="BQ28" s="17" t="e">
        <f>-53.07 + (304.89 * (BP28)) + (90.79 *Crescimento!#REF!) - (3.13 * Crescimento!#REF!*Crescimento!#REF!)</f>
        <v>#REF!</v>
      </c>
      <c r="BS28" s="16" t="e">
        <f>(BT27+(Crescimento!#REF!-(BT27*0.64))/0.8)/1000</f>
        <v>#REF!</v>
      </c>
      <c r="BT28" s="17" t="e">
        <f>-53.07 + (304.89 * (BS28)) + (90.79 *Crescimento!#REF!) - (3.13 * Crescimento!#REF!*Crescimento!#REF!)</f>
        <v>#REF!</v>
      </c>
      <c r="BV28" s="16" t="e">
        <f>(BW27+(Crescimento!#REF!-(BW27*0.64))/0.8)/1000</f>
        <v>#REF!</v>
      </c>
      <c r="BW28" s="17" t="e">
        <f>-53.07 + (304.89 * (BV28)) + (90.79 *Crescimento!#REF!) - (3.13 * Crescimento!#REF!*Crescimento!#REF!)</f>
        <v>#REF!</v>
      </c>
      <c r="BY28" s="16" t="e">
        <f>(BZ27+(Crescimento!#REF!-(BZ27*0.64))/0.8)/1000</f>
        <v>#REF!</v>
      </c>
      <c r="BZ28" s="17" t="e">
        <f>-53.07 + (304.89 * (BY28)) + (90.79 *Crescimento!#REF!) - (3.13 * Crescimento!#REF!*Crescimento!#REF!)</f>
        <v>#REF!</v>
      </c>
      <c r="CB28" s="16" t="e">
        <f>(CC27+(Crescimento!#REF!-(CC27*0.64))/0.8)/1000</f>
        <v>#REF!</v>
      </c>
      <c r="CC28" s="17" t="e">
        <f>-53.07 + (304.89 * (CB28)) + (90.79 *Crescimento!#REF!) - (3.13 * Crescimento!#REF!*Crescimento!#REF!)</f>
        <v>#REF!</v>
      </c>
      <c r="CE28" s="16" t="e">
        <f>(CF27+(Crescimento!#REF!-(CF27*0.64))/0.8)/1000</f>
        <v>#REF!</v>
      </c>
      <c r="CF28" s="17" t="e">
        <f>-53.07 + (304.89 * (CE28)) + (90.79 *Crescimento!#REF!) - (3.13 * Crescimento!#REF!*Crescimento!#REF!)</f>
        <v>#REF!</v>
      </c>
      <c r="CH28" s="16" t="e">
        <f>(CI27+(Crescimento!#REF!-(CI27*0.64))/0.8)/1000</f>
        <v>#REF!</v>
      </c>
      <c r="CI28" s="17" t="e">
        <f>-53.07 + (304.89 * (CH28)) + (90.79 *Crescimento!#REF!) - (3.13 * Crescimento!#REF!*Crescimento!#REF!)</f>
        <v>#REF!</v>
      </c>
      <c r="CK28" s="16" t="e">
        <f>(CL27+(Crescimento!#REF!-(CL27*0.64))/0.8)/1000</f>
        <v>#REF!</v>
      </c>
      <c r="CL28" s="17" t="e">
        <f>-53.07 + (304.89 * (CK28)) + (90.79 *Crescimento!#REF!) - (3.13 * Crescimento!#REF!*Crescimento!#REF!)</f>
        <v>#REF!</v>
      </c>
    </row>
    <row r="29" spans="2:90" ht="15" customHeight="1" x14ac:dyDescent="0.25">
      <c r="B29" s="16">
        <f>(C28+('Vacas e Bezerros'!$O$29-(C28*0.64))/0.8)/1000</f>
        <v>1.1219974776113528</v>
      </c>
      <c r="C29" s="17">
        <f>-53.07 + (304.89 * (B29)) + (90.79 *'Vacas e Bezerros'!$O$23) - (3.13 * 'Vacas e Bezerros'!$O$23*'Vacas e Bezerros'!$O$23)</f>
        <v>715.77733851110622</v>
      </c>
      <c r="E29" s="16" t="e">
        <f>(F28+(Crescimento!#REF!-(F28*0.64))/0.8)/1000</f>
        <v>#REF!</v>
      </c>
      <c r="F29" s="17" t="e">
        <f>-53.07 + (304.89 * (E29)) + (90.79 *Crescimento!#REF!) - (3.13 * Crescimento!#REF!*Crescimento!#REF!)</f>
        <v>#REF!</v>
      </c>
      <c r="G29" s="1"/>
      <c r="H29" s="16" t="e">
        <f>(I28+(Crescimento!#REF!-(I28*0.64))/0.8)/1000</f>
        <v>#REF!</v>
      </c>
      <c r="I29" s="17" t="e">
        <f>-53.07 + (304.89 * (H29)) + (90.79 *Crescimento!#REF!) - (3.13 * Crescimento!#REF!*Crescimento!#REF!)</f>
        <v>#REF!</v>
      </c>
      <c r="K29" s="16" t="e">
        <f>(L28+(Crescimento!#REF!-(L28*0.64))/0.8)/1000</f>
        <v>#REF!</v>
      </c>
      <c r="L29" s="17" t="e">
        <f>-53.07 + (304.89 * (K29)) + (90.79 *Crescimento!#REF!) - (3.13 * Crescimento!#REF!*Crescimento!#REF!)</f>
        <v>#REF!</v>
      </c>
      <c r="N29" s="16" t="e">
        <f>(O28+(Crescimento!#REF!-(O28*0.64))/0.8)/1000</f>
        <v>#REF!</v>
      </c>
      <c r="O29" s="17" t="e">
        <f>-53.07 + (304.89 * (N29)) + (90.79 *Crescimento!#REF!) - (3.13 * Crescimento!#REF!*Crescimento!#REF!)</f>
        <v>#REF!</v>
      </c>
      <c r="Q29" s="16" t="e">
        <f>(R28+(Crescimento!#REF!-(R28*0.64))/0.8)/1000</f>
        <v>#REF!</v>
      </c>
      <c r="R29" s="17" t="e">
        <f>-53.07 + (304.89 * (Q29)) + (90.79 *Crescimento!#REF!) - (3.13 * Crescimento!#REF!*Crescimento!#REF!)</f>
        <v>#REF!</v>
      </c>
      <c r="T29" s="16" t="e">
        <f>(U28+(Crescimento!#REF!-(U28*0.64))/0.8)/1000</f>
        <v>#REF!</v>
      </c>
      <c r="U29" s="17" t="e">
        <f>-53.07 + (304.89 * (T29)) + (90.79 *Crescimento!#REF!) - (3.13 * Crescimento!#REF!*Crescimento!#REF!)</f>
        <v>#REF!</v>
      </c>
      <c r="W29" s="16" t="e">
        <f>(X28+(Crescimento!#REF!-(X28*0.64))/0.8)/1000</f>
        <v>#REF!</v>
      </c>
      <c r="X29" s="17" t="e">
        <f>-53.07 + (304.89 * (W29)) + (90.79 *Crescimento!#REF!) - (3.13 * Crescimento!#REF!*Crescimento!#REF!)</f>
        <v>#REF!</v>
      </c>
      <c r="Y29" s="6"/>
      <c r="Z29" s="16" t="e">
        <f>(AA28+(Crescimento!#REF!-(AA28*0.64))/0.8)/1000</f>
        <v>#REF!</v>
      </c>
      <c r="AA29" s="17" t="e">
        <f>-53.07 + (304.89 * (Z29)) + (90.79 *Crescimento!#REF!) - (3.13 * Crescimento!#REF!*Crescimento!#REF!)</f>
        <v>#REF!</v>
      </c>
      <c r="AB29" s="6"/>
      <c r="AC29" s="16" t="e">
        <f>(AD28+(Crescimento!#REF!-(AD28*0.64))/0.8)/1000</f>
        <v>#REF!</v>
      </c>
      <c r="AD29" s="17" t="e">
        <f>-53.07 + (304.89 * (AC29)) + (90.79 *Crescimento!#REF!) - (3.13 * Crescimento!#REF!*Crescimento!#REF!)</f>
        <v>#REF!</v>
      </c>
      <c r="AE29" s="17"/>
      <c r="AF29" s="16" t="e">
        <f>(AG28+(Crescimento!#REF!-(AG28*0.64))/0.8)/1000</f>
        <v>#REF!</v>
      </c>
      <c r="AG29" s="17" t="e">
        <f>-53.07 + (304.89 * (AF29)) + (90.79 *Crescimento!#REF!) - (3.13 * Crescimento!#REF!*Crescimento!#REF!)</f>
        <v>#REF!</v>
      </c>
      <c r="AI29" s="16" t="e">
        <f>(AJ28+(Crescimento!#REF!-(AJ28*0.64))/0.8)/1000</f>
        <v>#REF!</v>
      </c>
      <c r="AJ29" s="17" t="e">
        <f>-53.07 + (304.89 * (AI29)) + (90.79 *Crescimento!#REF!) - (3.13 * Crescimento!#REF!*Crescimento!#REF!)</f>
        <v>#REF!</v>
      </c>
      <c r="AL29" s="16" t="e">
        <f>(AM28+(Crescimento!#REF!-(AM28*0.64))/0.8)/1000</f>
        <v>#REF!</v>
      </c>
      <c r="AM29" s="17" t="e">
        <f>-53.07 + (304.89 * (AL29)) + (90.79 *Crescimento!#REF!) - (3.13 * Crescimento!#REF!*Crescimento!#REF!)</f>
        <v>#REF!</v>
      </c>
      <c r="AO29" s="16" t="e">
        <f>(AP28+(Crescimento!#REF!-(AP28*0.64))/0.8)/1000</f>
        <v>#REF!</v>
      </c>
      <c r="AP29" s="17" t="e">
        <f>-53.07 + (304.89 * (AO29)) + (90.79 *Crescimento!#REF!) - (3.13 * Crescimento!#REF!*Crescimento!#REF!)</f>
        <v>#REF!</v>
      </c>
      <c r="AR29" s="16" t="e">
        <f>(AS28+(Crescimento!#REF!-(AS28*0.64))/0.8)/1000</f>
        <v>#REF!</v>
      </c>
      <c r="AS29" s="17" t="e">
        <f>-53.07 + (304.89 * (AR29)) + (90.79 *Crescimento!#REF!) - (3.13 * Crescimento!#REF!*Crescimento!#REF!)</f>
        <v>#REF!</v>
      </c>
      <c r="AU29" s="16" t="e">
        <f>(AV28+(Crescimento!#REF!-(AV28*0.64))/0.8)/1000</f>
        <v>#REF!</v>
      </c>
      <c r="AV29" s="17" t="e">
        <f>-53.07 + (304.89 * (AU29)) + (90.79 *Crescimento!#REF!) - (3.13 * Crescimento!#REF!*Crescimento!#REF!)</f>
        <v>#REF!</v>
      </c>
      <c r="AX29" s="16" t="e">
        <f>(AY28+(Crescimento!#REF!-(AY28*0.64))/0.8)/1000</f>
        <v>#REF!</v>
      </c>
      <c r="AY29" s="17" t="e">
        <f>-53.07 + (304.89 * (AX29)) + (90.79 *Crescimento!#REF!) - (3.13 * Crescimento!#REF!*Crescimento!#REF!)</f>
        <v>#REF!</v>
      </c>
      <c r="BA29" s="16" t="e">
        <f>(BB28+(Crescimento!#REF!-(BB28*0.64))/0.8)/1000</f>
        <v>#REF!</v>
      </c>
      <c r="BB29" s="17" t="e">
        <f>-53.07 + (304.89 * (BA29)) + (90.79 *Crescimento!#REF!) - (3.13 * Crescimento!#REF!*Crescimento!#REF!)</f>
        <v>#REF!</v>
      </c>
      <c r="BD29" s="16" t="e">
        <f>(BE28+(Crescimento!#REF!-(BE28*0.64))/0.8)/1000</f>
        <v>#REF!</v>
      </c>
      <c r="BE29" s="17" t="e">
        <f>-53.07 + (304.89 * (BD29)) + (90.79 *Crescimento!#REF!) - (3.13 * Crescimento!#REF!*Crescimento!#REF!)</f>
        <v>#REF!</v>
      </c>
      <c r="BG29" s="16" t="e">
        <f>(BH28+(Crescimento!#REF!-(BH28*0.64))/0.8)/1000</f>
        <v>#REF!</v>
      </c>
      <c r="BH29" s="17" t="e">
        <f>-53.07 + (304.89 * (BG29)) + (90.79 *Crescimento!#REF!) - (3.13 * Crescimento!#REF!*Crescimento!#REF!)</f>
        <v>#REF!</v>
      </c>
      <c r="BJ29" s="16" t="e">
        <f>(BK28+(Crescimento!#REF!-(BK28*0.64))/0.8)/1000</f>
        <v>#REF!</v>
      </c>
      <c r="BK29" s="17" t="e">
        <f>-53.07 + (304.89 * (BJ29)) + (90.79 *Crescimento!#REF!) - (3.13 * Crescimento!#REF!*Crescimento!#REF!)</f>
        <v>#REF!</v>
      </c>
      <c r="BM29" s="16" t="e">
        <f>(BN28+(Crescimento!#REF!-(BN28*0.64))/0.8)/1000</f>
        <v>#REF!</v>
      </c>
      <c r="BN29" s="17" t="e">
        <f>-53.07 + (304.89 * (BM29)) + (90.79 *Crescimento!#REF!) - (3.13 * Crescimento!#REF!*Crescimento!#REF!)</f>
        <v>#REF!</v>
      </c>
      <c r="BP29" s="16" t="e">
        <f>(BQ28+(Crescimento!#REF!-(BQ28*0.64))/0.8)/1000</f>
        <v>#REF!</v>
      </c>
      <c r="BQ29" s="17" t="e">
        <f>-53.07 + (304.89 * (BP29)) + (90.79 *Crescimento!#REF!) - (3.13 * Crescimento!#REF!*Crescimento!#REF!)</f>
        <v>#REF!</v>
      </c>
      <c r="BS29" s="16" t="e">
        <f>(BT28+(Crescimento!#REF!-(BT28*0.64))/0.8)/1000</f>
        <v>#REF!</v>
      </c>
      <c r="BT29" s="17" t="e">
        <f>-53.07 + (304.89 * (BS29)) + (90.79 *Crescimento!#REF!) - (3.13 * Crescimento!#REF!*Crescimento!#REF!)</f>
        <v>#REF!</v>
      </c>
      <c r="BV29" s="16" t="e">
        <f>(BW28+(Crescimento!#REF!-(BW28*0.64))/0.8)/1000</f>
        <v>#REF!</v>
      </c>
      <c r="BW29" s="17" t="e">
        <f>-53.07 + (304.89 * (BV29)) + (90.79 *Crescimento!#REF!) - (3.13 * Crescimento!#REF!*Crescimento!#REF!)</f>
        <v>#REF!</v>
      </c>
      <c r="BY29" s="16" t="e">
        <f>(BZ28+(Crescimento!#REF!-(BZ28*0.64))/0.8)/1000</f>
        <v>#REF!</v>
      </c>
      <c r="BZ29" s="17" t="e">
        <f>-53.07 + (304.89 * (BY29)) + (90.79 *Crescimento!#REF!) - (3.13 * Crescimento!#REF!*Crescimento!#REF!)</f>
        <v>#REF!</v>
      </c>
      <c r="CB29" s="16" t="e">
        <f>(CC28+(Crescimento!#REF!-(CC28*0.64))/0.8)/1000</f>
        <v>#REF!</v>
      </c>
      <c r="CC29" s="17" t="e">
        <f>-53.07 + (304.89 * (CB29)) + (90.79 *Crescimento!#REF!) - (3.13 * Crescimento!#REF!*Crescimento!#REF!)</f>
        <v>#REF!</v>
      </c>
      <c r="CE29" s="16" t="e">
        <f>(CF28+(Crescimento!#REF!-(CF28*0.64))/0.8)/1000</f>
        <v>#REF!</v>
      </c>
      <c r="CF29" s="17" t="e">
        <f>-53.07 + (304.89 * (CE29)) + (90.79 *Crescimento!#REF!) - (3.13 * Crescimento!#REF!*Crescimento!#REF!)</f>
        <v>#REF!</v>
      </c>
      <c r="CH29" s="16" t="e">
        <f>(CI28+(Crescimento!#REF!-(CI28*0.64))/0.8)/1000</f>
        <v>#REF!</v>
      </c>
      <c r="CI29" s="17" t="e">
        <f>-53.07 + (304.89 * (CH29)) + (90.79 *Crescimento!#REF!) - (3.13 * Crescimento!#REF!*Crescimento!#REF!)</f>
        <v>#REF!</v>
      </c>
      <c r="CK29" s="16" t="e">
        <f>(CL28+(Crescimento!#REF!-(CL28*0.64))/0.8)/1000</f>
        <v>#REF!</v>
      </c>
      <c r="CL29" s="17" t="e">
        <f>-53.07 + (304.89 * (CK29)) + (90.79 *Crescimento!#REF!) - (3.13 * Crescimento!#REF!*Crescimento!#REF!)</f>
        <v>#REF!</v>
      </c>
    </row>
    <row r="30" spans="2:90" ht="15" customHeight="1" x14ac:dyDescent="0.25">
      <c r="B30" s="16">
        <f>(C29+('Vacas e Bezerros'!$O$29-(C29*0.64))/0.8)/1000</f>
        <v>1.1219974776113528</v>
      </c>
      <c r="C30" s="17">
        <f>-53.07 + (304.89 * (B30)) + (90.79 *'Vacas e Bezerros'!$O$23) - (3.13 * 'Vacas e Bezerros'!$O$23*'Vacas e Bezerros'!$O$23)</f>
        <v>715.77733851110622</v>
      </c>
      <c r="E30" s="16" t="e">
        <f>(F29+(Crescimento!#REF!-(F29*0.64))/0.8)/1000</f>
        <v>#REF!</v>
      </c>
      <c r="F30" s="17" t="e">
        <f>-53.07 + (304.89 * (E30)) + (90.79 *Crescimento!#REF!) - (3.13 * Crescimento!#REF!*Crescimento!#REF!)</f>
        <v>#REF!</v>
      </c>
      <c r="G30" s="1"/>
      <c r="H30" s="16" t="e">
        <f>(I29+(Crescimento!#REF!-(I29*0.64))/0.8)/1000</f>
        <v>#REF!</v>
      </c>
      <c r="I30" s="17" t="e">
        <f>-53.07 + (304.89 * (H30)) + (90.79 *Crescimento!#REF!) - (3.13 * Crescimento!#REF!*Crescimento!#REF!)</f>
        <v>#REF!</v>
      </c>
      <c r="K30" s="16" t="e">
        <f>(L29+(Crescimento!#REF!-(L29*0.64))/0.8)/1000</f>
        <v>#REF!</v>
      </c>
      <c r="L30" s="17" t="e">
        <f>-53.07 + (304.89 * (K30)) + (90.79 *Crescimento!#REF!) - (3.13 * Crescimento!#REF!*Crescimento!#REF!)</f>
        <v>#REF!</v>
      </c>
      <c r="N30" s="16" t="e">
        <f>(O29+(Crescimento!#REF!-(O29*0.64))/0.8)/1000</f>
        <v>#REF!</v>
      </c>
      <c r="O30" s="17" t="e">
        <f>-53.07 + (304.89 * (N30)) + (90.79 *Crescimento!#REF!) - (3.13 * Crescimento!#REF!*Crescimento!#REF!)</f>
        <v>#REF!</v>
      </c>
      <c r="Q30" s="16" t="e">
        <f>(R29+(Crescimento!#REF!-(R29*0.64))/0.8)/1000</f>
        <v>#REF!</v>
      </c>
      <c r="R30" s="17" t="e">
        <f>-53.07 + (304.89 * (Q30)) + (90.79 *Crescimento!#REF!) - (3.13 * Crescimento!#REF!*Crescimento!#REF!)</f>
        <v>#REF!</v>
      </c>
      <c r="T30" s="16" t="e">
        <f>(U29+(Crescimento!#REF!-(U29*0.64))/0.8)/1000</f>
        <v>#REF!</v>
      </c>
      <c r="U30" s="17" t="e">
        <f>-53.07 + (304.89 * (T30)) + (90.79 *Crescimento!#REF!) - (3.13 * Crescimento!#REF!*Crescimento!#REF!)</f>
        <v>#REF!</v>
      </c>
      <c r="W30" s="16" t="e">
        <f>(X29+(Crescimento!#REF!-(X29*0.64))/0.8)/1000</f>
        <v>#REF!</v>
      </c>
      <c r="X30" s="17" t="e">
        <f>-53.07 + (304.89 * (W30)) + (90.79 *Crescimento!#REF!) - (3.13 * Crescimento!#REF!*Crescimento!#REF!)</f>
        <v>#REF!</v>
      </c>
      <c r="Y30" s="6"/>
      <c r="Z30" s="16" t="e">
        <f>(AA29+(Crescimento!#REF!-(AA29*0.64))/0.8)/1000</f>
        <v>#REF!</v>
      </c>
      <c r="AA30" s="17" t="e">
        <f>-53.07 + (304.89 * (Z30)) + (90.79 *Crescimento!#REF!) - (3.13 * Crescimento!#REF!*Crescimento!#REF!)</f>
        <v>#REF!</v>
      </c>
      <c r="AB30" s="6"/>
      <c r="AC30" s="16" t="e">
        <f>(AD29+(Crescimento!#REF!-(AD29*0.64))/0.8)/1000</f>
        <v>#REF!</v>
      </c>
      <c r="AD30" s="17" t="e">
        <f>-53.07 + (304.89 * (AC30)) + (90.79 *Crescimento!#REF!) - (3.13 * Crescimento!#REF!*Crescimento!#REF!)</f>
        <v>#REF!</v>
      </c>
      <c r="AE30" s="17"/>
      <c r="AF30" s="16" t="e">
        <f>(AG29+(Crescimento!#REF!-(AG29*0.64))/0.8)/1000</f>
        <v>#REF!</v>
      </c>
      <c r="AG30" s="17" t="e">
        <f>-53.07 + (304.89 * (AF30)) + (90.79 *Crescimento!#REF!) - (3.13 * Crescimento!#REF!*Crescimento!#REF!)</f>
        <v>#REF!</v>
      </c>
      <c r="AI30" s="16" t="e">
        <f>(AJ29+(Crescimento!#REF!-(AJ29*0.64))/0.8)/1000</f>
        <v>#REF!</v>
      </c>
      <c r="AJ30" s="17" t="e">
        <f>-53.07 + (304.89 * (AI30)) + (90.79 *Crescimento!#REF!) - (3.13 * Crescimento!#REF!*Crescimento!#REF!)</f>
        <v>#REF!</v>
      </c>
      <c r="AL30" s="16" t="e">
        <f>(AM29+(Crescimento!#REF!-(AM29*0.64))/0.8)/1000</f>
        <v>#REF!</v>
      </c>
      <c r="AM30" s="17" t="e">
        <f>-53.07 + (304.89 * (AL30)) + (90.79 *Crescimento!#REF!) - (3.13 * Crescimento!#REF!*Crescimento!#REF!)</f>
        <v>#REF!</v>
      </c>
      <c r="AO30" s="16" t="e">
        <f>(AP29+(Crescimento!#REF!-(AP29*0.64))/0.8)/1000</f>
        <v>#REF!</v>
      </c>
      <c r="AP30" s="17" t="e">
        <f>-53.07 + (304.89 * (AO30)) + (90.79 *Crescimento!#REF!) - (3.13 * Crescimento!#REF!*Crescimento!#REF!)</f>
        <v>#REF!</v>
      </c>
      <c r="AR30" s="16" t="e">
        <f>(AS29+(Crescimento!#REF!-(AS29*0.64))/0.8)/1000</f>
        <v>#REF!</v>
      </c>
      <c r="AS30" s="17" t="e">
        <f>-53.07 + (304.89 * (AR30)) + (90.79 *Crescimento!#REF!) - (3.13 * Crescimento!#REF!*Crescimento!#REF!)</f>
        <v>#REF!</v>
      </c>
      <c r="AU30" s="16" t="e">
        <f>(AV29+(Crescimento!#REF!-(AV29*0.64))/0.8)/1000</f>
        <v>#REF!</v>
      </c>
      <c r="AV30" s="17" t="e">
        <f>-53.07 + (304.89 * (AU30)) + (90.79 *Crescimento!#REF!) - (3.13 * Crescimento!#REF!*Crescimento!#REF!)</f>
        <v>#REF!</v>
      </c>
      <c r="AX30" s="16" t="e">
        <f>(AY29+(Crescimento!#REF!-(AY29*0.64))/0.8)/1000</f>
        <v>#REF!</v>
      </c>
      <c r="AY30" s="17" t="e">
        <f>-53.07 + (304.89 * (AX30)) + (90.79 *Crescimento!#REF!) - (3.13 * Crescimento!#REF!*Crescimento!#REF!)</f>
        <v>#REF!</v>
      </c>
      <c r="BA30" s="16" t="e">
        <f>(BB29+(Crescimento!#REF!-(BB29*0.64))/0.8)/1000</f>
        <v>#REF!</v>
      </c>
      <c r="BB30" s="17" t="e">
        <f>-53.07 + (304.89 * (BA30)) + (90.79 *Crescimento!#REF!) - (3.13 * Crescimento!#REF!*Crescimento!#REF!)</f>
        <v>#REF!</v>
      </c>
      <c r="BD30" s="16" t="e">
        <f>(BE29+(Crescimento!#REF!-(BE29*0.64))/0.8)/1000</f>
        <v>#REF!</v>
      </c>
      <c r="BE30" s="17" t="e">
        <f>-53.07 + (304.89 * (BD30)) + (90.79 *Crescimento!#REF!) - (3.13 * Crescimento!#REF!*Crescimento!#REF!)</f>
        <v>#REF!</v>
      </c>
      <c r="BG30" s="16" t="e">
        <f>(BH29+(Crescimento!#REF!-(BH29*0.64))/0.8)/1000</f>
        <v>#REF!</v>
      </c>
      <c r="BH30" s="17" t="e">
        <f>-53.07 + (304.89 * (BG30)) + (90.79 *Crescimento!#REF!) - (3.13 * Crescimento!#REF!*Crescimento!#REF!)</f>
        <v>#REF!</v>
      </c>
      <c r="BJ30" s="16" t="e">
        <f>(BK29+(Crescimento!#REF!-(BK29*0.64))/0.8)/1000</f>
        <v>#REF!</v>
      </c>
      <c r="BK30" s="17" t="e">
        <f>-53.07 + (304.89 * (BJ30)) + (90.79 *Crescimento!#REF!) - (3.13 * Crescimento!#REF!*Crescimento!#REF!)</f>
        <v>#REF!</v>
      </c>
      <c r="BM30" s="16" t="e">
        <f>(BN29+(Crescimento!#REF!-(BN29*0.64))/0.8)/1000</f>
        <v>#REF!</v>
      </c>
      <c r="BN30" s="17" t="e">
        <f>-53.07 + (304.89 * (BM30)) + (90.79 *Crescimento!#REF!) - (3.13 * Crescimento!#REF!*Crescimento!#REF!)</f>
        <v>#REF!</v>
      </c>
      <c r="BP30" s="16" t="e">
        <f>(BQ29+(Crescimento!#REF!-(BQ29*0.64))/0.8)/1000</f>
        <v>#REF!</v>
      </c>
      <c r="BQ30" s="17" t="e">
        <f>-53.07 + (304.89 * (BP30)) + (90.79 *Crescimento!#REF!) - (3.13 * Crescimento!#REF!*Crescimento!#REF!)</f>
        <v>#REF!</v>
      </c>
      <c r="BS30" s="16" t="e">
        <f>(BT29+(Crescimento!#REF!-(BT29*0.64))/0.8)/1000</f>
        <v>#REF!</v>
      </c>
      <c r="BT30" s="17" t="e">
        <f>-53.07 + (304.89 * (BS30)) + (90.79 *Crescimento!#REF!) - (3.13 * Crescimento!#REF!*Crescimento!#REF!)</f>
        <v>#REF!</v>
      </c>
      <c r="BV30" s="16" t="e">
        <f>(BW29+(Crescimento!#REF!-(BW29*0.64))/0.8)/1000</f>
        <v>#REF!</v>
      </c>
      <c r="BW30" s="17" t="e">
        <f>-53.07 + (304.89 * (BV30)) + (90.79 *Crescimento!#REF!) - (3.13 * Crescimento!#REF!*Crescimento!#REF!)</f>
        <v>#REF!</v>
      </c>
      <c r="BY30" s="16" t="e">
        <f>(BZ29+(Crescimento!#REF!-(BZ29*0.64))/0.8)/1000</f>
        <v>#REF!</v>
      </c>
      <c r="BZ30" s="17" t="e">
        <f>-53.07 + (304.89 * (BY30)) + (90.79 *Crescimento!#REF!) - (3.13 * Crescimento!#REF!*Crescimento!#REF!)</f>
        <v>#REF!</v>
      </c>
      <c r="CB30" s="16" t="e">
        <f>(CC29+(Crescimento!#REF!-(CC29*0.64))/0.8)/1000</f>
        <v>#REF!</v>
      </c>
      <c r="CC30" s="17" t="e">
        <f>-53.07 + (304.89 * (CB30)) + (90.79 *Crescimento!#REF!) - (3.13 * Crescimento!#REF!*Crescimento!#REF!)</f>
        <v>#REF!</v>
      </c>
      <c r="CE30" s="16" t="e">
        <f>(CF29+(Crescimento!#REF!-(CF29*0.64))/0.8)/1000</f>
        <v>#REF!</v>
      </c>
      <c r="CF30" s="17" t="e">
        <f>-53.07 + (304.89 * (CE30)) + (90.79 *Crescimento!#REF!) - (3.13 * Crescimento!#REF!*Crescimento!#REF!)</f>
        <v>#REF!</v>
      </c>
      <c r="CH30" s="16" t="e">
        <f>(CI29+(Crescimento!#REF!-(CI29*0.64))/0.8)/1000</f>
        <v>#REF!</v>
      </c>
      <c r="CI30" s="17" t="e">
        <f>-53.07 + (304.89 * (CH30)) + (90.79 *Crescimento!#REF!) - (3.13 * Crescimento!#REF!*Crescimento!#REF!)</f>
        <v>#REF!</v>
      </c>
      <c r="CK30" s="16" t="e">
        <f>(CL29+(Crescimento!#REF!-(CL29*0.64))/0.8)/1000</f>
        <v>#REF!</v>
      </c>
      <c r="CL30" s="17" t="e">
        <f>-53.07 + (304.89 * (CK30)) + (90.79 *Crescimento!#REF!) - (3.13 * Crescimento!#REF!*Crescimento!#REF!)</f>
        <v>#REF!</v>
      </c>
    </row>
    <row r="31" spans="2:90" ht="15" customHeight="1" x14ac:dyDescent="0.25">
      <c r="B31" s="16">
        <f>(C30+('Vacas e Bezerros'!$O$29-(C30*0.64))/0.8)/1000</f>
        <v>1.1219974776113528</v>
      </c>
      <c r="C31" s="17">
        <f>-53.07 + (304.89 * (B31)) + (90.79 *'Vacas e Bezerros'!$O$23) - (3.13 * 'Vacas e Bezerros'!$O$23*'Vacas e Bezerros'!$O$23)</f>
        <v>715.77733851110622</v>
      </c>
      <c r="E31" s="16" t="e">
        <f>(F30+(Crescimento!#REF!-(F30*0.64))/0.8)/1000</f>
        <v>#REF!</v>
      </c>
      <c r="F31" s="17" t="e">
        <f>-53.07 + (304.89 * (E31)) + (90.79 *Crescimento!#REF!) - (3.13 * Crescimento!#REF!*Crescimento!#REF!)</f>
        <v>#REF!</v>
      </c>
      <c r="G31" s="1"/>
      <c r="H31" s="16" t="e">
        <f>(I30+(Crescimento!#REF!-(I30*0.64))/0.8)/1000</f>
        <v>#REF!</v>
      </c>
      <c r="I31" s="17" t="e">
        <f>-53.07 + (304.89 * (H31)) + (90.79 *Crescimento!#REF!) - (3.13 * Crescimento!#REF!*Crescimento!#REF!)</f>
        <v>#REF!</v>
      </c>
      <c r="K31" s="16" t="e">
        <f>(L30+(Crescimento!#REF!-(L30*0.64))/0.8)/1000</f>
        <v>#REF!</v>
      </c>
      <c r="L31" s="17" t="e">
        <f>-53.07 + (304.89 * (K31)) + (90.79 *Crescimento!#REF!) - (3.13 * Crescimento!#REF!*Crescimento!#REF!)</f>
        <v>#REF!</v>
      </c>
      <c r="N31" s="16" t="e">
        <f>(O30+(Crescimento!#REF!-(O30*0.64))/0.8)/1000</f>
        <v>#REF!</v>
      </c>
      <c r="O31" s="17" t="e">
        <f>-53.07 + (304.89 * (N31)) + (90.79 *Crescimento!#REF!) - (3.13 * Crescimento!#REF!*Crescimento!#REF!)</f>
        <v>#REF!</v>
      </c>
      <c r="Q31" s="16" t="e">
        <f>(R30+(Crescimento!#REF!-(R30*0.64))/0.8)/1000</f>
        <v>#REF!</v>
      </c>
      <c r="R31" s="17" t="e">
        <f>-53.07 + (304.89 * (Q31)) + (90.79 *Crescimento!#REF!) - (3.13 * Crescimento!#REF!*Crescimento!#REF!)</f>
        <v>#REF!</v>
      </c>
      <c r="T31" s="16" t="e">
        <f>(U30+(Crescimento!#REF!-(U30*0.64))/0.8)/1000</f>
        <v>#REF!</v>
      </c>
      <c r="U31" s="17" t="e">
        <f>-53.07 + (304.89 * (T31)) + (90.79 *Crescimento!#REF!) - (3.13 * Crescimento!#REF!*Crescimento!#REF!)</f>
        <v>#REF!</v>
      </c>
      <c r="W31" s="16" t="e">
        <f>(X30+(Crescimento!#REF!-(X30*0.64))/0.8)/1000</f>
        <v>#REF!</v>
      </c>
      <c r="X31" s="17" t="e">
        <f>-53.07 + (304.89 * (W31)) + (90.79 *Crescimento!#REF!) - (3.13 * Crescimento!#REF!*Crescimento!#REF!)</f>
        <v>#REF!</v>
      </c>
      <c r="Y31" s="6"/>
      <c r="Z31" s="16" t="e">
        <f>(AA30+(Crescimento!#REF!-(AA30*0.64))/0.8)/1000</f>
        <v>#REF!</v>
      </c>
      <c r="AA31" s="17" t="e">
        <f>-53.07 + (304.89 * (Z31)) + (90.79 *Crescimento!#REF!) - (3.13 * Crescimento!#REF!*Crescimento!#REF!)</f>
        <v>#REF!</v>
      </c>
      <c r="AB31" s="6"/>
      <c r="AC31" s="16" t="e">
        <f>(AD30+(Crescimento!#REF!-(AD30*0.64))/0.8)/1000</f>
        <v>#REF!</v>
      </c>
      <c r="AD31" s="17" t="e">
        <f>-53.07 + (304.89 * (AC31)) + (90.79 *Crescimento!#REF!) - (3.13 * Crescimento!#REF!*Crescimento!#REF!)</f>
        <v>#REF!</v>
      </c>
      <c r="AE31" s="17"/>
      <c r="AF31" s="16" t="e">
        <f>(AG30+(Crescimento!#REF!-(AG30*0.64))/0.8)/1000</f>
        <v>#REF!</v>
      </c>
      <c r="AG31" s="17" t="e">
        <f>-53.07 + (304.89 * (AF31)) + (90.79 *Crescimento!#REF!) - (3.13 * Crescimento!#REF!*Crescimento!#REF!)</f>
        <v>#REF!</v>
      </c>
      <c r="AI31" s="16" t="e">
        <f>(AJ30+(Crescimento!#REF!-(AJ30*0.64))/0.8)/1000</f>
        <v>#REF!</v>
      </c>
      <c r="AJ31" s="17" t="e">
        <f>-53.07 + (304.89 * (AI31)) + (90.79 *Crescimento!#REF!) - (3.13 * Crescimento!#REF!*Crescimento!#REF!)</f>
        <v>#REF!</v>
      </c>
      <c r="AL31" s="16" t="e">
        <f>(AM30+(Crescimento!#REF!-(AM30*0.64))/0.8)/1000</f>
        <v>#REF!</v>
      </c>
      <c r="AM31" s="17" t="e">
        <f>-53.07 + (304.89 * (AL31)) + (90.79 *Crescimento!#REF!) - (3.13 * Crescimento!#REF!*Crescimento!#REF!)</f>
        <v>#REF!</v>
      </c>
      <c r="AO31" s="16" t="e">
        <f>(AP30+(Crescimento!#REF!-(AP30*0.64))/0.8)/1000</f>
        <v>#REF!</v>
      </c>
      <c r="AP31" s="17" t="e">
        <f>-53.07 + (304.89 * (AO31)) + (90.79 *Crescimento!#REF!) - (3.13 * Crescimento!#REF!*Crescimento!#REF!)</f>
        <v>#REF!</v>
      </c>
      <c r="AR31" s="16" t="e">
        <f>(AS30+(Crescimento!#REF!-(AS30*0.64))/0.8)/1000</f>
        <v>#REF!</v>
      </c>
      <c r="AS31" s="17" t="e">
        <f>-53.07 + (304.89 * (AR31)) + (90.79 *Crescimento!#REF!) - (3.13 * Crescimento!#REF!*Crescimento!#REF!)</f>
        <v>#REF!</v>
      </c>
      <c r="AU31" s="16" t="e">
        <f>(AV30+(Crescimento!#REF!-(AV30*0.64))/0.8)/1000</f>
        <v>#REF!</v>
      </c>
      <c r="AV31" s="17" t="e">
        <f>-53.07 + (304.89 * (AU31)) + (90.79 *Crescimento!#REF!) - (3.13 * Crescimento!#REF!*Crescimento!#REF!)</f>
        <v>#REF!</v>
      </c>
      <c r="AX31" s="16" t="e">
        <f>(AY30+(Crescimento!#REF!-(AY30*0.64))/0.8)/1000</f>
        <v>#REF!</v>
      </c>
      <c r="AY31" s="17" t="e">
        <f>-53.07 + (304.89 * (AX31)) + (90.79 *Crescimento!#REF!) - (3.13 * Crescimento!#REF!*Crescimento!#REF!)</f>
        <v>#REF!</v>
      </c>
      <c r="BA31" s="16" t="e">
        <f>(BB30+(Crescimento!#REF!-(BB30*0.64))/0.8)/1000</f>
        <v>#REF!</v>
      </c>
      <c r="BB31" s="17" t="e">
        <f>-53.07 + (304.89 * (BA31)) + (90.79 *Crescimento!#REF!) - (3.13 * Crescimento!#REF!*Crescimento!#REF!)</f>
        <v>#REF!</v>
      </c>
      <c r="BD31" s="16" t="e">
        <f>(BE30+(Crescimento!#REF!-(BE30*0.64))/0.8)/1000</f>
        <v>#REF!</v>
      </c>
      <c r="BE31" s="17" t="e">
        <f>-53.07 + (304.89 * (BD31)) + (90.79 *Crescimento!#REF!) - (3.13 * Crescimento!#REF!*Crescimento!#REF!)</f>
        <v>#REF!</v>
      </c>
      <c r="BG31" s="16" t="e">
        <f>(BH30+(Crescimento!#REF!-(BH30*0.64))/0.8)/1000</f>
        <v>#REF!</v>
      </c>
      <c r="BH31" s="17" t="e">
        <f>-53.07 + (304.89 * (BG31)) + (90.79 *Crescimento!#REF!) - (3.13 * Crescimento!#REF!*Crescimento!#REF!)</f>
        <v>#REF!</v>
      </c>
      <c r="BJ31" s="16" t="e">
        <f>(BK30+(Crescimento!#REF!-(BK30*0.64))/0.8)/1000</f>
        <v>#REF!</v>
      </c>
      <c r="BK31" s="17" t="e">
        <f>-53.07 + (304.89 * (BJ31)) + (90.79 *Crescimento!#REF!) - (3.13 * Crescimento!#REF!*Crescimento!#REF!)</f>
        <v>#REF!</v>
      </c>
      <c r="BM31" s="16" t="e">
        <f>(BN30+(Crescimento!#REF!-(BN30*0.64))/0.8)/1000</f>
        <v>#REF!</v>
      </c>
      <c r="BN31" s="17" t="e">
        <f>-53.07 + (304.89 * (BM31)) + (90.79 *Crescimento!#REF!) - (3.13 * Crescimento!#REF!*Crescimento!#REF!)</f>
        <v>#REF!</v>
      </c>
      <c r="BP31" s="16" t="e">
        <f>(BQ30+(Crescimento!#REF!-(BQ30*0.64))/0.8)/1000</f>
        <v>#REF!</v>
      </c>
      <c r="BQ31" s="17" t="e">
        <f>-53.07 + (304.89 * (BP31)) + (90.79 *Crescimento!#REF!) - (3.13 * Crescimento!#REF!*Crescimento!#REF!)</f>
        <v>#REF!</v>
      </c>
      <c r="BS31" s="16" t="e">
        <f>(BT30+(Crescimento!#REF!-(BT30*0.64))/0.8)/1000</f>
        <v>#REF!</v>
      </c>
      <c r="BT31" s="17" t="e">
        <f>-53.07 + (304.89 * (BS31)) + (90.79 *Crescimento!#REF!) - (3.13 * Crescimento!#REF!*Crescimento!#REF!)</f>
        <v>#REF!</v>
      </c>
      <c r="BV31" s="16" t="e">
        <f>(BW30+(Crescimento!#REF!-(BW30*0.64))/0.8)/1000</f>
        <v>#REF!</v>
      </c>
      <c r="BW31" s="17" t="e">
        <f>-53.07 + (304.89 * (BV31)) + (90.79 *Crescimento!#REF!) - (3.13 * Crescimento!#REF!*Crescimento!#REF!)</f>
        <v>#REF!</v>
      </c>
      <c r="BY31" s="16" t="e">
        <f>(BZ30+(Crescimento!#REF!-(BZ30*0.64))/0.8)/1000</f>
        <v>#REF!</v>
      </c>
      <c r="BZ31" s="17" t="e">
        <f>-53.07 + (304.89 * (BY31)) + (90.79 *Crescimento!#REF!) - (3.13 * Crescimento!#REF!*Crescimento!#REF!)</f>
        <v>#REF!</v>
      </c>
      <c r="CB31" s="16" t="e">
        <f>(CC30+(Crescimento!#REF!-(CC30*0.64))/0.8)/1000</f>
        <v>#REF!</v>
      </c>
      <c r="CC31" s="17" t="e">
        <f>-53.07 + (304.89 * (CB31)) + (90.79 *Crescimento!#REF!) - (3.13 * Crescimento!#REF!*Crescimento!#REF!)</f>
        <v>#REF!</v>
      </c>
      <c r="CE31" s="16" t="e">
        <f>(CF30+(Crescimento!#REF!-(CF30*0.64))/0.8)/1000</f>
        <v>#REF!</v>
      </c>
      <c r="CF31" s="17" t="e">
        <f>-53.07 + (304.89 * (CE31)) + (90.79 *Crescimento!#REF!) - (3.13 * Crescimento!#REF!*Crescimento!#REF!)</f>
        <v>#REF!</v>
      </c>
      <c r="CH31" s="16" t="e">
        <f>(CI30+(Crescimento!#REF!-(CI30*0.64))/0.8)/1000</f>
        <v>#REF!</v>
      </c>
      <c r="CI31" s="17" t="e">
        <f>-53.07 + (304.89 * (CH31)) + (90.79 *Crescimento!#REF!) - (3.13 * Crescimento!#REF!*Crescimento!#REF!)</f>
        <v>#REF!</v>
      </c>
      <c r="CK31" s="16" t="e">
        <f>(CL30+(Crescimento!#REF!-(CL30*0.64))/0.8)/1000</f>
        <v>#REF!</v>
      </c>
      <c r="CL31" s="17" t="e">
        <f>-53.07 + (304.89 * (CK31)) + (90.79 *Crescimento!#REF!) - (3.13 * Crescimento!#REF!*Crescimento!#REF!)</f>
        <v>#REF!</v>
      </c>
    </row>
    <row r="32" spans="2:90" ht="15" customHeight="1" x14ac:dyDescent="0.25">
      <c r="B32" s="16">
        <f>(C31+('Vacas e Bezerros'!$O$29-(C31*0.64))/0.8)/1000</f>
        <v>1.1219974776113528</v>
      </c>
      <c r="C32" s="17">
        <f>-53.07 + (304.89 * (B32)) + (90.79 *'Vacas e Bezerros'!$O$23) - (3.13 * 'Vacas e Bezerros'!$O$23*'Vacas e Bezerros'!$O$23)</f>
        <v>715.77733851110622</v>
      </c>
      <c r="E32" s="16" t="e">
        <f>(F31+(Crescimento!#REF!-(F31*0.64))/0.8)/1000</f>
        <v>#REF!</v>
      </c>
      <c r="F32" s="17" t="e">
        <f>-53.07 + (304.89 * (E32)) + (90.79 *Crescimento!#REF!) - (3.13 * Crescimento!#REF!*Crescimento!#REF!)</f>
        <v>#REF!</v>
      </c>
      <c r="G32" s="1"/>
      <c r="H32" s="16" t="e">
        <f>(I31+(Crescimento!#REF!-(I31*0.64))/0.8)/1000</f>
        <v>#REF!</v>
      </c>
      <c r="I32" s="17" t="e">
        <f>-53.07 + (304.89 * (H32)) + (90.79 *Crescimento!#REF!) - (3.13 * Crescimento!#REF!*Crescimento!#REF!)</f>
        <v>#REF!</v>
      </c>
      <c r="K32" s="16" t="e">
        <f>(L31+(Crescimento!#REF!-(L31*0.64))/0.8)/1000</f>
        <v>#REF!</v>
      </c>
      <c r="L32" s="17" t="e">
        <f>-53.07 + (304.89 * (K32)) + (90.79 *Crescimento!#REF!) - (3.13 * Crescimento!#REF!*Crescimento!#REF!)</f>
        <v>#REF!</v>
      </c>
      <c r="N32" s="16" t="e">
        <f>(O31+(Crescimento!#REF!-(O31*0.64))/0.8)/1000</f>
        <v>#REF!</v>
      </c>
      <c r="O32" s="17" t="e">
        <f>-53.07 + (304.89 * (N32)) + (90.79 *Crescimento!#REF!) - (3.13 * Crescimento!#REF!*Crescimento!#REF!)</f>
        <v>#REF!</v>
      </c>
      <c r="Q32" s="16" t="e">
        <f>(R31+(Crescimento!#REF!-(R31*0.64))/0.8)/1000</f>
        <v>#REF!</v>
      </c>
      <c r="R32" s="17" t="e">
        <f>-53.07 + (304.89 * (Q32)) + (90.79 *Crescimento!#REF!) - (3.13 * Crescimento!#REF!*Crescimento!#REF!)</f>
        <v>#REF!</v>
      </c>
      <c r="T32" s="16" t="e">
        <f>(U31+(Crescimento!#REF!-(U31*0.64))/0.8)/1000</f>
        <v>#REF!</v>
      </c>
      <c r="U32" s="17" t="e">
        <f>-53.07 + (304.89 * (T32)) + (90.79 *Crescimento!#REF!) - (3.13 * Crescimento!#REF!*Crescimento!#REF!)</f>
        <v>#REF!</v>
      </c>
      <c r="W32" s="16" t="e">
        <f>(X31+(Crescimento!#REF!-(X31*0.64))/0.8)/1000</f>
        <v>#REF!</v>
      </c>
      <c r="X32" s="17" t="e">
        <f>-53.07 + (304.89 * (W32)) + (90.79 *Crescimento!#REF!) - (3.13 * Crescimento!#REF!*Crescimento!#REF!)</f>
        <v>#REF!</v>
      </c>
      <c r="Y32" s="6"/>
      <c r="Z32" s="16" t="e">
        <f>(AA31+(Crescimento!#REF!-(AA31*0.64))/0.8)/1000</f>
        <v>#REF!</v>
      </c>
      <c r="AA32" s="17" t="e">
        <f>-53.07 + (304.89 * (Z32)) + (90.79 *Crescimento!#REF!) - (3.13 * Crescimento!#REF!*Crescimento!#REF!)</f>
        <v>#REF!</v>
      </c>
      <c r="AB32" s="6"/>
      <c r="AC32" s="16" t="e">
        <f>(AD31+(Crescimento!#REF!-(AD31*0.64))/0.8)/1000</f>
        <v>#REF!</v>
      </c>
      <c r="AD32" s="17" t="e">
        <f>-53.07 + (304.89 * (AC32)) + (90.79 *Crescimento!#REF!) - (3.13 * Crescimento!#REF!*Crescimento!#REF!)</f>
        <v>#REF!</v>
      </c>
      <c r="AE32" s="17"/>
      <c r="AF32" s="16" t="e">
        <f>(AG31+(Crescimento!#REF!-(AG31*0.64))/0.8)/1000</f>
        <v>#REF!</v>
      </c>
      <c r="AG32" s="17" t="e">
        <f>-53.07 + (304.89 * (AF32)) + (90.79 *Crescimento!#REF!) - (3.13 * Crescimento!#REF!*Crescimento!#REF!)</f>
        <v>#REF!</v>
      </c>
      <c r="AI32" s="16" t="e">
        <f>(AJ31+(Crescimento!#REF!-(AJ31*0.64))/0.8)/1000</f>
        <v>#REF!</v>
      </c>
      <c r="AJ32" s="17" t="e">
        <f>-53.07 + (304.89 * (AI32)) + (90.79 *Crescimento!#REF!) - (3.13 * Crescimento!#REF!*Crescimento!#REF!)</f>
        <v>#REF!</v>
      </c>
      <c r="AL32" s="16" t="e">
        <f>(AM31+(Crescimento!#REF!-(AM31*0.64))/0.8)/1000</f>
        <v>#REF!</v>
      </c>
      <c r="AM32" s="17" t="e">
        <f>-53.07 + (304.89 * (AL32)) + (90.79 *Crescimento!#REF!) - (3.13 * Crescimento!#REF!*Crescimento!#REF!)</f>
        <v>#REF!</v>
      </c>
      <c r="AO32" s="16" t="e">
        <f>(AP31+(Crescimento!#REF!-(AP31*0.64))/0.8)/1000</f>
        <v>#REF!</v>
      </c>
      <c r="AP32" s="17" t="e">
        <f>-53.07 + (304.89 * (AO32)) + (90.79 *Crescimento!#REF!) - (3.13 * Crescimento!#REF!*Crescimento!#REF!)</f>
        <v>#REF!</v>
      </c>
      <c r="AR32" s="16" t="e">
        <f>(AS31+(Crescimento!#REF!-(AS31*0.64))/0.8)/1000</f>
        <v>#REF!</v>
      </c>
      <c r="AS32" s="17" t="e">
        <f>-53.07 + (304.89 * (AR32)) + (90.79 *Crescimento!#REF!) - (3.13 * Crescimento!#REF!*Crescimento!#REF!)</f>
        <v>#REF!</v>
      </c>
      <c r="AU32" s="16" t="e">
        <f>(AV31+(Crescimento!#REF!-(AV31*0.64))/0.8)/1000</f>
        <v>#REF!</v>
      </c>
      <c r="AV32" s="17" t="e">
        <f>-53.07 + (304.89 * (AU32)) + (90.79 *Crescimento!#REF!) - (3.13 * Crescimento!#REF!*Crescimento!#REF!)</f>
        <v>#REF!</v>
      </c>
      <c r="AX32" s="16" t="e">
        <f>(AY31+(Crescimento!#REF!-(AY31*0.64))/0.8)/1000</f>
        <v>#REF!</v>
      </c>
      <c r="AY32" s="17" t="e">
        <f>-53.07 + (304.89 * (AX32)) + (90.79 *Crescimento!#REF!) - (3.13 * Crescimento!#REF!*Crescimento!#REF!)</f>
        <v>#REF!</v>
      </c>
      <c r="BA32" s="16" t="e">
        <f>(BB31+(Crescimento!#REF!-(BB31*0.64))/0.8)/1000</f>
        <v>#REF!</v>
      </c>
      <c r="BB32" s="17" t="e">
        <f>-53.07 + (304.89 * (BA32)) + (90.79 *Crescimento!#REF!) - (3.13 * Crescimento!#REF!*Crescimento!#REF!)</f>
        <v>#REF!</v>
      </c>
      <c r="BD32" s="16" t="e">
        <f>(BE31+(Crescimento!#REF!-(BE31*0.64))/0.8)/1000</f>
        <v>#REF!</v>
      </c>
      <c r="BE32" s="17" t="e">
        <f>-53.07 + (304.89 * (BD32)) + (90.79 *Crescimento!#REF!) - (3.13 * Crescimento!#REF!*Crescimento!#REF!)</f>
        <v>#REF!</v>
      </c>
      <c r="BG32" s="16" t="e">
        <f>(BH31+(Crescimento!#REF!-(BH31*0.64))/0.8)/1000</f>
        <v>#REF!</v>
      </c>
      <c r="BH32" s="17" t="e">
        <f>-53.07 + (304.89 * (BG32)) + (90.79 *Crescimento!#REF!) - (3.13 * Crescimento!#REF!*Crescimento!#REF!)</f>
        <v>#REF!</v>
      </c>
      <c r="BJ32" s="16" t="e">
        <f>(BK31+(Crescimento!#REF!-(BK31*0.64))/0.8)/1000</f>
        <v>#REF!</v>
      </c>
      <c r="BK32" s="17" t="e">
        <f>-53.07 + (304.89 * (BJ32)) + (90.79 *Crescimento!#REF!) - (3.13 * Crescimento!#REF!*Crescimento!#REF!)</f>
        <v>#REF!</v>
      </c>
      <c r="BM32" s="16" t="e">
        <f>(BN31+(Crescimento!#REF!-(BN31*0.64))/0.8)/1000</f>
        <v>#REF!</v>
      </c>
      <c r="BN32" s="17" t="e">
        <f>-53.07 + (304.89 * (BM32)) + (90.79 *Crescimento!#REF!) - (3.13 * Crescimento!#REF!*Crescimento!#REF!)</f>
        <v>#REF!</v>
      </c>
      <c r="BP32" s="16" t="e">
        <f>(BQ31+(Crescimento!#REF!-(BQ31*0.64))/0.8)/1000</f>
        <v>#REF!</v>
      </c>
      <c r="BQ32" s="17" t="e">
        <f>-53.07 + (304.89 * (BP32)) + (90.79 *Crescimento!#REF!) - (3.13 * Crescimento!#REF!*Crescimento!#REF!)</f>
        <v>#REF!</v>
      </c>
      <c r="BS32" s="16" t="e">
        <f>(BT31+(Crescimento!#REF!-(BT31*0.64))/0.8)/1000</f>
        <v>#REF!</v>
      </c>
      <c r="BT32" s="17" t="e">
        <f>-53.07 + (304.89 * (BS32)) + (90.79 *Crescimento!#REF!) - (3.13 * Crescimento!#REF!*Crescimento!#REF!)</f>
        <v>#REF!</v>
      </c>
      <c r="BV32" s="16" t="e">
        <f>(BW31+(Crescimento!#REF!-(BW31*0.64))/0.8)/1000</f>
        <v>#REF!</v>
      </c>
      <c r="BW32" s="17" t="e">
        <f>-53.07 + (304.89 * (BV32)) + (90.79 *Crescimento!#REF!) - (3.13 * Crescimento!#REF!*Crescimento!#REF!)</f>
        <v>#REF!</v>
      </c>
      <c r="BY32" s="16" t="e">
        <f>(BZ31+(Crescimento!#REF!-(BZ31*0.64))/0.8)/1000</f>
        <v>#REF!</v>
      </c>
      <c r="BZ32" s="17" t="e">
        <f>-53.07 + (304.89 * (BY32)) + (90.79 *Crescimento!#REF!) - (3.13 * Crescimento!#REF!*Crescimento!#REF!)</f>
        <v>#REF!</v>
      </c>
      <c r="CB32" s="16" t="e">
        <f>(CC31+(Crescimento!#REF!-(CC31*0.64))/0.8)/1000</f>
        <v>#REF!</v>
      </c>
      <c r="CC32" s="17" t="e">
        <f>-53.07 + (304.89 * (CB32)) + (90.79 *Crescimento!#REF!) - (3.13 * Crescimento!#REF!*Crescimento!#REF!)</f>
        <v>#REF!</v>
      </c>
      <c r="CE32" s="16" t="e">
        <f>(CF31+(Crescimento!#REF!-(CF31*0.64))/0.8)/1000</f>
        <v>#REF!</v>
      </c>
      <c r="CF32" s="17" t="e">
        <f>-53.07 + (304.89 * (CE32)) + (90.79 *Crescimento!#REF!) - (3.13 * Crescimento!#REF!*Crescimento!#REF!)</f>
        <v>#REF!</v>
      </c>
      <c r="CH32" s="16" t="e">
        <f>(CI31+(Crescimento!#REF!-(CI31*0.64))/0.8)/1000</f>
        <v>#REF!</v>
      </c>
      <c r="CI32" s="17" t="e">
        <f>-53.07 + (304.89 * (CH32)) + (90.79 *Crescimento!#REF!) - (3.13 * Crescimento!#REF!*Crescimento!#REF!)</f>
        <v>#REF!</v>
      </c>
      <c r="CK32" s="16" t="e">
        <f>(CL31+(Crescimento!#REF!-(CL31*0.64))/0.8)/1000</f>
        <v>#REF!</v>
      </c>
      <c r="CL32" s="17" t="e">
        <f>-53.07 + (304.89 * (CK32)) + (90.79 *Crescimento!#REF!) - (3.13 * Crescimento!#REF!*Crescimento!#REF!)</f>
        <v>#REF!</v>
      </c>
    </row>
    <row r="33" spans="2:90" ht="15" customHeight="1" x14ac:dyDescent="0.25">
      <c r="B33" s="16">
        <f>(C32+('Vacas e Bezerros'!$O$29-(C32*0.64))/0.8)/1000</f>
        <v>1.1219974776113528</v>
      </c>
      <c r="C33" s="17">
        <f>-53.07 + (304.89 * (B33)) + (90.79 *'Vacas e Bezerros'!$O$23) - (3.13 * 'Vacas e Bezerros'!$O$23*'Vacas e Bezerros'!$O$23)</f>
        <v>715.77733851110622</v>
      </c>
      <c r="E33" s="16" t="e">
        <f>(F32+(Crescimento!#REF!-(F32*0.64))/0.8)/1000</f>
        <v>#REF!</v>
      </c>
      <c r="F33" s="17" t="e">
        <f>-53.07 + (304.89 * (E33)) + (90.79 *Crescimento!#REF!) - (3.13 * Crescimento!#REF!*Crescimento!#REF!)</f>
        <v>#REF!</v>
      </c>
      <c r="G33" s="1"/>
      <c r="H33" s="16" t="e">
        <f>(I32+(Crescimento!#REF!-(I32*0.64))/0.8)/1000</f>
        <v>#REF!</v>
      </c>
      <c r="I33" s="17" t="e">
        <f>-53.07 + (304.89 * (H33)) + (90.79 *Crescimento!#REF!) - (3.13 * Crescimento!#REF!*Crescimento!#REF!)</f>
        <v>#REF!</v>
      </c>
      <c r="K33" s="16" t="e">
        <f>(L32+(Crescimento!#REF!-(L32*0.64))/0.8)/1000</f>
        <v>#REF!</v>
      </c>
      <c r="L33" s="17" t="e">
        <f>-53.07 + (304.89 * (K33)) + (90.79 *Crescimento!#REF!) - (3.13 * Crescimento!#REF!*Crescimento!#REF!)</f>
        <v>#REF!</v>
      </c>
      <c r="N33" s="16" t="e">
        <f>(O32+(Crescimento!#REF!-(O32*0.64))/0.8)/1000</f>
        <v>#REF!</v>
      </c>
      <c r="O33" s="17" t="e">
        <f>-53.07 + (304.89 * (N33)) + (90.79 *Crescimento!#REF!) - (3.13 * Crescimento!#REF!*Crescimento!#REF!)</f>
        <v>#REF!</v>
      </c>
      <c r="Q33" s="16" t="e">
        <f>(R32+(Crescimento!#REF!-(R32*0.64))/0.8)/1000</f>
        <v>#REF!</v>
      </c>
      <c r="R33" s="17" t="e">
        <f>-53.07 + (304.89 * (Q33)) + (90.79 *Crescimento!#REF!) - (3.13 * Crescimento!#REF!*Crescimento!#REF!)</f>
        <v>#REF!</v>
      </c>
      <c r="T33" s="16" t="e">
        <f>(U32+(Crescimento!#REF!-(U32*0.64))/0.8)/1000</f>
        <v>#REF!</v>
      </c>
      <c r="U33" s="17" t="e">
        <f>-53.07 + (304.89 * (T33)) + (90.79 *Crescimento!#REF!) - (3.13 * Crescimento!#REF!*Crescimento!#REF!)</f>
        <v>#REF!</v>
      </c>
      <c r="W33" s="16" t="e">
        <f>(X32+(Crescimento!#REF!-(X32*0.64))/0.8)/1000</f>
        <v>#REF!</v>
      </c>
      <c r="X33" s="17" t="e">
        <f>-53.07 + (304.89 * (W33)) + (90.79 *Crescimento!#REF!) - (3.13 * Crescimento!#REF!*Crescimento!#REF!)</f>
        <v>#REF!</v>
      </c>
      <c r="Y33" s="6"/>
      <c r="Z33" s="16" t="e">
        <f>(AA32+(Crescimento!#REF!-(AA32*0.64))/0.8)/1000</f>
        <v>#REF!</v>
      </c>
      <c r="AA33" s="17" t="e">
        <f>-53.07 + (304.89 * (Z33)) + (90.79 *Crescimento!#REF!) - (3.13 * Crescimento!#REF!*Crescimento!#REF!)</f>
        <v>#REF!</v>
      </c>
      <c r="AB33" s="6"/>
      <c r="AC33" s="16" t="e">
        <f>(AD32+(Crescimento!#REF!-(AD32*0.64))/0.8)/1000</f>
        <v>#REF!</v>
      </c>
      <c r="AD33" s="17" t="e">
        <f>-53.07 + (304.89 * (AC33)) + (90.79 *Crescimento!#REF!) - (3.13 * Crescimento!#REF!*Crescimento!#REF!)</f>
        <v>#REF!</v>
      </c>
      <c r="AE33" s="17"/>
      <c r="AF33" s="16" t="e">
        <f>(AG32+(Crescimento!#REF!-(AG32*0.64))/0.8)/1000</f>
        <v>#REF!</v>
      </c>
      <c r="AG33" s="17" t="e">
        <f>-53.07 + (304.89 * (AF33)) + (90.79 *Crescimento!#REF!) - (3.13 * Crescimento!#REF!*Crescimento!#REF!)</f>
        <v>#REF!</v>
      </c>
      <c r="AI33" s="16" t="e">
        <f>(AJ32+(Crescimento!#REF!-(AJ32*0.64))/0.8)/1000</f>
        <v>#REF!</v>
      </c>
      <c r="AJ33" s="17" t="e">
        <f>-53.07 + (304.89 * (AI33)) + (90.79 *Crescimento!#REF!) - (3.13 * Crescimento!#REF!*Crescimento!#REF!)</f>
        <v>#REF!</v>
      </c>
      <c r="AL33" s="16" t="e">
        <f>(AM32+(Crescimento!#REF!-(AM32*0.64))/0.8)/1000</f>
        <v>#REF!</v>
      </c>
      <c r="AM33" s="17" t="e">
        <f>-53.07 + (304.89 * (AL33)) + (90.79 *Crescimento!#REF!) - (3.13 * Crescimento!#REF!*Crescimento!#REF!)</f>
        <v>#REF!</v>
      </c>
      <c r="AO33" s="16" t="e">
        <f>(AP32+(Crescimento!#REF!-(AP32*0.64))/0.8)/1000</f>
        <v>#REF!</v>
      </c>
      <c r="AP33" s="17" t="e">
        <f>-53.07 + (304.89 * (AO33)) + (90.79 *Crescimento!#REF!) - (3.13 * Crescimento!#REF!*Crescimento!#REF!)</f>
        <v>#REF!</v>
      </c>
      <c r="AR33" s="16" t="e">
        <f>(AS32+(Crescimento!#REF!-(AS32*0.64))/0.8)/1000</f>
        <v>#REF!</v>
      </c>
      <c r="AS33" s="17" t="e">
        <f>-53.07 + (304.89 * (AR33)) + (90.79 *Crescimento!#REF!) - (3.13 * Crescimento!#REF!*Crescimento!#REF!)</f>
        <v>#REF!</v>
      </c>
      <c r="AU33" s="16" t="e">
        <f>(AV32+(Crescimento!#REF!-(AV32*0.64))/0.8)/1000</f>
        <v>#REF!</v>
      </c>
      <c r="AV33" s="17" t="e">
        <f>-53.07 + (304.89 * (AU33)) + (90.79 *Crescimento!#REF!) - (3.13 * Crescimento!#REF!*Crescimento!#REF!)</f>
        <v>#REF!</v>
      </c>
      <c r="AX33" s="16" t="e">
        <f>(AY32+(Crescimento!#REF!-(AY32*0.64))/0.8)/1000</f>
        <v>#REF!</v>
      </c>
      <c r="AY33" s="17" t="e">
        <f>-53.07 + (304.89 * (AX33)) + (90.79 *Crescimento!#REF!) - (3.13 * Crescimento!#REF!*Crescimento!#REF!)</f>
        <v>#REF!</v>
      </c>
      <c r="BA33" s="16" t="e">
        <f>(BB32+(Crescimento!#REF!-(BB32*0.64))/0.8)/1000</f>
        <v>#REF!</v>
      </c>
      <c r="BB33" s="17" t="e">
        <f>-53.07 + (304.89 * (BA33)) + (90.79 *Crescimento!#REF!) - (3.13 * Crescimento!#REF!*Crescimento!#REF!)</f>
        <v>#REF!</v>
      </c>
      <c r="BD33" s="16" t="e">
        <f>(BE32+(Crescimento!#REF!-(BE32*0.64))/0.8)/1000</f>
        <v>#REF!</v>
      </c>
      <c r="BE33" s="17" t="e">
        <f>-53.07 + (304.89 * (BD33)) + (90.79 *Crescimento!#REF!) - (3.13 * Crescimento!#REF!*Crescimento!#REF!)</f>
        <v>#REF!</v>
      </c>
      <c r="BG33" s="16" t="e">
        <f>(BH32+(Crescimento!#REF!-(BH32*0.64))/0.8)/1000</f>
        <v>#REF!</v>
      </c>
      <c r="BH33" s="17" t="e">
        <f>-53.07 + (304.89 * (BG33)) + (90.79 *Crescimento!#REF!) - (3.13 * Crescimento!#REF!*Crescimento!#REF!)</f>
        <v>#REF!</v>
      </c>
      <c r="BJ33" s="16" t="e">
        <f>(BK32+(Crescimento!#REF!-(BK32*0.64))/0.8)/1000</f>
        <v>#REF!</v>
      </c>
      <c r="BK33" s="17" t="e">
        <f>-53.07 + (304.89 * (BJ33)) + (90.79 *Crescimento!#REF!) - (3.13 * Crescimento!#REF!*Crescimento!#REF!)</f>
        <v>#REF!</v>
      </c>
      <c r="BM33" s="16" t="e">
        <f>(BN32+(Crescimento!#REF!-(BN32*0.64))/0.8)/1000</f>
        <v>#REF!</v>
      </c>
      <c r="BN33" s="17" t="e">
        <f>-53.07 + (304.89 * (BM33)) + (90.79 *Crescimento!#REF!) - (3.13 * Crescimento!#REF!*Crescimento!#REF!)</f>
        <v>#REF!</v>
      </c>
      <c r="BP33" s="16" t="e">
        <f>(BQ32+(Crescimento!#REF!-(BQ32*0.64))/0.8)/1000</f>
        <v>#REF!</v>
      </c>
      <c r="BQ33" s="17" t="e">
        <f>-53.07 + (304.89 * (BP33)) + (90.79 *Crescimento!#REF!) - (3.13 * Crescimento!#REF!*Crescimento!#REF!)</f>
        <v>#REF!</v>
      </c>
      <c r="BS33" s="16" t="e">
        <f>(BT32+(Crescimento!#REF!-(BT32*0.64))/0.8)/1000</f>
        <v>#REF!</v>
      </c>
      <c r="BT33" s="17" t="e">
        <f>-53.07 + (304.89 * (BS33)) + (90.79 *Crescimento!#REF!) - (3.13 * Crescimento!#REF!*Crescimento!#REF!)</f>
        <v>#REF!</v>
      </c>
      <c r="BV33" s="16" t="e">
        <f>(BW32+(Crescimento!#REF!-(BW32*0.64))/0.8)/1000</f>
        <v>#REF!</v>
      </c>
      <c r="BW33" s="17" t="e">
        <f>-53.07 + (304.89 * (BV33)) + (90.79 *Crescimento!#REF!) - (3.13 * Crescimento!#REF!*Crescimento!#REF!)</f>
        <v>#REF!</v>
      </c>
      <c r="BY33" s="16" t="e">
        <f>(BZ32+(Crescimento!#REF!-(BZ32*0.64))/0.8)/1000</f>
        <v>#REF!</v>
      </c>
      <c r="BZ33" s="17" t="e">
        <f>-53.07 + (304.89 * (BY33)) + (90.79 *Crescimento!#REF!) - (3.13 * Crescimento!#REF!*Crescimento!#REF!)</f>
        <v>#REF!</v>
      </c>
      <c r="CB33" s="16" t="e">
        <f>(CC32+(Crescimento!#REF!-(CC32*0.64))/0.8)/1000</f>
        <v>#REF!</v>
      </c>
      <c r="CC33" s="17" t="e">
        <f>-53.07 + (304.89 * (CB33)) + (90.79 *Crescimento!#REF!) - (3.13 * Crescimento!#REF!*Crescimento!#REF!)</f>
        <v>#REF!</v>
      </c>
      <c r="CE33" s="16" t="e">
        <f>(CF32+(Crescimento!#REF!-(CF32*0.64))/0.8)/1000</f>
        <v>#REF!</v>
      </c>
      <c r="CF33" s="17" t="e">
        <f>-53.07 + (304.89 * (CE33)) + (90.79 *Crescimento!#REF!) - (3.13 * Crescimento!#REF!*Crescimento!#REF!)</f>
        <v>#REF!</v>
      </c>
      <c r="CH33" s="16" t="e">
        <f>(CI32+(Crescimento!#REF!-(CI32*0.64))/0.8)/1000</f>
        <v>#REF!</v>
      </c>
      <c r="CI33" s="17" t="e">
        <f>-53.07 + (304.89 * (CH33)) + (90.79 *Crescimento!#REF!) - (3.13 * Crescimento!#REF!*Crescimento!#REF!)</f>
        <v>#REF!</v>
      </c>
      <c r="CK33" s="16" t="e">
        <f>(CL32+(Crescimento!#REF!-(CL32*0.64))/0.8)/1000</f>
        <v>#REF!</v>
      </c>
      <c r="CL33" s="17" t="e">
        <f>-53.07 + (304.89 * (CK33)) + (90.79 *Crescimento!#REF!) - (3.13 * Crescimento!#REF!*Crescimento!#REF!)</f>
        <v>#REF!</v>
      </c>
    </row>
    <row r="34" spans="2:90" ht="15" customHeight="1" x14ac:dyDescent="0.25">
      <c r="B34" s="16">
        <f>(C33+('Vacas e Bezerros'!$O$29-(C33*0.64))/0.8)/1000</f>
        <v>1.1219974776113528</v>
      </c>
      <c r="C34" s="17">
        <f>-53.07 + (304.89 * (B34)) + (90.79 *'Vacas e Bezerros'!$O$23) - (3.13 * 'Vacas e Bezerros'!$O$23*'Vacas e Bezerros'!$O$23)</f>
        <v>715.77733851110622</v>
      </c>
      <c r="E34" s="16" t="e">
        <f>(F33+(Crescimento!#REF!-(F33*0.64))/0.8)/1000</f>
        <v>#REF!</v>
      </c>
      <c r="F34" s="17" t="e">
        <f>-53.07 + (304.89 * (E34)) + (90.79 *Crescimento!#REF!) - (3.13 * Crescimento!#REF!*Crescimento!#REF!)</f>
        <v>#REF!</v>
      </c>
      <c r="G34" s="1"/>
      <c r="H34" s="16" t="e">
        <f>(I33+(Crescimento!#REF!-(I33*0.64))/0.8)/1000</f>
        <v>#REF!</v>
      </c>
      <c r="I34" s="17" t="e">
        <f>-53.07 + (304.89 * (H34)) + (90.79 *Crescimento!#REF!) - (3.13 * Crescimento!#REF!*Crescimento!#REF!)</f>
        <v>#REF!</v>
      </c>
      <c r="K34" s="16" t="e">
        <f>(L33+(Crescimento!#REF!-(L33*0.64))/0.8)/1000</f>
        <v>#REF!</v>
      </c>
      <c r="L34" s="17" t="e">
        <f>-53.07 + (304.89 * (K34)) + (90.79 *Crescimento!#REF!) - (3.13 * Crescimento!#REF!*Crescimento!#REF!)</f>
        <v>#REF!</v>
      </c>
      <c r="N34" s="16" t="e">
        <f>(O33+(Crescimento!#REF!-(O33*0.64))/0.8)/1000</f>
        <v>#REF!</v>
      </c>
      <c r="O34" s="17" t="e">
        <f>-53.07 + (304.89 * (N34)) + (90.79 *Crescimento!#REF!) - (3.13 * Crescimento!#REF!*Crescimento!#REF!)</f>
        <v>#REF!</v>
      </c>
      <c r="Q34" s="16" t="e">
        <f>(R33+(Crescimento!#REF!-(R33*0.64))/0.8)/1000</f>
        <v>#REF!</v>
      </c>
      <c r="R34" s="17" t="e">
        <f>-53.07 + (304.89 * (Q34)) + (90.79 *Crescimento!#REF!) - (3.13 * Crescimento!#REF!*Crescimento!#REF!)</f>
        <v>#REF!</v>
      </c>
      <c r="T34" s="16" t="e">
        <f>(U33+(Crescimento!#REF!-(U33*0.64))/0.8)/1000</f>
        <v>#REF!</v>
      </c>
      <c r="U34" s="17" t="e">
        <f>-53.07 + (304.89 * (T34)) + (90.79 *Crescimento!#REF!) - (3.13 * Crescimento!#REF!*Crescimento!#REF!)</f>
        <v>#REF!</v>
      </c>
      <c r="W34" s="16" t="e">
        <f>(X33+(Crescimento!#REF!-(X33*0.64))/0.8)/1000</f>
        <v>#REF!</v>
      </c>
      <c r="X34" s="17" t="e">
        <f>-53.07 + (304.89 * (W34)) + (90.79 *Crescimento!#REF!) - (3.13 * Crescimento!#REF!*Crescimento!#REF!)</f>
        <v>#REF!</v>
      </c>
      <c r="Y34" s="6"/>
      <c r="Z34" s="16" t="e">
        <f>(AA33+(Crescimento!#REF!-(AA33*0.64))/0.8)/1000</f>
        <v>#REF!</v>
      </c>
      <c r="AA34" s="17" t="e">
        <f>-53.07 + (304.89 * (Z34)) + (90.79 *Crescimento!#REF!) - (3.13 * Crescimento!#REF!*Crescimento!#REF!)</f>
        <v>#REF!</v>
      </c>
      <c r="AB34" s="6"/>
      <c r="AC34" s="16" t="e">
        <f>(AD33+(Crescimento!#REF!-(AD33*0.64))/0.8)/1000</f>
        <v>#REF!</v>
      </c>
      <c r="AD34" s="17" t="e">
        <f>-53.07 + (304.89 * (AC34)) + (90.79 *Crescimento!#REF!) - (3.13 * Crescimento!#REF!*Crescimento!#REF!)</f>
        <v>#REF!</v>
      </c>
      <c r="AE34" s="17"/>
      <c r="AF34" s="16" t="e">
        <f>(AG33+(Crescimento!#REF!-(AG33*0.64))/0.8)/1000</f>
        <v>#REF!</v>
      </c>
      <c r="AG34" s="17" t="e">
        <f>-53.07 + (304.89 * (AF34)) + (90.79 *Crescimento!#REF!) - (3.13 * Crescimento!#REF!*Crescimento!#REF!)</f>
        <v>#REF!</v>
      </c>
      <c r="AI34" s="16" t="e">
        <f>(AJ33+(Crescimento!#REF!-(AJ33*0.64))/0.8)/1000</f>
        <v>#REF!</v>
      </c>
      <c r="AJ34" s="17" t="e">
        <f>-53.07 + (304.89 * (AI34)) + (90.79 *Crescimento!#REF!) - (3.13 * Crescimento!#REF!*Crescimento!#REF!)</f>
        <v>#REF!</v>
      </c>
      <c r="AL34" s="16" t="e">
        <f>(AM33+(Crescimento!#REF!-(AM33*0.64))/0.8)/1000</f>
        <v>#REF!</v>
      </c>
      <c r="AM34" s="17" t="e">
        <f>-53.07 + (304.89 * (AL34)) + (90.79 *Crescimento!#REF!) - (3.13 * Crescimento!#REF!*Crescimento!#REF!)</f>
        <v>#REF!</v>
      </c>
      <c r="AO34" s="16" t="e">
        <f>(AP33+(Crescimento!#REF!-(AP33*0.64))/0.8)/1000</f>
        <v>#REF!</v>
      </c>
      <c r="AP34" s="17" t="e">
        <f>-53.07 + (304.89 * (AO34)) + (90.79 *Crescimento!#REF!) - (3.13 * Crescimento!#REF!*Crescimento!#REF!)</f>
        <v>#REF!</v>
      </c>
      <c r="AR34" s="16" t="e">
        <f>(AS33+(Crescimento!#REF!-(AS33*0.64))/0.8)/1000</f>
        <v>#REF!</v>
      </c>
      <c r="AS34" s="17" t="e">
        <f>-53.07 + (304.89 * (AR34)) + (90.79 *Crescimento!#REF!) - (3.13 * Crescimento!#REF!*Crescimento!#REF!)</f>
        <v>#REF!</v>
      </c>
      <c r="AU34" s="16" t="e">
        <f>(AV33+(Crescimento!#REF!-(AV33*0.64))/0.8)/1000</f>
        <v>#REF!</v>
      </c>
      <c r="AV34" s="17" t="e">
        <f>-53.07 + (304.89 * (AU34)) + (90.79 *Crescimento!#REF!) - (3.13 * Crescimento!#REF!*Crescimento!#REF!)</f>
        <v>#REF!</v>
      </c>
      <c r="AX34" s="16" t="e">
        <f>(AY33+(Crescimento!#REF!-(AY33*0.64))/0.8)/1000</f>
        <v>#REF!</v>
      </c>
      <c r="AY34" s="17" t="e">
        <f>-53.07 + (304.89 * (AX34)) + (90.79 *Crescimento!#REF!) - (3.13 * Crescimento!#REF!*Crescimento!#REF!)</f>
        <v>#REF!</v>
      </c>
      <c r="BA34" s="16" t="e">
        <f>(BB33+(Crescimento!#REF!-(BB33*0.64))/0.8)/1000</f>
        <v>#REF!</v>
      </c>
      <c r="BB34" s="17" t="e">
        <f>-53.07 + (304.89 * (BA34)) + (90.79 *Crescimento!#REF!) - (3.13 * Crescimento!#REF!*Crescimento!#REF!)</f>
        <v>#REF!</v>
      </c>
      <c r="BD34" s="16" t="e">
        <f>(BE33+(Crescimento!#REF!-(BE33*0.64))/0.8)/1000</f>
        <v>#REF!</v>
      </c>
      <c r="BE34" s="17" t="e">
        <f>-53.07 + (304.89 * (BD34)) + (90.79 *Crescimento!#REF!) - (3.13 * Crescimento!#REF!*Crescimento!#REF!)</f>
        <v>#REF!</v>
      </c>
      <c r="BG34" s="16" t="e">
        <f>(BH33+(Crescimento!#REF!-(BH33*0.64))/0.8)/1000</f>
        <v>#REF!</v>
      </c>
      <c r="BH34" s="17" t="e">
        <f>-53.07 + (304.89 * (BG34)) + (90.79 *Crescimento!#REF!) - (3.13 * Crescimento!#REF!*Crescimento!#REF!)</f>
        <v>#REF!</v>
      </c>
      <c r="BJ34" s="16" t="e">
        <f>(BK33+(Crescimento!#REF!-(BK33*0.64))/0.8)/1000</f>
        <v>#REF!</v>
      </c>
      <c r="BK34" s="17" t="e">
        <f>-53.07 + (304.89 * (BJ34)) + (90.79 *Crescimento!#REF!) - (3.13 * Crescimento!#REF!*Crescimento!#REF!)</f>
        <v>#REF!</v>
      </c>
      <c r="BM34" s="16" t="e">
        <f>(BN33+(Crescimento!#REF!-(BN33*0.64))/0.8)/1000</f>
        <v>#REF!</v>
      </c>
      <c r="BN34" s="17" t="e">
        <f>-53.07 + (304.89 * (BM34)) + (90.79 *Crescimento!#REF!) - (3.13 * Crescimento!#REF!*Crescimento!#REF!)</f>
        <v>#REF!</v>
      </c>
      <c r="BP34" s="16" t="e">
        <f>(BQ33+(Crescimento!#REF!-(BQ33*0.64))/0.8)/1000</f>
        <v>#REF!</v>
      </c>
      <c r="BQ34" s="17" t="e">
        <f>-53.07 + (304.89 * (BP34)) + (90.79 *Crescimento!#REF!) - (3.13 * Crescimento!#REF!*Crescimento!#REF!)</f>
        <v>#REF!</v>
      </c>
      <c r="BS34" s="16" t="e">
        <f>(BT33+(Crescimento!#REF!-(BT33*0.64))/0.8)/1000</f>
        <v>#REF!</v>
      </c>
      <c r="BT34" s="17" t="e">
        <f>-53.07 + (304.89 * (BS34)) + (90.79 *Crescimento!#REF!) - (3.13 * Crescimento!#REF!*Crescimento!#REF!)</f>
        <v>#REF!</v>
      </c>
      <c r="BV34" s="16" t="e">
        <f>(BW33+(Crescimento!#REF!-(BW33*0.64))/0.8)/1000</f>
        <v>#REF!</v>
      </c>
      <c r="BW34" s="17" t="e">
        <f>-53.07 + (304.89 * (BV34)) + (90.79 *Crescimento!#REF!) - (3.13 * Crescimento!#REF!*Crescimento!#REF!)</f>
        <v>#REF!</v>
      </c>
      <c r="BY34" s="16" t="e">
        <f>(BZ33+(Crescimento!#REF!-(BZ33*0.64))/0.8)/1000</f>
        <v>#REF!</v>
      </c>
      <c r="BZ34" s="17" t="e">
        <f>-53.07 + (304.89 * (BY34)) + (90.79 *Crescimento!#REF!) - (3.13 * Crescimento!#REF!*Crescimento!#REF!)</f>
        <v>#REF!</v>
      </c>
      <c r="CB34" s="16" t="e">
        <f>(CC33+(Crescimento!#REF!-(CC33*0.64))/0.8)/1000</f>
        <v>#REF!</v>
      </c>
      <c r="CC34" s="17" t="e">
        <f>-53.07 + (304.89 * (CB34)) + (90.79 *Crescimento!#REF!) - (3.13 * Crescimento!#REF!*Crescimento!#REF!)</f>
        <v>#REF!</v>
      </c>
      <c r="CE34" s="16" t="e">
        <f>(CF33+(Crescimento!#REF!-(CF33*0.64))/0.8)/1000</f>
        <v>#REF!</v>
      </c>
      <c r="CF34" s="17" t="e">
        <f>-53.07 + (304.89 * (CE34)) + (90.79 *Crescimento!#REF!) - (3.13 * Crescimento!#REF!*Crescimento!#REF!)</f>
        <v>#REF!</v>
      </c>
      <c r="CH34" s="16" t="e">
        <f>(CI33+(Crescimento!#REF!-(CI33*0.64))/0.8)/1000</f>
        <v>#REF!</v>
      </c>
      <c r="CI34" s="17" t="e">
        <f>-53.07 + (304.89 * (CH34)) + (90.79 *Crescimento!#REF!) - (3.13 * Crescimento!#REF!*Crescimento!#REF!)</f>
        <v>#REF!</v>
      </c>
      <c r="CK34" s="16" t="e">
        <f>(CL33+(Crescimento!#REF!-(CL33*0.64))/0.8)/1000</f>
        <v>#REF!</v>
      </c>
      <c r="CL34" s="17" t="e">
        <f>-53.07 + (304.89 * (CK34)) + (90.79 *Crescimento!#REF!) - (3.13 * Crescimento!#REF!*Crescimento!#REF!)</f>
        <v>#REF!</v>
      </c>
    </row>
    <row r="35" spans="2:90" ht="15" customHeight="1" x14ac:dyDescent="0.25">
      <c r="B35" s="16">
        <f>(C34+('Vacas e Bezerros'!$O$29-(C34*0.64))/0.8)/1000</f>
        <v>1.1219974776113528</v>
      </c>
      <c r="C35" s="17">
        <f>-53.07 + (304.89 * (B35)) + (90.79 *'Vacas e Bezerros'!$O$23) - (3.13 * 'Vacas e Bezerros'!$O$23*'Vacas e Bezerros'!$O$23)</f>
        <v>715.77733851110622</v>
      </c>
      <c r="E35" s="16" t="e">
        <f>(F34+(Crescimento!#REF!-(F34*0.64))/0.8)/1000</f>
        <v>#REF!</v>
      </c>
      <c r="F35" s="17" t="e">
        <f>-53.07 + (304.89 * (E35)) + (90.79 *Crescimento!#REF!) - (3.13 * Crescimento!#REF!*Crescimento!#REF!)</f>
        <v>#REF!</v>
      </c>
      <c r="G35" s="1"/>
      <c r="H35" s="16" t="e">
        <f>(I34+(Crescimento!#REF!-(I34*0.64))/0.8)/1000</f>
        <v>#REF!</v>
      </c>
      <c r="I35" s="17" t="e">
        <f>-53.07 + (304.89 * (H35)) + (90.79 *Crescimento!#REF!) - (3.13 * Crescimento!#REF!*Crescimento!#REF!)</f>
        <v>#REF!</v>
      </c>
      <c r="K35" s="16" t="e">
        <f>(L34+(Crescimento!#REF!-(L34*0.64))/0.8)/1000</f>
        <v>#REF!</v>
      </c>
      <c r="L35" s="17" t="e">
        <f>-53.07 + (304.89 * (K35)) + (90.79 *Crescimento!#REF!) - (3.13 * Crescimento!#REF!*Crescimento!#REF!)</f>
        <v>#REF!</v>
      </c>
      <c r="N35" s="16" t="e">
        <f>(O34+(Crescimento!#REF!-(O34*0.64))/0.8)/1000</f>
        <v>#REF!</v>
      </c>
      <c r="O35" s="17" t="e">
        <f>-53.07 + (304.89 * (N35)) + (90.79 *Crescimento!#REF!) - (3.13 * Crescimento!#REF!*Crescimento!#REF!)</f>
        <v>#REF!</v>
      </c>
      <c r="Q35" s="16" t="e">
        <f>(R34+(Crescimento!#REF!-(R34*0.64))/0.8)/1000</f>
        <v>#REF!</v>
      </c>
      <c r="R35" s="17" t="e">
        <f>-53.07 + (304.89 * (Q35)) + (90.79 *Crescimento!#REF!) - (3.13 * Crescimento!#REF!*Crescimento!#REF!)</f>
        <v>#REF!</v>
      </c>
      <c r="T35" s="16" t="e">
        <f>(U34+(Crescimento!#REF!-(U34*0.64))/0.8)/1000</f>
        <v>#REF!</v>
      </c>
      <c r="U35" s="17" t="e">
        <f>-53.07 + (304.89 * (T35)) + (90.79 *Crescimento!#REF!) - (3.13 * Crescimento!#REF!*Crescimento!#REF!)</f>
        <v>#REF!</v>
      </c>
      <c r="W35" s="16" t="e">
        <f>(X34+(Crescimento!#REF!-(X34*0.64))/0.8)/1000</f>
        <v>#REF!</v>
      </c>
      <c r="X35" s="17" t="e">
        <f>-53.07 + (304.89 * (W35)) + (90.79 *Crescimento!#REF!) - (3.13 * Crescimento!#REF!*Crescimento!#REF!)</f>
        <v>#REF!</v>
      </c>
      <c r="Y35" s="6"/>
      <c r="Z35" s="16" t="e">
        <f>(AA34+(Crescimento!#REF!-(AA34*0.64))/0.8)/1000</f>
        <v>#REF!</v>
      </c>
      <c r="AA35" s="17" t="e">
        <f>-53.07 + (304.89 * (Z35)) + (90.79 *Crescimento!#REF!) - (3.13 * Crescimento!#REF!*Crescimento!#REF!)</f>
        <v>#REF!</v>
      </c>
      <c r="AB35" s="6"/>
      <c r="AC35" s="16" t="e">
        <f>(AD34+(Crescimento!#REF!-(AD34*0.64))/0.8)/1000</f>
        <v>#REF!</v>
      </c>
      <c r="AD35" s="17" t="e">
        <f>-53.07 + (304.89 * (AC35)) + (90.79 *Crescimento!#REF!) - (3.13 * Crescimento!#REF!*Crescimento!#REF!)</f>
        <v>#REF!</v>
      </c>
      <c r="AE35" s="17"/>
      <c r="AF35" s="16" t="e">
        <f>(AG34+(Crescimento!#REF!-(AG34*0.64))/0.8)/1000</f>
        <v>#REF!</v>
      </c>
      <c r="AG35" s="17" t="e">
        <f>-53.07 + (304.89 * (AF35)) + (90.79 *Crescimento!#REF!) - (3.13 * Crescimento!#REF!*Crescimento!#REF!)</f>
        <v>#REF!</v>
      </c>
      <c r="AI35" s="16" t="e">
        <f>(AJ34+(Crescimento!#REF!-(AJ34*0.64))/0.8)/1000</f>
        <v>#REF!</v>
      </c>
      <c r="AJ35" s="17" t="e">
        <f>-53.07 + (304.89 * (AI35)) + (90.79 *Crescimento!#REF!) - (3.13 * Crescimento!#REF!*Crescimento!#REF!)</f>
        <v>#REF!</v>
      </c>
      <c r="AL35" s="16" t="e">
        <f>(AM34+(Crescimento!#REF!-(AM34*0.64))/0.8)/1000</f>
        <v>#REF!</v>
      </c>
      <c r="AM35" s="17" t="e">
        <f>-53.07 + (304.89 * (AL35)) + (90.79 *Crescimento!#REF!) - (3.13 * Crescimento!#REF!*Crescimento!#REF!)</f>
        <v>#REF!</v>
      </c>
      <c r="AO35" s="16" t="e">
        <f>(AP34+(Crescimento!#REF!-(AP34*0.64))/0.8)/1000</f>
        <v>#REF!</v>
      </c>
      <c r="AP35" s="17" t="e">
        <f>-53.07 + (304.89 * (AO35)) + (90.79 *Crescimento!#REF!) - (3.13 * Crescimento!#REF!*Crescimento!#REF!)</f>
        <v>#REF!</v>
      </c>
      <c r="AR35" s="16" t="e">
        <f>(AS34+(Crescimento!#REF!-(AS34*0.64))/0.8)/1000</f>
        <v>#REF!</v>
      </c>
      <c r="AS35" s="17" t="e">
        <f>-53.07 + (304.89 * (AR35)) + (90.79 *Crescimento!#REF!) - (3.13 * Crescimento!#REF!*Crescimento!#REF!)</f>
        <v>#REF!</v>
      </c>
      <c r="AU35" s="16" t="e">
        <f>(AV34+(Crescimento!#REF!-(AV34*0.64))/0.8)/1000</f>
        <v>#REF!</v>
      </c>
      <c r="AV35" s="17" t="e">
        <f>-53.07 + (304.89 * (AU35)) + (90.79 *Crescimento!#REF!) - (3.13 * Crescimento!#REF!*Crescimento!#REF!)</f>
        <v>#REF!</v>
      </c>
      <c r="AX35" s="16" t="e">
        <f>(AY34+(Crescimento!#REF!-(AY34*0.64))/0.8)/1000</f>
        <v>#REF!</v>
      </c>
      <c r="AY35" s="17" t="e">
        <f>-53.07 + (304.89 * (AX35)) + (90.79 *Crescimento!#REF!) - (3.13 * Crescimento!#REF!*Crescimento!#REF!)</f>
        <v>#REF!</v>
      </c>
      <c r="BA35" s="16" t="e">
        <f>(BB34+(Crescimento!#REF!-(BB34*0.64))/0.8)/1000</f>
        <v>#REF!</v>
      </c>
      <c r="BB35" s="17" t="e">
        <f>-53.07 + (304.89 * (BA35)) + (90.79 *Crescimento!#REF!) - (3.13 * Crescimento!#REF!*Crescimento!#REF!)</f>
        <v>#REF!</v>
      </c>
      <c r="BD35" s="16" t="e">
        <f>(BE34+(Crescimento!#REF!-(BE34*0.64))/0.8)/1000</f>
        <v>#REF!</v>
      </c>
      <c r="BE35" s="17" t="e">
        <f>-53.07 + (304.89 * (BD35)) + (90.79 *Crescimento!#REF!) - (3.13 * Crescimento!#REF!*Crescimento!#REF!)</f>
        <v>#REF!</v>
      </c>
      <c r="BG35" s="16" t="e">
        <f>(BH34+(Crescimento!#REF!-(BH34*0.64))/0.8)/1000</f>
        <v>#REF!</v>
      </c>
      <c r="BH35" s="17" t="e">
        <f>-53.07 + (304.89 * (BG35)) + (90.79 *Crescimento!#REF!) - (3.13 * Crescimento!#REF!*Crescimento!#REF!)</f>
        <v>#REF!</v>
      </c>
      <c r="BJ35" s="16" t="e">
        <f>(BK34+(Crescimento!#REF!-(BK34*0.64))/0.8)/1000</f>
        <v>#REF!</v>
      </c>
      <c r="BK35" s="17" t="e">
        <f>-53.07 + (304.89 * (BJ35)) + (90.79 *Crescimento!#REF!) - (3.13 * Crescimento!#REF!*Crescimento!#REF!)</f>
        <v>#REF!</v>
      </c>
      <c r="BM35" s="16" t="e">
        <f>(BN34+(Crescimento!#REF!-(BN34*0.64))/0.8)/1000</f>
        <v>#REF!</v>
      </c>
      <c r="BN35" s="17" t="e">
        <f>-53.07 + (304.89 * (BM35)) + (90.79 *Crescimento!#REF!) - (3.13 * Crescimento!#REF!*Crescimento!#REF!)</f>
        <v>#REF!</v>
      </c>
      <c r="BP35" s="16" t="e">
        <f>(BQ34+(Crescimento!#REF!-(BQ34*0.64))/0.8)/1000</f>
        <v>#REF!</v>
      </c>
      <c r="BQ35" s="17" t="e">
        <f>-53.07 + (304.89 * (BP35)) + (90.79 *Crescimento!#REF!) - (3.13 * Crescimento!#REF!*Crescimento!#REF!)</f>
        <v>#REF!</v>
      </c>
      <c r="BS35" s="16" t="e">
        <f>(BT34+(Crescimento!#REF!-(BT34*0.64))/0.8)/1000</f>
        <v>#REF!</v>
      </c>
      <c r="BT35" s="17" t="e">
        <f>-53.07 + (304.89 * (BS35)) + (90.79 *Crescimento!#REF!) - (3.13 * Crescimento!#REF!*Crescimento!#REF!)</f>
        <v>#REF!</v>
      </c>
      <c r="BV35" s="16" t="e">
        <f>(BW34+(Crescimento!#REF!-(BW34*0.64))/0.8)/1000</f>
        <v>#REF!</v>
      </c>
      <c r="BW35" s="17" t="e">
        <f>-53.07 + (304.89 * (BV35)) + (90.79 *Crescimento!#REF!) - (3.13 * Crescimento!#REF!*Crescimento!#REF!)</f>
        <v>#REF!</v>
      </c>
      <c r="BY35" s="16" t="e">
        <f>(BZ34+(Crescimento!#REF!-(BZ34*0.64))/0.8)/1000</f>
        <v>#REF!</v>
      </c>
      <c r="BZ35" s="17" t="e">
        <f>-53.07 + (304.89 * (BY35)) + (90.79 *Crescimento!#REF!) - (3.13 * Crescimento!#REF!*Crescimento!#REF!)</f>
        <v>#REF!</v>
      </c>
      <c r="CB35" s="16" t="e">
        <f>(CC34+(Crescimento!#REF!-(CC34*0.64))/0.8)/1000</f>
        <v>#REF!</v>
      </c>
      <c r="CC35" s="17" t="e">
        <f>-53.07 + (304.89 * (CB35)) + (90.79 *Crescimento!#REF!) - (3.13 * Crescimento!#REF!*Crescimento!#REF!)</f>
        <v>#REF!</v>
      </c>
      <c r="CE35" s="16" t="e">
        <f>(CF34+(Crescimento!#REF!-(CF34*0.64))/0.8)/1000</f>
        <v>#REF!</v>
      </c>
      <c r="CF35" s="17" t="e">
        <f>-53.07 + (304.89 * (CE35)) + (90.79 *Crescimento!#REF!) - (3.13 * Crescimento!#REF!*Crescimento!#REF!)</f>
        <v>#REF!</v>
      </c>
      <c r="CH35" s="16" t="e">
        <f>(CI34+(Crescimento!#REF!-(CI34*0.64))/0.8)/1000</f>
        <v>#REF!</v>
      </c>
      <c r="CI35" s="17" t="e">
        <f>-53.07 + (304.89 * (CH35)) + (90.79 *Crescimento!#REF!) - (3.13 * Crescimento!#REF!*Crescimento!#REF!)</f>
        <v>#REF!</v>
      </c>
      <c r="CK35" s="16" t="e">
        <f>(CL34+(Crescimento!#REF!-(CL34*0.64))/0.8)/1000</f>
        <v>#REF!</v>
      </c>
      <c r="CL35" s="17" t="e">
        <f>-53.07 + (304.89 * (CK35)) + (90.79 *Crescimento!#REF!) - (3.13 * Crescimento!#REF!*Crescimento!#REF!)</f>
        <v>#REF!</v>
      </c>
    </row>
    <row r="36" spans="2:90" ht="15" customHeight="1" x14ac:dyDescent="0.25">
      <c r="B36" s="16">
        <f>(C35+('Vacas e Bezerros'!$O$29-(C35*0.64))/0.8)/1000</f>
        <v>1.1219974776113528</v>
      </c>
      <c r="C36" s="17">
        <f>-53.07 + (304.89 * (B36)) + (90.79 *'Vacas e Bezerros'!$O$23) - (3.13 * 'Vacas e Bezerros'!$O$23*'Vacas e Bezerros'!$O$23)</f>
        <v>715.77733851110622</v>
      </c>
      <c r="E36" s="16" t="e">
        <f>(F35+(Crescimento!#REF!-(F35*0.64))/0.8)/1000</f>
        <v>#REF!</v>
      </c>
      <c r="F36" s="17" t="e">
        <f>-53.07 + (304.89 * (E36)) + (90.79 *Crescimento!#REF!) - (3.13 * Crescimento!#REF!*Crescimento!#REF!)</f>
        <v>#REF!</v>
      </c>
      <c r="G36" s="1"/>
      <c r="H36" s="16" t="e">
        <f>(I35+(Crescimento!#REF!-(I35*0.64))/0.8)/1000</f>
        <v>#REF!</v>
      </c>
      <c r="I36" s="17" t="e">
        <f>-53.07 + (304.89 * (H36)) + (90.79 *Crescimento!#REF!) - (3.13 * Crescimento!#REF!*Crescimento!#REF!)</f>
        <v>#REF!</v>
      </c>
      <c r="K36" s="16" t="e">
        <f>(L35+(Crescimento!#REF!-(L35*0.64))/0.8)/1000</f>
        <v>#REF!</v>
      </c>
      <c r="L36" s="17" t="e">
        <f>-53.07 + (304.89 * (K36)) + (90.79 *Crescimento!#REF!) - (3.13 * Crescimento!#REF!*Crescimento!#REF!)</f>
        <v>#REF!</v>
      </c>
      <c r="N36" s="16" t="e">
        <f>(O35+(Crescimento!#REF!-(O35*0.64))/0.8)/1000</f>
        <v>#REF!</v>
      </c>
      <c r="O36" s="17" t="e">
        <f>-53.07 + (304.89 * (N36)) + (90.79 *Crescimento!#REF!) - (3.13 * Crescimento!#REF!*Crescimento!#REF!)</f>
        <v>#REF!</v>
      </c>
      <c r="Q36" s="16" t="e">
        <f>(R35+(Crescimento!#REF!-(R35*0.64))/0.8)/1000</f>
        <v>#REF!</v>
      </c>
      <c r="R36" s="17" t="e">
        <f>-53.07 + (304.89 * (Q36)) + (90.79 *Crescimento!#REF!) - (3.13 * Crescimento!#REF!*Crescimento!#REF!)</f>
        <v>#REF!</v>
      </c>
      <c r="T36" s="16" t="e">
        <f>(U35+(Crescimento!#REF!-(U35*0.64))/0.8)/1000</f>
        <v>#REF!</v>
      </c>
      <c r="U36" s="17" t="e">
        <f>-53.07 + (304.89 * (T36)) + (90.79 *Crescimento!#REF!) - (3.13 * Crescimento!#REF!*Crescimento!#REF!)</f>
        <v>#REF!</v>
      </c>
      <c r="W36" s="16" t="e">
        <f>(X35+(Crescimento!#REF!-(X35*0.64))/0.8)/1000</f>
        <v>#REF!</v>
      </c>
      <c r="X36" s="17" t="e">
        <f>-53.07 + (304.89 * (W36)) + (90.79 *Crescimento!#REF!) - (3.13 * Crescimento!#REF!*Crescimento!#REF!)</f>
        <v>#REF!</v>
      </c>
      <c r="Y36" s="6"/>
      <c r="Z36" s="16" t="e">
        <f>(AA35+(Crescimento!#REF!-(AA35*0.64))/0.8)/1000</f>
        <v>#REF!</v>
      </c>
      <c r="AA36" s="17" t="e">
        <f>-53.07 + (304.89 * (Z36)) + (90.79 *Crescimento!#REF!) - (3.13 * Crescimento!#REF!*Crescimento!#REF!)</f>
        <v>#REF!</v>
      </c>
      <c r="AB36" s="6"/>
      <c r="AC36" s="16" t="e">
        <f>(AD35+(Crescimento!#REF!-(AD35*0.64))/0.8)/1000</f>
        <v>#REF!</v>
      </c>
      <c r="AD36" s="17" t="e">
        <f>-53.07 + (304.89 * (AC36)) + (90.79 *Crescimento!#REF!) - (3.13 * Crescimento!#REF!*Crescimento!#REF!)</f>
        <v>#REF!</v>
      </c>
      <c r="AE36" s="17"/>
      <c r="AF36" s="16" t="e">
        <f>(AG35+(Crescimento!#REF!-(AG35*0.64))/0.8)/1000</f>
        <v>#REF!</v>
      </c>
      <c r="AG36" s="17" t="e">
        <f>-53.07 + (304.89 * (AF36)) + (90.79 *Crescimento!#REF!) - (3.13 * Crescimento!#REF!*Crescimento!#REF!)</f>
        <v>#REF!</v>
      </c>
      <c r="AI36" s="16" t="e">
        <f>(AJ35+(Crescimento!#REF!-(AJ35*0.64))/0.8)/1000</f>
        <v>#REF!</v>
      </c>
      <c r="AJ36" s="17" t="e">
        <f>-53.07 + (304.89 * (AI36)) + (90.79 *Crescimento!#REF!) - (3.13 * Crescimento!#REF!*Crescimento!#REF!)</f>
        <v>#REF!</v>
      </c>
      <c r="AL36" s="16" t="e">
        <f>(AM35+(Crescimento!#REF!-(AM35*0.64))/0.8)/1000</f>
        <v>#REF!</v>
      </c>
      <c r="AM36" s="17" t="e">
        <f>-53.07 + (304.89 * (AL36)) + (90.79 *Crescimento!#REF!) - (3.13 * Crescimento!#REF!*Crescimento!#REF!)</f>
        <v>#REF!</v>
      </c>
      <c r="AO36" s="16" t="e">
        <f>(AP35+(Crescimento!#REF!-(AP35*0.64))/0.8)/1000</f>
        <v>#REF!</v>
      </c>
      <c r="AP36" s="17" t="e">
        <f>-53.07 + (304.89 * (AO36)) + (90.79 *Crescimento!#REF!) - (3.13 * Crescimento!#REF!*Crescimento!#REF!)</f>
        <v>#REF!</v>
      </c>
      <c r="AR36" s="16" t="e">
        <f>(AS35+(Crescimento!#REF!-(AS35*0.64))/0.8)/1000</f>
        <v>#REF!</v>
      </c>
      <c r="AS36" s="17" t="e">
        <f>-53.07 + (304.89 * (AR36)) + (90.79 *Crescimento!#REF!) - (3.13 * Crescimento!#REF!*Crescimento!#REF!)</f>
        <v>#REF!</v>
      </c>
      <c r="AU36" s="16" t="e">
        <f>(AV35+(Crescimento!#REF!-(AV35*0.64))/0.8)/1000</f>
        <v>#REF!</v>
      </c>
      <c r="AV36" s="17" t="e">
        <f>-53.07 + (304.89 * (AU36)) + (90.79 *Crescimento!#REF!) - (3.13 * Crescimento!#REF!*Crescimento!#REF!)</f>
        <v>#REF!</v>
      </c>
      <c r="AX36" s="16" t="e">
        <f>(AY35+(Crescimento!#REF!-(AY35*0.64))/0.8)/1000</f>
        <v>#REF!</v>
      </c>
      <c r="AY36" s="17" t="e">
        <f>-53.07 + (304.89 * (AX36)) + (90.79 *Crescimento!#REF!) - (3.13 * Crescimento!#REF!*Crescimento!#REF!)</f>
        <v>#REF!</v>
      </c>
      <c r="BA36" s="16" t="e">
        <f>(BB35+(Crescimento!#REF!-(BB35*0.64))/0.8)/1000</f>
        <v>#REF!</v>
      </c>
      <c r="BB36" s="17" t="e">
        <f>-53.07 + (304.89 * (BA36)) + (90.79 *Crescimento!#REF!) - (3.13 * Crescimento!#REF!*Crescimento!#REF!)</f>
        <v>#REF!</v>
      </c>
      <c r="BD36" s="16" t="e">
        <f>(BE35+(Crescimento!#REF!-(BE35*0.64))/0.8)/1000</f>
        <v>#REF!</v>
      </c>
      <c r="BE36" s="17" t="e">
        <f>-53.07 + (304.89 * (BD36)) + (90.79 *Crescimento!#REF!) - (3.13 * Crescimento!#REF!*Crescimento!#REF!)</f>
        <v>#REF!</v>
      </c>
      <c r="BG36" s="16" t="e">
        <f>(BH35+(Crescimento!#REF!-(BH35*0.64))/0.8)/1000</f>
        <v>#REF!</v>
      </c>
      <c r="BH36" s="17" t="e">
        <f>-53.07 + (304.89 * (BG36)) + (90.79 *Crescimento!#REF!) - (3.13 * Crescimento!#REF!*Crescimento!#REF!)</f>
        <v>#REF!</v>
      </c>
      <c r="BJ36" s="16" t="e">
        <f>(BK35+(Crescimento!#REF!-(BK35*0.64))/0.8)/1000</f>
        <v>#REF!</v>
      </c>
      <c r="BK36" s="17" t="e">
        <f>-53.07 + (304.89 * (BJ36)) + (90.79 *Crescimento!#REF!) - (3.13 * Crescimento!#REF!*Crescimento!#REF!)</f>
        <v>#REF!</v>
      </c>
      <c r="BM36" s="16" t="e">
        <f>(BN35+(Crescimento!#REF!-(BN35*0.64))/0.8)/1000</f>
        <v>#REF!</v>
      </c>
      <c r="BN36" s="17" t="e">
        <f>-53.07 + (304.89 * (BM36)) + (90.79 *Crescimento!#REF!) - (3.13 * Crescimento!#REF!*Crescimento!#REF!)</f>
        <v>#REF!</v>
      </c>
      <c r="BP36" s="16" t="e">
        <f>(BQ35+(Crescimento!#REF!-(BQ35*0.64))/0.8)/1000</f>
        <v>#REF!</v>
      </c>
      <c r="BQ36" s="17" t="e">
        <f>-53.07 + (304.89 * (BP36)) + (90.79 *Crescimento!#REF!) - (3.13 * Crescimento!#REF!*Crescimento!#REF!)</f>
        <v>#REF!</v>
      </c>
      <c r="BS36" s="16" t="e">
        <f>(BT35+(Crescimento!#REF!-(BT35*0.64))/0.8)/1000</f>
        <v>#REF!</v>
      </c>
      <c r="BT36" s="17" t="e">
        <f>-53.07 + (304.89 * (BS36)) + (90.79 *Crescimento!#REF!) - (3.13 * Crescimento!#REF!*Crescimento!#REF!)</f>
        <v>#REF!</v>
      </c>
      <c r="BV36" s="16" t="e">
        <f>(BW35+(Crescimento!#REF!-(BW35*0.64))/0.8)/1000</f>
        <v>#REF!</v>
      </c>
      <c r="BW36" s="17" t="e">
        <f>-53.07 + (304.89 * (BV36)) + (90.79 *Crescimento!#REF!) - (3.13 * Crescimento!#REF!*Crescimento!#REF!)</f>
        <v>#REF!</v>
      </c>
      <c r="BY36" s="16" t="e">
        <f>(BZ35+(Crescimento!#REF!-(BZ35*0.64))/0.8)/1000</f>
        <v>#REF!</v>
      </c>
      <c r="BZ36" s="17" t="e">
        <f>-53.07 + (304.89 * (BY36)) + (90.79 *Crescimento!#REF!) - (3.13 * Crescimento!#REF!*Crescimento!#REF!)</f>
        <v>#REF!</v>
      </c>
      <c r="CB36" s="16" t="e">
        <f>(CC35+(Crescimento!#REF!-(CC35*0.64))/0.8)/1000</f>
        <v>#REF!</v>
      </c>
      <c r="CC36" s="17" t="e">
        <f>-53.07 + (304.89 * (CB36)) + (90.79 *Crescimento!#REF!) - (3.13 * Crescimento!#REF!*Crescimento!#REF!)</f>
        <v>#REF!</v>
      </c>
      <c r="CE36" s="16" t="e">
        <f>(CF35+(Crescimento!#REF!-(CF35*0.64))/0.8)/1000</f>
        <v>#REF!</v>
      </c>
      <c r="CF36" s="17" t="e">
        <f>-53.07 + (304.89 * (CE36)) + (90.79 *Crescimento!#REF!) - (3.13 * Crescimento!#REF!*Crescimento!#REF!)</f>
        <v>#REF!</v>
      </c>
      <c r="CH36" s="16" t="e">
        <f>(CI35+(Crescimento!#REF!-(CI35*0.64))/0.8)/1000</f>
        <v>#REF!</v>
      </c>
      <c r="CI36" s="17" t="e">
        <f>-53.07 + (304.89 * (CH36)) + (90.79 *Crescimento!#REF!) - (3.13 * Crescimento!#REF!*Crescimento!#REF!)</f>
        <v>#REF!</v>
      </c>
      <c r="CK36" s="16" t="e">
        <f>(CL35+(Crescimento!#REF!-(CL35*0.64))/0.8)/1000</f>
        <v>#REF!</v>
      </c>
      <c r="CL36" s="17" t="e">
        <f>-53.07 + (304.89 * (CK36)) + (90.79 *Crescimento!#REF!) - (3.13 * Crescimento!#REF!*Crescimento!#REF!)</f>
        <v>#REF!</v>
      </c>
    </row>
    <row r="37" spans="2:90" ht="15" customHeight="1" x14ac:dyDescent="0.25">
      <c r="B37" s="16">
        <f>(C36+('Vacas e Bezerros'!$O$29-(C36*0.64))/0.8)/1000</f>
        <v>1.1219974776113528</v>
      </c>
      <c r="C37" s="17">
        <f>-53.07 + (304.89 * (B37)) + (90.79 *'Vacas e Bezerros'!$O$23) - (3.13 * 'Vacas e Bezerros'!$O$23*'Vacas e Bezerros'!$O$23)</f>
        <v>715.77733851110622</v>
      </c>
      <c r="E37" s="16" t="e">
        <f>(F36+(Crescimento!#REF!-(F36*0.64))/0.8)/1000</f>
        <v>#REF!</v>
      </c>
      <c r="F37" s="17" t="e">
        <f>-53.07 + (304.89 * (E37)) + (90.79 *Crescimento!#REF!) - (3.13 * Crescimento!#REF!*Crescimento!#REF!)</f>
        <v>#REF!</v>
      </c>
      <c r="G37" s="1"/>
      <c r="H37" s="16" t="e">
        <f>(I36+(Crescimento!#REF!-(I36*0.64))/0.8)/1000</f>
        <v>#REF!</v>
      </c>
      <c r="I37" s="17" t="e">
        <f>-53.07 + (304.89 * (H37)) + (90.79 *Crescimento!#REF!) - (3.13 * Crescimento!#REF!*Crescimento!#REF!)</f>
        <v>#REF!</v>
      </c>
      <c r="K37" s="16" t="e">
        <f>(L36+(Crescimento!#REF!-(L36*0.64))/0.8)/1000</f>
        <v>#REF!</v>
      </c>
      <c r="L37" s="17" t="e">
        <f>-53.07 + (304.89 * (K37)) + (90.79 *Crescimento!#REF!) - (3.13 * Crescimento!#REF!*Crescimento!#REF!)</f>
        <v>#REF!</v>
      </c>
      <c r="N37" s="16" t="e">
        <f>(O36+(Crescimento!#REF!-(O36*0.64))/0.8)/1000</f>
        <v>#REF!</v>
      </c>
      <c r="O37" s="17" t="e">
        <f>-53.07 + (304.89 * (N37)) + (90.79 *Crescimento!#REF!) - (3.13 * Crescimento!#REF!*Crescimento!#REF!)</f>
        <v>#REF!</v>
      </c>
      <c r="Q37" s="16" t="e">
        <f>(R36+(Crescimento!#REF!-(R36*0.64))/0.8)/1000</f>
        <v>#REF!</v>
      </c>
      <c r="R37" s="17" t="e">
        <f>-53.07 + (304.89 * (Q37)) + (90.79 *Crescimento!#REF!) - (3.13 * Crescimento!#REF!*Crescimento!#REF!)</f>
        <v>#REF!</v>
      </c>
      <c r="T37" s="16" t="e">
        <f>(U36+(Crescimento!#REF!-(U36*0.64))/0.8)/1000</f>
        <v>#REF!</v>
      </c>
      <c r="U37" s="17" t="e">
        <f>-53.07 + (304.89 * (T37)) + (90.79 *Crescimento!#REF!) - (3.13 * Crescimento!#REF!*Crescimento!#REF!)</f>
        <v>#REF!</v>
      </c>
      <c r="W37" s="16" t="e">
        <f>(X36+(Crescimento!#REF!-(X36*0.64))/0.8)/1000</f>
        <v>#REF!</v>
      </c>
      <c r="X37" s="17" t="e">
        <f>-53.07 + (304.89 * (W37)) + (90.79 *Crescimento!#REF!) - (3.13 * Crescimento!#REF!*Crescimento!#REF!)</f>
        <v>#REF!</v>
      </c>
      <c r="Y37" s="6"/>
      <c r="Z37" s="16" t="e">
        <f>(AA36+(Crescimento!#REF!-(AA36*0.64))/0.8)/1000</f>
        <v>#REF!</v>
      </c>
      <c r="AA37" s="17" t="e">
        <f>-53.07 + (304.89 * (Z37)) + (90.79 *Crescimento!#REF!) - (3.13 * Crescimento!#REF!*Crescimento!#REF!)</f>
        <v>#REF!</v>
      </c>
      <c r="AB37" s="6"/>
      <c r="AC37" s="16" t="e">
        <f>(AD36+(Crescimento!#REF!-(AD36*0.64))/0.8)/1000</f>
        <v>#REF!</v>
      </c>
      <c r="AD37" s="17" t="e">
        <f>-53.07 + (304.89 * (AC37)) + (90.79 *Crescimento!#REF!) - (3.13 * Crescimento!#REF!*Crescimento!#REF!)</f>
        <v>#REF!</v>
      </c>
      <c r="AE37" s="17"/>
      <c r="AF37" s="16" t="e">
        <f>(AG36+(Crescimento!#REF!-(AG36*0.64))/0.8)/1000</f>
        <v>#REF!</v>
      </c>
      <c r="AG37" s="17" t="e">
        <f>-53.07 + (304.89 * (AF37)) + (90.79 *Crescimento!#REF!) - (3.13 * Crescimento!#REF!*Crescimento!#REF!)</f>
        <v>#REF!</v>
      </c>
      <c r="AI37" s="16" t="e">
        <f>(AJ36+(Crescimento!#REF!-(AJ36*0.64))/0.8)/1000</f>
        <v>#REF!</v>
      </c>
      <c r="AJ37" s="17" t="e">
        <f>-53.07 + (304.89 * (AI37)) + (90.79 *Crescimento!#REF!) - (3.13 * Crescimento!#REF!*Crescimento!#REF!)</f>
        <v>#REF!</v>
      </c>
      <c r="AL37" s="16" t="e">
        <f>(AM36+(Crescimento!#REF!-(AM36*0.64))/0.8)/1000</f>
        <v>#REF!</v>
      </c>
      <c r="AM37" s="17" t="e">
        <f>-53.07 + (304.89 * (AL37)) + (90.79 *Crescimento!#REF!) - (3.13 * Crescimento!#REF!*Crescimento!#REF!)</f>
        <v>#REF!</v>
      </c>
      <c r="AO37" s="16" t="e">
        <f>(AP36+(Crescimento!#REF!-(AP36*0.64))/0.8)/1000</f>
        <v>#REF!</v>
      </c>
      <c r="AP37" s="17" t="e">
        <f>-53.07 + (304.89 * (AO37)) + (90.79 *Crescimento!#REF!) - (3.13 * Crescimento!#REF!*Crescimento!#REF!)</f>
        <v>#REF!</v>
      </c>
      <c r="AR37" s="16" t="e">
        <f>(AS36+(Crescimento!#REF!-(AS36*0.64))/0.8)/1000</f>
        <v>#REF!</v>
      </c>
      <c r="AS37" s="17" t="e">
        <f>-53.07 + (304.89 * (AR37)) + (90.79 *Crescimento!#REF!) - (3.13 * Crescimento!#REF!*Crescimento!#REF!)</f>
        <v>#REF!</v>
      </c>
      <c r="AU37" s="16" t="e">
        <f>(AV36+(Crescimento!#REF!-(AV36*0.64))/0.8)/1000</f>
        <v>#REF!</v>
      </c>
      <c r="AV37" s="17" t="e">
        <f>-53.07 + (304.89 * (AU37)) + (90.79 *Crescimento!#REF!) - (3.13 * Crescimento!#REF!*Crescimento!#REF!)</f>
        <v>#REF!</v>
      </c>
      <c r="AX37" s="16" t="e">
        <f>(AY36+(Crescimento!#REF!-(AY36*0.64))/0.8)/1000</f>
        <v>#REF!</v>
      </c>
      <c r="AY37" s="17" t="e">
        <f>-53.07 + (304.89 * (AX37)) + (90.79 *Crescimento!#REF!) - (3.13 * Crescimento!#REF!*Crescimento!#REF!)</f>
        <v>#REF!</v>
      </c>
      <c r="BA37" s="16" t="e">
        <f>(BB36+(Crescimento!#REF!-(BB36*0.64))/0.8)/1000</f>
        <v>#REF!</v>
      </c>
      <c r="BB37" s="17" t="e">
        <f>-53.07 + (304.89 * (BA37)) + (90.79 *Crescimento!#REF!) - (3.13 * Crescimento!#REF!*Crescimento!#REF!)</f>
        <v>#REF!</v>
      </c>
      <c r="BD37" s="16" t="e">
        <f>(BE36+(Crescimento!#REF!-(BE36*0.64))/0.8)/1000</f>
        <v>#REF!</v>
      </c>
      <c r="BE37" s="17" t="e">
        <f>-53.07 + (304.89 * (BD37)) + (90.79 *Crescimento!#REF!) - (3.13 * Crescimento!#REF!*Crescimento!#REF!)</f>
        <v>#REF!</v>
      </c>
      <c r="BG37" s="16" t="e">
        <f>(BH36+(Crescimento!#REF!-(BH36*0.64))/0.8)/1000</f>
        <v>#REF!</v>
      </c>
      <c r="BH37" s="17" t="e">
        <f>-53.07 + (304.89 * (BG37)) + (90.79 *Crescimento!#REF!) - (3.13 * Crescimento!#REF!*Crescimento!#REF!)</f>
        <v>#REF!</v>
      </c>
      <c r="BJ37" s="16" t="e">
        <f>(BK36+(Crescimento!#REF!-(BK36*0.64))/0.8)/1000</f>
        <v>#REF!</v>
      </c>
      <c r="BK37" s="17" t="e">
        <f>-53.07 + (304.89 * (BJ37)) + (90.79 *Crescimento!#REF!) - (3.13 * Crescimento!#REF!*Crescimento!#REF!)</f>
        <v>#REF!</v>
      </c>
      <c r="BM37" s="16" t="e">
        <f>(BN36+(Crescimento!#REF!-(BN36*0.64))/0.8)/1000</f>
        <v>#REF!</v>
      </c>
      <c r="BN37" s="17" t="e">
        <f>-53.07 + (304.89 * (BM37)) + (90.79 *Crescimento!#REF!) - (3.13 * Crescimento!#REF!*Crescimento!#REF!)</f>
        <v>#REF!</v>
      </c>
      <c r="BP37" s="16" t="e">
        <f>(BQ36+(Crescimento!#REF!-(BQ36*0.64))/0.8)/1000</f>
        <v>#REF!</v>
      </c>
      <c r="BQ37" s="17" t="e">
        <f>-53.07 + (304.89 * (BP37)) + (90.79 *Crescimento!#REF!) - (3.13 * Crescimento!#REF!*Crescimento!#REF!)</f>
        <v>#REF!</v>
      </c>
      <c r="BS37" s="16" t="e">
        <f>(BT36+(Crescimento!#REF!-(BT36*0.64))/0.8)/1000</f>
        <v>#REF!</v>
      </c>
      <c r="BT37" s="17" t="e">
        <f>-53.07 + (304.89 * (BS37)) + (90.79 *Crescimento!#REF!) - (3.13 * Crescimento!#REF!*Crescimento!#REF!)</f>
        <v>#REF!</v>
      </c>
      <c r="BV37" s="16" t="e">
        <f>(BW36+(Crescimento!#REF!-(BW36*0.64))/0.8)/1000</f>
        <v>#REF!</v>
      </c>
      <c r="BW37" s="17" t="e">
        <f>-53.07 + (304.89 * (BV37)) + (90.79 *Crescimento!#REF!) - (3.13 * Crescimento!#REF!*Crescimento!#REF!)</f>
        <v>#REF!</v>
      </c>
      <c r="BY37" s="16" t="e">
        <f>(BZ36+(Crescimento!#REF!-(BZ36*0.64))/0.8)/1000</f>
        <v>#REF!</v>
      </c>
      <c r="BZ37" s="17" t="e">
        <f>-53.07 + (304.89 * (BY37)) + (90.79 *Crescimento!#REF!) - (3.13 * Crescimento!#REF!*Crescimento!#REF!)</f>
        <v>#REF!</v>
      </c>
      <c r="CB37" s="16" t="e">
        <f>(CC36+(Crescimento!#REF!-(CC36*0.64))/0.8)/1000</f>
        <v>#REF!</v>
      </c>
      <c r="CC37" s="17" t="e">
        <f>-53.07 + (304.89 * (CB37)) + (90.79 *Crescimento!#REF!) - (3.13 * Crescimento!#REF!*Crescimento!#REF!)</f>
        <v>#REF!</v>
      </c>
      <c r="CE37" s="16" t="e">
        <f>(CF36+(Crescimento!#REF!-(CF36*0.64))/0.8)/1000</f>
        <v>#REF!</v>
      </c>
      <c r="CF37" s="17" t="e">
        <f>-53.07 + (304.89 * (CE37)) + (90.79 *Crescimento!#REF!) - (3.13 * Crescimento!#REF!*Crescimento!#REF!)</f>
        <v>#REF!</v>
      </c>
      <c r="CH37" s="16" t="e">
        <f>(CI36+(Crescimento!#REF!-(CI36*0.64))/0.8)/1000</f>
        <v>#REF!</v>
      </c>
      <c r="CI37" s="17" t="e">
        <f>-53.07 + (304.89 * (CH37)) + (90.79 *Crescimento!#REF!) - (3.13 * Crescimento!#REF!*Crescimento!#REF!)</f>
        <v>#REF!</v>
      </c>
      <c r="CK37" s="16" t="e">
        <f>(CL36+(Crescimento!#REF!-(CL36*0.64))/0.8)/1000</f>
        <v>#REF!</v>
      </c>
      <c r="CL37" s="17" t="e">
        <f>-53.07 + (304.89 * (CK37)) + (90.79 *Crescimento!#REF!) - (3.13 * Crescimento!#REF!*Crescimento!#REF!)</f>
        <v>#REF!</v>
      </c>
    </row>
    <row r="38" spans="2:90" ht="15" customHeight="1" x14ac:dyDescent="0.25">
      <c r="B38" s="16">
        <f>(C37+('Vacas e Bezerros'!$O$29-(C37*0.64))/0.8)/1000</f>
        <v>1.1219974776113528</v>
      </c>
      <c r="C38" s="17">
        <f>-53.07 + (304.89 * (B38)) + (90.79 *'Vacas e Bezerros'!$O$23) - (3.13 * 'Vacas e Bezerros'!$O$23*'Vacas e Bezerros'!$O$23)</f>
        <v>715.77733851110622</v>
      </c>
      <c r="E38" s="16" t="e">
        <f>(F37+(Crescimento!#REF!-(F37*0.64))/0.8)/1000</f>
        <v>#REF!</v>
      </c>
      <c r="F38" s="17" t="e">
        <f>-53.07 + (304.89 * (E38)) + (90.79 *Crescimento!#REF!) - (3.13 * Crescimento!#REF!*Crescimento!#REF!)</f>
        <v>#REF!</v>
      </c>
      <c r="G38" s="1"/>
      <c r="H38" s="16" t="e">
        <f>(I37+(Crescimento!#REF!-(I37*0.64))/0.8)/1000</f>
        <v>#REF!</v>
      </c>
      <c r="I38" s="17" t="e">
        <f>-53.07 + (304.89 * (H38)) + (90.79 *Crescimento!#REF!) - (3.13 * Crescimento!#REF!*Crescimento!#REF!)</f>
        <v>#REF!</v>
      </c>
      <c r="K38" s="16" t="e">
        <f>(L37+(Crescimento!#REF!-(L37*0.64))/0.8)/1000</f>
        <v>#REF!</v>
      </c>
      <c r="L38" s="17" t="e">
        <f>-53.07 + (304.89 * (K38)) + (90.79 *Crescimento!#REF!) - (3.13 * Crescimento!#REF!*Crescimento!#REF!)</f>
        <v>#REF!</v>
      </c>
      <c r="N38" s="16" t="e">
        <f>(O37+(Crescimento!#REF!-(O37*0.64))/0.8)/1000</f>
        <v>#REF!</v>
      </c>
      <c r="O38" s="17" t="e">
        <f>-53.07 + (304.89 * (N38)) + (90.79 *Crescimento!#REF!) - (3.13 * Crescimento!#REF!*Crescimento!#REF!)</f>
        <v>#REF!</v>
      </c>
      <c r="Q38" s="16" t="e">
        <f>(R37+(Crescimento!#REF!-(R37*0.64))/0.8)/1000</f>
        <v>#REF!</v>
      </c>
      <c r="R38" s="17" t="e">
        <f>-53.07 + (304.89 * (Q38)) + (90.79 *Crescimento!#REF!) - (3.13 * Crescimento!#REF!*Crescimento!#REF!)</f>
        <v>#REF!</v>
      </c>
      <c r="T38" s="16" t="e">
        <f>(U37+(Crescimento!#REF!-(U37*0.64))/0.8)/1000</f>
        <v>#REF!</v>
      </c>
      <c r="U38" s="17" t="e">
        <f>-53.07 + (304.89 * (T38)) + (90.79 *Crescimento!#REF!) - (3.13 * Crescimento!#REF!*Crescimento!#REF!)</f>
        <v>#REF!</v>
      </c>
      <c r="W38" s="16" t="e">
        <f>(X37+(Crescimento!#REF!-(X37*0.64))/0.8)/1000</f>
        <v>#REF!</v>
      </c>
      <c r="X38" s="17" t="e">
        <f>-53.07 + (304.89 * (W38)) + (90.79 *Crescimento!#REF!) - (3.13 * Crescimento!#REF!*Crescimento!#REF!)</f>
        <v>#REF!</v>
      </c>
      <c r="Y38" s="6"/>
      <c r="Z38" s="16" t="e">
        <f>(AA37+(Crescimento!#REF!-(AA37*0.64))/0.8)/1000</f>
        <v>#REF!</v>
      </c>
      <c r="AA38" s="17" t="e">
        <f>-53.07 + (304.89 * (Z38)) + (90.79 *Crescimento!#REF!) - (3.13 * Crescimento!#REF!*Crescimento!#REF!)</f>
        <v>#REF!</v>
      </c>
      <c r="AB38" s="6"/>
      <c r="AC38" s="16" t="e">
        <f>(AD37+(Crescimento!#REF!-(AD37*0.64))/0.8)/1000</f>
        <v>#REF!</v>
      </c>
      <c r="AD38" s="17" t="e">
        <f>-53.07 + (304.89 * (AC38)) + (90.79 *Crescimento!#REF!) - (3.13 * Crescimento!#REF!*Crescimento!#REF!)</f>
        <v>#REF!</v>
      </c>
      <c r="AE38" s="17"/>
      <c r="AF38" s="16" t="e">
        <f>(AG37+(Crescimento!#REF!-(AG37*0.64))/0.8)/1000</f>
        <v>#REF!</v>
      </c>
      <c r="AG38" s="17" t="e">
        <f>-53.07 + (304.89 * (AF38)) + (90.79 *Crescimento!#REF!) - (3.13 * Crescimento!#REF!*Crescimento!#REF!)</f>
        <v>#REF!</v>
      </c>
      <c r="AI38" s="16" t="e">
        <f>(AJ37+(Crescimento!#REF!-(AJ37*0.64))/0.8)/1000</f>
        <v>#REF!</v>
      </c>
      <c r="AJ38" s="17" t="e">
        <f>-53.07 + (304.89 * (AI38)) + (90.79 *Crescimento!#REF!) - (3.13 * Crescimento!#REF!*Crescimento!#REF!)</f>
        <v>#REF!</v>
      </c>
      <c r="AL38" s="16" t="e">
        <f>(AM37+(Crescimento!#REF!-(AM37*0.64))/0.8)/1000</f>
        <v>#REF!</v>
      </c>
      <c r="AM38" s="17" t="e">
        <f>-53.07 + (304.89 * (AL38)) + (90.79 *Crescimento!#REF!) - (3.13 * Crescimento!#REF!*Crescimento!#REF!)</f>
        <v>#REF!</v>
      </c>
      <c r="AO38" s="16" t="e">
        <f>(AP37+(Crescimento!#REF!-(AP37*0.64))/0.8)/1000</f>
        <v>#REF!</v>
      </c>
      <c r="AP38" s="17" t="e">
        <f>-53.07 + (304.89 * (AO38)) + (90.79 *Crescimento!#REF!) - (3.13 * Crescimento!#REF!*Crescimento!#REF!)</f>
        <v>#REF!</v>
      </c>
      <c r="AR38" s="16" t="e">
        <f>(AS37+(Crescimento!#REF!-(AS37*0.64))/0.8)/1000</f>
        <v>#REF!</v>
      </c>
      <c r="AS38" s="17" t="e">
        <f>-53.07 + (304.89 * (AR38)) + (90.79 *Crescimento!#REF!) - (3.13 * Crescimento!#REF!*Crescimento!#REF!)</f>
        <v>#REF!</v>
      </c>
      <c r="AU38" s="16" t="e">
        <f>(AV37+(Crescimento!#REF!-(AV37*0.64))/0.8)/1000</f>
        <v>#REF!</v>
      </c>
      <c r="AV38" s="17" t="e">
        <f>-53.07 + (304.89 * (AU38)) + (90.79 *Crescimento!#REF!) - (3.13 * Crescimento!#REF!*Crescimento!#REF!)</f>
        <v>#REF!</v>
      </c>
      <c r="AX38" s="16" t="e">
        <f>(AY37+(Crescimento!#REF!-(AY37*0.64))/0.8)/1000</f>
        <v>#REF!</v>
      </c>
      <c r="AY38" s="17" t="e">
        <f>-53.07 + (304.89 * (AX38)) + (90.79 *Crescimento!#REF!) - (3.13 * Crescimento!#REF!*Crescimento!#REF!)</f>
        <v>#REF!</v>
      </c>
      <c r="BA38" s="16" t="e">
        <f>(BB37+(Crescimento!#REF!-(BB37*0.64))/0.8)/1000</f>
        <v>#REF!</v>
      </c>
      <c r="BB38" s="17" t="e">
        <f>-53.07 + (304.89 * (BA38)) + (90.79 *Crescimento!#REF!) - (3.13 * Crescimento!#REF!*Crescimento!#REF!)</f>
        <v>#REF!</v>
      </c>
      <c r="BD38" s="16" t="e">
        <f>(BE37+(Crescimento!#REF!-(BE37*0.64))/0.8)/1000</f>
        <v>#REF!</v>
      </c>
      <c r="BE38" s="17" t="e">
        <f>-53.07 + (304.89 * (BD38)) + (90.79 *Crescimento!#REF!) - (3.13 * Crescimento!#REF!*Crescimento!#REF!)</f>
        <v>#REF!</v>
      </c>
      <c r="BG38" s="16" t="e">
        <f>(BH37+(Crescimento!#REF!-(BH37*0.64))/0.8)/1000</f>
        <v>#REF!</v>
      </c>
      <c r="BH38" s="17" t="e">
        <f>-53.07 + (304.89 * (BG38)) + (90.79 *Crescimento!#REF!) - (3.13 * Crescimento!#REF!*Crescimento!#REF!)</f>
        <v>#REF!</v>
      </c>
      <c r="BJ38" s="16" t="e">
        <f>(BK37+(Crescimento!#REF!-(BK37*0.64))/0.8)/1000</f>
        <v>#REF!</v>
      </c>
      <c r="BK38" s="17" t="e">
        <f>-53.07 + (304.89 * (BJ38)) + (90.79 *Crescimento!#REF!) - (3.13 * Crescimento!#REF!*Crescimento!#REF!)</f>
        <v>#REF!</v>
      </c>
      <c r="BM38" s="16" t="e">
        <f>(BN37+(Crescimento!#REF!-(BN37*0.64))/0.8)/1000</f>
        <v>#REF!</v>
      </c>
      <c r="BN38" s="17" t="e">
        <f>-53.07 + (304.89 * (BM38)) + (90.79 *Crescimento!#REF!) - (3.13 * Crescimento!#REF!*Crescimento!#REF!)</f>
        <v>#REF!</v>
      </c>
      <c r="BP38" s="16" t="e">
        <f>(BQ37+(Crescimento!#REF!-(BQ37*0.64))/0.8)/1000</f>
        <v>#REF!</v>
      </c>
      <c r="BQ38" s="17" t="e">
        <f>-53.07 + (304.89 * (BP38)) + (90.79 *Crescimento!#REF!) - (3.13 * Crescimento!#REF!*Crescimento!#REF!)</f>
        <v>#REF!</v>
      </c>
      <c r="BS38" s="16" t="e">
        <f>(BT37+(Crescimento!#REF!-(BT37*0.64))/0.8)/1000</f>
        <v>#REF!</v>
      </c>
      <c r="BT38" s="17" t="e">
        <f>-53.07 + (304.89 * (BS38)) + (90.79 *Crescimento!#REF!) - (3.13 * Crescimento!#REF!*Crescimento!#REF!)</f>
        <v>#REF!</v>
      </c>
      <c r="BV38" s="16" t="e">
        <f>(BW37+(Crescimento!#REF!-(BW37*0.64))/0.8)/1000</f>
        <v>#REF!</v>
      </c>
      <c r="BW38" s="17" t="e">
        <f>-53.07 + (304.89 * (BV38)) + (90.79 *Crescimento!#REF!) - (3.13 * Crescimento!#REF!*Crescimento!#REF!)</f>
        <v>#REF!</v>
      </c>
      <c r="BY38" s="16" t="e">
        <f>(BZ37+(Crescimento!#REF!-(BZ37*0.64))/0.8)/1000</f>
        <v>#REF!</v>
      </c>
      <c r="BZ38" s="17" t="e">
        <f>-53.07 + (304.89 * (BY38)) + (90.79 *Crescimento!#REF!) - (3.13 * Crescimento!#REF!*Crescimento!#REF!)</f>
        <v>#REF!</v>
      </c>
      <c r="CB38" s="16" t="e">
        <f>(CC37+(Crescimento!#REF!-(CC37*0.64))/0.8)/1000</f>
        <v>#REF!</v>
      </c>
      <c r="CC38" s="17" t="e">
        <f>-53.07 + (304.89 * (CB38)) + (90.79 *Crescimento!#REF!) - (3.13 * Crescimento!#REF!*Crescimento!#REF!)</f>
        <v>#REF!</v>
      </c>
      <c r="CE38" s="16" t="e">
        <f>(CF37+(Crescimento!#REF!-(CF37*0.64))/0.8)/1000</f>
        <v>#REF!</v>
      </c>
      <c r="CF38" s="17" t="e">
        <f>-53.07 + (304.89 * (CE38)) + (90.79 *Crescimento!#REF!) - (3.13 * Crescimento!#REF!*Crescimento!#REF!)</f>
        <v>#REF!</v>
      </c>
      <c r="CH38" s="16" t="e">
        <f>(CI37+(Crescimento!#REF!-(CI37*0.64))/0.8)/1000</f>
        <v>#REF!</v>
      </c>
      <c r="CI38" s="17" t="e">
        <f>-53.07 + (304.89 * (CH38)) + (90.79 *Crescimento!#REF!) - (3.13 * Crescimento!#REF!*Crescimento!#REF!)</f>
        <v>#REF!</v>
      </c>
      <c r="CK38" s="16" t="e">
        <f>(CL37+(Crescimento!#REF!-(CL37*0.64))/0.8)/1000</f>
        <v>#REF!</v>
      </c>
      <c r="CL38" s="17" t="e">
        <f>-53.07 + (304.89 * (CK38)) + (90.79 *Crescimento!#REF!) - (3.13 * Crescimento!#REF!*Crescimento!#REF!)</f>
        <v>#REF!</v>
      </c>
    </row>
    <row r="39" spans="2:90" ht="15" customHeight="1" x14ac:dyDescent="0.25">
      <c r="B39" s="16">
        <f>(C38+('Vacas e Bezerros'!$O$29-(C38*0.64))/0.8)/1000</f>
        <v>1.1219974776113528</v>
      </c>
      <c r="C39" s="17">
        <f>-53.07 + (304.89 * (B39)) + (90.79 *'Vacas e Bezerros'!$O$23) - (3.13 * 'Vacas e Bezerros'!$O$23*'Vacas e Bezerros'!$O$23)</f>
        <v>715.77733851110622</v>
      </c>
      <c r="E39" s="16" t="e">
        <f>(F38+(Crescimento!#REF!-(F38*0.64))/0.8)/1000</f>
        <v>#REF!</v>
      </c>
      <c r="F39" s="17" t="e">
        <f>-53.07 + (304.89 * (E39)) + (90.79 *Crescimento!#REF!) - (3.13 * Crescimento!#REF!*Crescimento!#REF!)</f>
        <v>#REF!</v>
      </c>
      <c r="G39" s="1"/>
      <c r="H39" s="16" t="e">
        <f>(I38+(Crescimento!#REF!-(I38*0.64))/0.8)/1000</f>
        <v>#REF!</v>
      </c>
      <c r="I39" s="17" t="e">
        <f>-53.07 + (304.89 * (H39)) + (90.79 *Crescimento!#REF!) - (3.13 * Crescimento!#REF!*Crescimento!#REF!)</f>
        <v>#REF!</v>
      </c>
      <c r="K39" s="16" t="e">
        <f>(L38+(Crescimento!#REF!-(L38*0.64))/0.8)/1000</f>
        <v>#REF!</v>
      </c>
      <c r="L39" s="17" t="e">
        <f>-53.07 + (304.89 * (K39)) + (90.79 *Crescimento!#REF!) - (3.13 * Crescimento!#REF!*Crescimento!#REF!)</f>
        <v>#REF!</v>
      </c>
      <c r="N39" s="16" t="e">
        <f>(O38+(Crescimento!#REF!-(O38*0.64))/0.8)/1000</f>
        <v>#REF!</v>
      </c>
      <c r="O39" s="17" t="e">
        <f>-53.07 + (304.89 * (N39)) + (90.79 *Crescimento!#REF!) - (3.13 * Crescimento!#REF!*Crescimento!#REF!)</f>
        <v>#REF!</v>
      </c>
      <c r="Q39" s="16" t="e">
        <f>(R38+(Crescimento!#REF!-(R38*0.64))/0.8)/1000</f>
        <v>#REF!</v>
      </c>
      <c r="R39" s="17" t="e">
        <f>-53.07 + (304.89 * (Q39)) + (90.79 *Crescimento!#REF!) - (3.13 * Crescimento!#REF!*Crescimento!#REF!)</f>
        <v>#REF!</v>
      </c>
      <c r="T39" s="16" t="e">
        <f>(U38+(Crescimento!#REF!-(U38*0.64))/0.8)/1000</f>
        <v>#REF!</v>
      </c>
      <c r="U39" s="17" t="e">
        <f>-53.07 + (304.89 * (T39)) + (90.79 *Crescimento!#REF!) - (3.13 * Crescimento!#REF!*Crescimento!#REF!)</f>
        <v>#REF!</v>
      </c>
      <c r="W39" s="16" t="e">
        <f>(X38+(Crescimento!#REF!-(X38*0.64))/0.8)/1000</f>
        <v>#REF!</v>
      </c>
      <c r="X39" s="17" t="e">
        <f>-53.07 + (304.89 * (W39)) + (90.79 *Crescimento!#REF!) - (3.13 * Crescimento!#REF!*Crescimento!#REF!)</f>
        <v>#REF!</v>
      </c>
      <c r="Y39" s="6"/>
      <c r="Z39" s="16" t="e">
        <f>(AA38+(Crescimento!#REF!-(AA38*0.64))/0.8)/1000</f>
        <v>#REF!</v>
      </c>
      <c r="AA39" s="17" t="e">
        <f>-53.07 + (304.89 * (Z39)) + (90.79 *Crescimento!#REF!) - (3.13 * Crescimento!#REF!*Crescimento!#REF!)</f>
        <v>#REF!</v>
      </c>
      <c r="AB39" s="6"/>
      <c r="AC39" s="16" t="e">
        <f>(AD38+(Crescimento!#REF!-(AD38*0.64))/0.8)/1000</f>
        <v>#REF!</v>
      </c>
      <c r="AD39" s="17" t="e">
        <f>-53.07 + (304.89 * (AC39)) + (90.79 *Crescimento!#REF!) - (3.13 * Crescimento!#REF!*Crescimento!#REF!)</f>
        <v>#REF!</v>
      </c>
      <c r="AE39" s="17"/>
      <c r="AF39" s="16" t="e">
        <f>(AG38+(Crescimento!#REF!-(AG38*0.64))/0.8)/1000</f>
        <v>#REF!</v>
      </c>
      <c r="AG39" s="17" t="e">
        <f>-53.07 + (304.89 * (AF39)) + (90.79 *Crescimento!#REF!) - (3.13 * Crescimento!#REF!*Crescimento!#REF!)</f>
        <v>#REF!</v>
      </c>
      <c r="AI39" s="16" t="e">
        <f>(AJ38+(Crescimento!#REF!-(AJ38*0.64))/0.8)/1000</f>
        <v>#REF!</v>
      </c>
      <c r="AJ39" s="17" t="e">
        <f>-53.07 + (304.89 * (AI39)) + (90.79 *Crescimento!#REF!) - (3.13 * Crescimento!#REF!*Crescimento!#REF!)</f>
        <v>#REF!</v>
      </c>
      <c r="AL39" s="16" t="e">
        <f>(AM38+(Crescimento!#REF!-(AM38*0.64))/0.8)/1000</f>
        <v>#REF!</v>
      </c>
      <c r="AM39" s="17" t="e">
        <f>-53.07 + (304.89 * (AL39)) + (90.79 *Crescimento!#REF!) - (3.13 * Crescimento!#REF!*Crescimento!#REF!)</f>
        <v>#REF!</v>
      </c>
      <c r="AO39" s="16" t="e">
        <f>(AP38+(Crescimento!#REF!-(AP38*0.64))/0.8)/1000</f>
        <v>#REF!</v>
      </c>
      <c r="AP39" s="17" t="e">
        <f>-53.07 + (304.89 * (AO39)) + (90.79 *Crescimento!#REF!) - (3.13 * Crescimento!#REF!*Crescimento!#REF!)</f>
        <v>#REF!</v>
      </c>
      <c r="AR39" s="16" t="e">
        <f>(AS38+(Crescimento!#REF!-(AS38*0.64))/0.8)/1000</f>
        <v>#REF!</v>
      </c>
      <c r="AS39" s="17" t="e">
        <f>-53.07 + (304.89 * (AR39)) + (90.79 *Crescimento!#REF!) - (3.13 * Crescimento!#REF!*Crescimento!#REF!)</f>
        <v>#REF!</v>
      </c>
      <c r="AU39" s="16" t="e">
        <f>(AV38+(Crescimento!#REF!-(AV38*0.64))/0.8)/1000</f>
        <v>#REF!</v>
      </c>
      <c r="AV39" s="17" t="e">
        <f>-53.07 + (304.89 * (AU39)) + (90.79 *Crescimento!#REF!) - (3.13 * Crescimento!#REF!*Crescimento!#REF!)</f>
        <v>#REF!</v>
      </c>
      <c r="AX39" s="16" t="e">
        <f>(AY38+(Crescimento!#REF!-(AY38*0.64))/0.8)/1000</f>
        <v>#REF!</v>
      </c>
      <c r="AY39" s="17" t="e">
        <f>-53.07 + (304.89 * (AX39)) + (90.79 *Crescimento!#REF!) - (3.13 * Crescimento!#REF!*Crescimento!#REF!)</f>
        <v>#REF!</v>
      </c>
      <c r="BA39" s="16" t="e">
        <f>(BB38+(Crescimento!#REF!-(BB38*0.64))/0.8)/1000</f>
        <v>#REF!</v>
      </c>
      <c r="BB39" s="17" t="e">
        <f>-53.07 + (304.89 * (BA39)) + (90.79 *Crescimento!#REF!) - (3.13 * Crescimento!#REF!*Crescimento!#REF!)</f>
        <v>#REF!</v>
      </c>
      <c r="BD39" s="16" t="e">
        <f>(BE38+(Crescimento!#REF!-(BE38*0.64))/0.8)/1000</f>
        <v>#REF!</v>
      </c>
      <c r="BE39" s="17" t="e">
        <f>-53.07 + (304.89 * (BD39)) + (90.79 *Crescimento!#REF!) - (3.13 * Crescimento!#REF!*Crescimento!#REF!)</f>
        <v>#REF!</v>
      </c>
      <c r="BG39" s="16" t="e">
        <f>(BH38+(Crescimento!#REF!-(BH38*0.64))/0.8)/1000</f>
        <v>#REF!</v>
      </c>
      <c r="BH39" s="17" t="e">
        <f>-53.07 + (304.89 * (BG39)) + (90.79 *Crescimento!#REF!) - (3.13 * Crescimento!#REF!*Crescimento!#REF!)</f>
        <v>#REF!</v>
      </c>
      <c r="BJ39" s="16" t="e">
        <f>(BK38+(Crescimento!#REF!-(BK38*0.64))/0.8)/1000</f>
        <v>#REF!</v>
      </c>
      <c r="BK39" s="17" t="e">
        <f>-53.07 + (304.89 * (BJ39)) + (90.79 *Crescimento!#REF!) - (3.13 * Crescimento!#REF!*Crescimento!#REF!)</f>
        <v>#REF!</v>
      </c>
      <c r="BM39" s="16" t="e">
        <f>(BN38+(Crescimento!#REF!-(BN38*0.64))/0.8)/1000</f>
        <v>#REF!</v>
      </c>
      <c r="BN39" s="17" t="e">
        <f>-53.07 + (304.89 * (BM39)) + (90.79 *Crescimento!#REF!) - (3.13 * Crescimento!#REF!*Crescimento!#REF!)</f>
        <v>#REF!</v>
      </c>
      <c r="BP39" s="16" t="e">
        <f>(BQ38+(Crescimento!#REF!-(BQ38*0.64))/0.8)/1000</f>
        <v>#REF!</v>
      </c>
      <c r="BQ39" s="17" t="e">
        <f>-53.07 + (304.89 * (BP39)) + (90.79 *Crescimento!#REF!) - (3.13 * Crescimento!#REF!*Crescimento!#REF!)</f>
        <v>#REF!</v>
      </c>
      <c r="BS39" s="16" t="e">
        <f>(BT38+(Crescimento!#REF!-(BT38*0.64))/0.8)/1000</f>
        <v>#REF!</v>
      </c>
      <c r="BT39" s="17" t="e">
        <f>-53.07 + (304.89 * (BS39)) + (90.79 *Crescimento!#REF!) - (3.13 * Crescimento!#REF!*Crescimento!#REF!)</f>
        <v>#REF!</v>
      </c>
      <c r="BV39" s="16" t="e">
        <f>(BW38+(Crescimento!#REF!-(BW38*0.64))/0.8)/1000</f>
        <v>#REF!</v>
      </c>
      <c r="BW39" s="17" t="e">
        <f>-53.07 + (304.89 * (BV39)) + (90.79 *Crescimento!#REF!) - (3.13 * Crescimento!#REF!*Crescimento!#REF!)</f>
        <v>#REF!</v>
      </c>
      <c r="BY39" s="16" t="e">
        <f>(BZ38+(Crescimento!#REF!-(BZ38*0.64))/0.8)/1000</f>
        <v>#REF!</v>
      </c>
      <c r="BZ39" s="17" t="e">
        <f>-53.07 + (304.89 * (BY39)) + (90.79 *Crescimento!#REF!) - (3.13 * Crescimento!#REF!*Crescimento!#REF!)</f>
        <v>#REF!</v>
      </c>
      <c r="CB39" s="16" t="e">
        <f>(CC38+(Crescimento!#REF!-(CC38*0.64))/0.8)/1000</f>
        <v>#REF!</v>
      </c>
      <c r="CC39" s="17" t="e">
        <f>-53.07 + (304.89 * (CB39)) + (90.79 *Crescimento!#REF!) - (3.13 * Crescimento!#REF!*Crescimento!#REF!)</f>
        <v>#REF!</v>
      </c>
      <c r="CE39" s="16" t="e">
        <f>(CF38+(Crescimento!#REF!-(CF38*0.64))/0.8)/1000</f>
        <v>#REF!</v>
      </c>
      <c r="CF39" s="17" t="e">
        <f>-53.07 + (304.89 * (CE39)) + (90.79 *Crescimento!#REF!) - (3.13 * Crescimento!#REF!*Crescimento!#REF!)</f>
        <v>#REF!</v>
      </c>
      <c r="CH39" s="16" t="e">
        <f>(CI38+(Crescimento!#REF!-(CI38*0.64))/0.8)/1000</f>
        <v>#REF!</v>
      </c>
      <c r="CI39" s="17" t="e">
        <f>-53.07 + (304.89 * (CH39)) + (90.79 *Crescimento!#REF!) - (3.13 * Crescimento!#REF!*Crescimento!#REF!)</f>
        <v>#REF!</v>
      </c>
      <c r="CK39" s="16" t="e">
        <f>(CL38+(Crescimento!#REF!-(CL38*0.64))/0.8)/1000</f>
        <v>#REF!</v>
      </c>
      <c r="CL39" s="17" t="e">
        <f>-53.07 + (304.89 * (CK39)) + (90.79 *Crescimento!#REF!) - (3.13 * Crescimento!#REF!*Crescimento!#REF!)</f>
        <v>#REF!</v>
      </c>
    </row>
    <row r="40" spans="2:90" ht="15" customHeight="1" x14ac:dyDescent="0.25">
      <c r="B40" s="16">
        <f>(C39+('Vacas e Bezerros'!$O$29-(C39*0.64))/0.8)/1000</f>
        <v>1.1219974776113528</v>
      </c>
      <c r="C40" s="17">
        <f>-53.07 + (304.89 * (B40)) + (90.79 *'Vacas e Bezerros'!$O$23) - (3.13 * 'Vacas e Bezerros'!$O$23*'Vacas e Bezerros'!$O$23)</f>
        <v>715.77733851110622</v>
      </c>
      <c r="E40" s="16" t="e">
        <f>(F39+(Crescimento!#REF!-(F39*0.64))/0.8)/1000</f>
        <v>#REF!</v>
      </c>
      <c r="F40" s="17" t="e">
        <f>-53.07 + (304.89 * (E40)) + (90.79 *Crescimento!#REF!) - (3.13 * Crescimento!#REF!*Crescimento!#REF!)</f>
        <v>#REF!</v>
      </c>
      <c r="G40" s="1"/>
      <c r="H40" s="16" t="e">
        <f>(I39+(Crescimento!#REF!-(I39*0.64))/0.8)/1000</f>
        <v>#REF!</v>
      </c>
      <c r="I40" s="17" t="e">
        <f>-53.07 + (304.89 * (H40)) + (90.79 *Crescimento!#REF!) - (3.13 * Crescimento!#REF!*Crescimento!#REF!)</f>
        <v>#REF!</v>
      </c>
      <c r="K40" s="16" t="e">
        <f>(L39+(Crescimento!#REF!-(L39*0.64))/0.8)/1000</f>
        <v>#REF!</v>
      </c>
      <c r="L40" s="17" t="e">
        <f>-53.07 + (304.89 * (K40)) + (90.79 *Crescimento!#REF!) - (3.13 * Crescimento!#REF!*Crescimento!#REF!)</f>
        <v>#REF!</v>
      </c>
      <c r="N40" s="16" t="e">
        <f>(O39+(Crescimento!#REF!-(O39*0.64))/0.8)/1000</f>
        <v>#REF!</v>
      </c>
      <c r="O40" s="17" t="e">
        <f>-53.07 + (304.89 * (N40)) + (90.79 *Crescimento!#REF!) - (3.13 * Crescimento!#REF!*Crescimento!#REF!)</f>
        <v>#REF!</v>
      </c>
      <c r="Q40" s="16" t="e">
        <f>(R39+(Crescimento!#REF!-(R39*0.64))/0.8)/1000</f>
        <v>#REF!</v>
      </c>
      <c r="R40" s="17" t="e">
        <f>-53.07 + (304.89 * (Q40)) + (90.79 *Crescimento!#REF!) - (3.13 * Crescimento!#REF!*Crescimento!#REF!)</f>
        <v>#REF!</v>
      </c>
      <c r="T40" s="16" t="e">
        <f>(U39+(Crescimento!#REF!-(U39*0.64))/0.8)/1000</f>
        <v>#REF!</v>
      </c>
      <c r="U40" s="17" t="e">
        <f>-53.07 + (304.89 * (T40)) + (90.79 *Crescimento!#REF!) - (3.13 * Crescimento!#REF!*Crescimento!#REF!)</f>
        <v>#REF!</v>
      </c>
      <c r="W40" s="16" t="e">
        <f>(X39+(Crescimento!#REF!-(X39*0.64))/0.8)/1000</f>
        <v>#REF!</v>
      </c>
      <c r="X40" s="17" t="e">
        <f>-53.07 + (304.89 * (W40)) + (90.79 *Crescimento!#REF!) - (3.13 * Crescimento!#REF!*Crescimento!#REF!)</f>
        <v>#REF!</v>
      </c>
      <c r="Y40" s="6"/>
      <c r="Z40" s="16" t="e">
        <f>(AA39+(Crescimento!#REF!-(AA39*0.64))/0.8)/1000</f>
        <v>#REF!</v>
      </c>
      <c r="AA40" s="17" t="e">
        <f>-53.07 + (304.89 * (Z40)) + (90.79 *Crescimento!#REF!) - (3.13 * Crescimento!#REF!*Crescimento!#REF!)</f>
        <v>#REF!</v>
      </c>
      <c r="AB40" s="6"/>
      <c r="AC40" s="16" t="e">
        <f>(AD39+(Crescimento!#REF!-(AD39*0.64))/0.8)/1000</f>
        <v>#REF!</v>
      </c>
      <c r="AD40" s="17" t="e">
        <f>-53.07 + (304.89 * (AC40)) + (90.79 *Crescimento!#REF!) - (3.13 * Crescimento!#REF!*Crescimento!#REF!)</f>
        <v>#REF!</v>
      </c>
      <c r="AE40" s="17"/>
      <c r="AF40" s="16" t="e">
        <f>(AG39+(Crescimento!#REF!-(AG39*0.64))/0.8)/1000</f>
        <v>#REF!</v>
      </c>
      <c r="AG40" s="17" t="e">
        <f>-53.07 + (304.89 * (AF40)) + (90.79 *Crescimento!#REF!) - (3.13 * Crescimento!#REF!*Crescimento!#REF!)</f>
        <v>#REF!</v>
      </c>
      <c r="AI40" s="16" t="e">
        <f>(AJ39+(Crescimento!#REF!-(AJ39*0.64))/0.8)/1000</f>
        <v>#REF!</v>
      </c>
      <c r="AJ40" s="17" t="e">
        <f>-53.07 + (304.89 * (AI40)) + (90.79 *Crescimento!#REF!) - (3.13 * Crescimento!#REF!*Crescimento!#REF!)</f>
        <v>#REF!</v>
      </c>
      <c r="AL40" s="16" t="e">
        <f>(AM39+(Crescimento!#REF!-(AM39*0.64))/0.8)/1000</f>
        <v>#REF!</v>
      </c>
      <c r="AM40" s="17" t="e">
        <f>-53.07 + (304.89 * (AL40)) + (90.79 *Crescimento!#REF!) - (3.13 * Crescimento!#REF!*Crescimento!#REF!)</f>
        <v>#REF!</v>
      </c>
      <c r="AO40" s="16" t="e">
        <f>(AP39+(Crescimento!#REF!-(AP39*0.64))/0.8)/1000</f>
        <v>#REF!</v>
      </c>
      <c r="AP40" s="17" t="e">
        <f>-53.07 + (304.89 * (AO40)) + (90.79 *Crescimento!#REF!) - (3.13 * Crescimento!#REF!*Crescimento!#REF!)</f>
        <v>#REF!</v>
      </c>
      <c r="AR40" s="16" t="e">
        <f>(AS39+(Crescimento!#REF!-(AS39*0.64))/0.8)/1000</f>
        <v>#REF!</v>
      </c>
      <c r="AS40" s="17" t="e">
        <f>-53.07 + (304.89 * (AR40)) + (90.79 *Crescimento!#REF!) - (3.13 * Crescimento!#REF!*Crescimento!#REF!)</f>
        <v>#REF!</v>
      </c>
      <c r="AU40" s="16" t="e">
        <f>(AV39+(Crescimento!#REF!-(AV39*0.64))/0.8)/1000</f>
        <v>#REF!</v>
      </c>
      <c r="AV40" s="17" t="e">
        <f>-53.07 + (304.89 * (AU40)) + (90.79 *Crescimento!#REF!) - (3.13 * Crescimento!#REF!*Crescimento!#REF!)</f>
        <v>#REF!</v>
      </c>
      <c r="AX40" s="16" t="e">
        <f>(AY39+(Crescimento!#REF!-(AY39*0.64))/0.8)/1000</f>
        <v>#REF!</v>
      </c>
      <c r="AY40" s="17" t="e">
        <f>-53.07 + (304.89 * (AX40)) + (90.79 *Crescimento!#REF!) - (3.13 * Crescimento!#REF!*Crescimento!#REF!)</f>
        <v>#REF!</v>
      </c>
      <c r="BA40" s="16" t="e">
        <f>(BB39+(Crescimento!#REF!-(BB39*0.64))/0.8)/1000</f>
        <v>#REF!</v>
      </c>
      <c r="BB40" s="17" t="e">
        <f>-53.07 + (304.89 * (BA40)) + (90.79 *Crescimento!#REF!) - (3.13 * Crescimento!#REF!*Crescimento!#REF!)</f>
        <v>#REF!</v>
      </c>
      <c r="BD40" s="16" t="e">
        <f>(BE39+(Crescimento!#REF!-(BE39*0.64))/0.8)/1000</f>
        <v>#REF!</v>
      </c>
      <c r="BE40" s="17" t="e">
        <f>-53.07 + (304.89 * (BD40)) + (90.79 *Crescimento!#REF!) - (3.13 * Crescimento!#REF!*Crescimento!#REF!)</f>
        <v>#REF!</v>
      </c>
      <c r="BG40" s="16" t="e">
        <f>(BH39+(Crescimento!#REF!-(BH39*0.64))/0.8)/1000</f>
        <v>#REF!</v>
      </c>
      <c r="BH40" s="17" t="e">
        <f>-53.07 + (304.89 * (BG40)) + (90.79 *Crescimento!#REF!) - (3.13 * Crescimento!#REF!*Crescimento!#REF!)</f>
        <v>#REF!</v>
      </c>
      <c r="BJ40" s="16" t="e">
        <f>(BK39+(Crescimento!#REF!-(BK39*0.64))/0.8)/1000</f>
        <v>#REF!</v>
      </c>
      <c r="BK40" s="17" t="e">
        <f>-53.07 + (304.89 * (BJ40)) + (90.79 *Crescimento!#REF!) - (3.13 * Crescimento!#REF!*Crescimento!#REF!)</f>
        <v>#REF!</v>
      </c>
      <c r="BM40" s="16" t="e">
        <f>(BN39+(Crescimento!#REF!-(BN39*0.64))/0.8)/1000</f>
        <v>#REF!</v>
      </c>
      <c r="BN40" s="17" t="e">
        <f>-53.07 + (304.89 * (BM40)) + (90.79 *Crescimento!#REF!) - (3.13 * Crescimento!#REF!*Crescimento!#REF!)</f>
        <v>#REF!</v>
      </c>
      <c r="BP40" s="16" t="e">
        <f>(BQ39+(Crescimento!#REF!-(BQ39*0.64))/0.8)/1000</f>
        <v>#REF!</v>
      </c>
      <c r="BQ40" s="17" t="e">
        <f>-53.07 + (304.89 * (BP40)) + (90.79 *Crescimento!#REF!) - (3.13 * Crescimento!#REF!*Crescimento!#REF!)</f>
        <v>#REF!</v>
      </c>
      <c r="BS40" s="16" t="e">
        <f>(BT39+(Crescimento!#REF!-(BT39*0.64))/0.8)/1000</f>
        <v>#REF!</v>
      </c>
      <c r="BT40" s="17" t="e">
        <f>-53.07 + (304.89 * (BS40)) + (90.79 *Crescimento!#REF!) - (3.13 * Crescimento!#REF!*Crescimento!#REF!)</f>
        <v>#REF!</v>
      </c>
      <c r="BV40" s="16" t="e">
        <f>(BW39+(Crescimento!#REF!-(BW39*0.64))/0.8)/1000</f>
        <v>#REF!</v>
      </c>
      <c r="BW40" s="17" t="e">
        <f>-53.07 + (304.89 * (BV40)) + (90.79 *Crescimento!#REF!) - (3.13 * Crescimento!#REF!*Crescimento!#REF!)</f>
        <v>#REF!</v>
      </c>
      <c r="BY40" s="16" t="e">
        <f>(BZ39+(Crescimento!#REF!-(BZ39*0.64))/0.8)/1000</f>
        <v>#REF!</v>
      </c>
      <c r="BZ40" s="17" t="e">
        <f>-53.07 + (304.89 * (BY40)) + (90.79 *Crescimento!#REF!) - (3.13 * Crescimento!#REF!*Crescimento!#REF!)</f>
        <v>#REF!</v>
      </c>
      <c r="CB40" s="16" t="e">
        <f>(CC39+(Crescimento!#REF!-(CC39*0.64))/0.8)/1000</f>
        <v>#REF!</v>
      </c>
      <c r="CC40" s="17" t="e">
        <f>-53.07 + (304.89 * (CB40)) + (90.79 *Crescimento!#REF!) - (3.13 * Crescimento!#REF!*Crescimento!#REF!)</f>
        <v>#REF!</v>
      </c>
      <c r="CE40" s="16" t="e">
        <f>(CF39+(Crescimento!#REF!-(CF39*0.64))/0.8)/1000</f>
        <v>#REF!</v>
      </c>
      <c r="CF40" s="17" t="e">
        <f>-53.07 + (304.89 * (CE40)) + (90.79 *Crescimento!#REF!) - (3.13 * Crescimento!#REF!*Crescimento!#REF!)</f>
        <v>#REF!</v>
      </c>
      <c r="CH40" s="16" t="e">
        <f>(CI39+(Crescimento!#REF!-(CI39*0.64))/0.8)/1000</f>
        <v>#REF!</v>
      </c>
      <c r="CI40" s="17" t="e">
        <f>-53.07 + (304.89 * (CH40)) + (90.79 *Crescimento!#REF!) - (3.13 * Crescimento!#REF!*Crescimento!#REF!)</f>
        <v>#REF!</v>
      </c>
      <c r="CK40" s="16" t="e">
        <f>(CL39+(Crescimento!#REF!-(CL39*0.64))/0.8)/1000</f>
        <v>#REF!</v>
      </c>
      <c r="CL40" s="17" t="e">
        <f>-53.07 + (304.89 * (CK40)) + (90.79 *Crescimento!#REF!) - (3.13 * Crescimento!#REF!*Crescimento!#REF!)</f>
        <v>#REF!</v>
      </c>
    </row>
    <row r="41" spans="2:90" ht="15" customHeight="1" x14ac:dyDescent="0.25">
      <c r="B41" s="16">
        <f>(C40+('Vacas e Bezerros'!$O$29-(C40*0.64))/0.8)/1000</f>
        <v>1.1219974776113528</v>
      </c>
      <c r="C41" s="17">
        <f>-53.07 + (304.89 * (B41)) + (90.79 *'Vacas e Bezerros'!$O$23) - (3.13 * 'Vacas e Bezerros'!$O$23*'Vacas e Bezerros'!$O$23)</f>
        <v>715.77733851110622</v>
      </c>
      <c r="E41" s="16" t="e">
        <f>(F40+(Crescimento!#REF!-(F40*0.64))/0.8)/1000</f>
        <v>#REF!</v>
      </c>
      <c r="F41" s="17" t="e">
        <f>-53.07 + (304.89 * (E41)) + (90.79 *Crescimento!#REF!) - (3.13 * Crescimento!#REF!*Crescimento!#REF!)</f>
        <v>#REF!</v>
      </c>
      <c r="G41" s="1"/>
      <c r="H41" s="16" t="e">
        <f>(I40+(Crescimento!#REF!-(I40*0.64))/0.8)/1000</f>
        <v>#REF!</v>
      </c>
      <c r="I41" s="17" t="e">
        <f>-53.07 + (304.89 * (H41)) + (90.79 *Crescimento!#REF!) - (3.13 * Crescimento!#REF!*Crescimento!#REF!)</f>
        <v>#REF!</v>
      </c>
      <c r="K41" s="16" t="e">
        <f>(L40+(Crescimento!#REF!-(L40*0.64))/0.8)/1000</f>
        <v>#REF!</v>
      </c>
      <c r="L41" s="17" t="e">
        <f>-53.07 + (304.89 * (K41)) + (90.79 *Crescimento!#REF!) - (3.13 * Crescimento!#REF!*Crescimento!#REF!)</f>
        <v>#REF!</v>
      </c>
      <c r="N41" s="16" t="e">
        <f>(O40+(Crescimento!#REF!-(O40*0.64))/0.8)/1000</f>
        <v>#REF!</v>
      </c>
      <c r="O41" s="17" t="e">
        <f>-53.07 + (304.89 * (N41)) + (90.79 *Crescimento!#REF!) - (3.13 * Crescimento!#REF!*Crescimento!#REF!)</f>
        <v>#REF!</v>
      </c>
      <c r="Q41" s="16" t="e">
        <f>(R40+(Crescimento!#REF!-(R40*0.64))/0.8)/1000</f>
        <v>#REF!</v>
      </c>
      <c r="R41" s="17" t="e">
        <f>-53.07 + (304.89 * (Q41)) + (90.79 *Crescimento!#REF!) - (3.13 * Crescimento!#REF!*Crescimento!#REF!)</f>
        <v>#REF!</v>
      </c>
      <c r="T41" s="16" t="e">
        <f>(U40+(Crescimento!#REF!-(U40*0.64))/0.8)/1000</f>
        <v>#REF!</v>
      </c>
      <c r="U41" s="17" t="e">
        <f>-53.07 + (304.89 * (T41)) + (90.79 *Crescimento!#REF!) - (3.13 * Crescimento!#REF!*Crescimento!#REF!)</f>
        <v>#REF!</v>
      </c>
      <c r="W41" s="16" t="e">
        <f>(X40+(Crescimento!#REF!-(X40*0.64))/0.8)/1000</f>
        <v>#REF!</v>
      </c>
      <c r="X41" s="17" t="e">
        <f>-53.07 + (304.89 * (W41)) + (90.79 *Crescimento!#REF!) - (3.13 * Crescimento!#REF!*Crescimento!#REF!)</f>
        <v>#REF!</v>
      </c>
      <c r="Y41" s="6"/>
      <c r="Z41" s="16" t="e">
        <f>(AA40+(Crescimento!#REF!-(AA40*0.64))/0.8)/1000</f>
        <v>#REF!</v>
      </c>
      <c r="AA41" s="17" t="e">
        <f>-53.07 + (304.89 * (Z41)) + (90.79 *Crescimento!#REF!) - (3.13 * Crescimento!#REF!*Crescimento!#REF!)</f>
        <v>#REF!</v>
      </c>
      <c r="AB41" s="6"/>
      <c r="AC41" s="16" t="e">
        <f>(AD40+(Crescimento!#REF!-(AD40*0.64))/0.8)/1000</f>
        <v>#REF!</v>
      </c>
      <c r="AD41" s="17" t="e">
        <f>-53.07 + (304.89 * (AC41)) + (90.79 *Crescimento!#REF!) - (3.13 * Crescimento!#REF!*Crescimento!#REF!)</f>
        <v>#REF!</v>
      </c>
      <c r="AE41" s="17"/>
      <c r="AF41" s="16" t="e">
        <f>(AG40+(Crescimento!#REF!-(AG40*0.64))/0.8)/1000</f>
        <v>#REF!</v>
      </c>
      <c r="AG41" s="17" t="e">
        <f>-53.07 + (304.89 * (AF41)) + (90.79 *Crescimento!#REF!) - (3.13 * Crescimento!#REF!*Crescimento!#REF!)</f>
        <v>#REF!</v>
      </c>
      <c r="AI41" s="16" t="e">
        <f>(AJ40+(Crescimento!#REF!-(AJ40*0.64))/0.8)/1000</f>
        <v>#REF!</v>
      </c>
      <c r="AJ41" s="17" t="e">
        <f>-53.07 + (304.89 * (AI41)) + (90.79 *Crescimento!#REF!) - (3.13 * Crescimento!#REF!*Crescimento!#REF!)</f>
        <v>#REF!</v>
      </c>
      <c r="AL41" s="16" t="e">
        <f>(AM40+(Crescimento!#REF!-(AM40*0.64))/0.8)/1000</f>
        <v>#REF!</v>
      </c>
      <c r="AM41" s="17" t="e">
        <f>-53.07 + (304.89 * (AL41)) + (90.79 *Crescimento!#REF!) - (3.13 * Crescimento!#REF!*Crescimento!#REF!)</f>
        <v>#REF!</v>
      </c>
      <c r="AO41" s="16" t="e">
        <f>(AP40+(Crescimento!#REF!-(AP40*0.64))/0.8)/1000</f>
        <v>#REF!</v>
      </c>
      <c r="AP41" s="17" t="e">
        <f>-53.07 + (304.89 * (AO41)) + (90.79 *Crescimento!#REF!) - (3.13 * Crescimento!#REF!*Crescimento!#REF!)</f>
        <v>#REF!</v>
      </c>
      <c r="AR41" s="16" t="e">
        <f>(AS40+(Crescimento!#REF!-(AS40*0.64))/0.8)/1000</f>
        <v>#REF!</v>
      </c>
      <c r="AS41" s="17" t="e">
        <f>-53.07 + (304.89 * (AR41)) + (90.79 *Crescimento!#REF!) - (3.13 * Crescimento!#REF!*Crescimento!#REF!)</f>
        <v>#REF!</v>
      </c>
      <c r="AU41" s="16" t="e">
        <f>(AV40+(Crescimento!#REF!-(AV40*0.64))/0.8)/1000</f>
        <v>#REF!</v>
      </c>
      <c r="AV41" s="17" t="e">
        <f>-53.07 + (304.89 * (AU41)) + (90.79 *Crescimento!#REF!) - (3.13 * Crescimento!#REF!*Crescimento!#REF!)</f>
        <v>#REF!</v>
      </c>
      <c r="AX41" s="16" t="e">
        <f>(AY40+(Crescimento!#REF!-(AY40*0.64))/0.8)/1000</f>
        <v>#REF!</v>
      </c>
      <c r="AY41" s="17" t="e">
        <f>-53.07 + (304.89 * (AX41)) + (90.79 *Crescimento!#REF!) - (3.13 * Crescimento!#REF!*Crescimento!#REF!)</f>
        <v>#REF!</v>
      </c>
      <c r="BA41" s="16" t="e">
        <f>(BB40+(Crescimento!#REF!-(BB40*0.64))/0.8)/1000</f>
        <v>#REF!</v>
      </c>
      <c r="BB41" s="17" t="e">
        <f>-53.07 + (304.89 * (BA41)) + (90.79 *Crescimento!#REF!) - (3.13 * Crescimento!#REF!*Crescimento!#REF!)</f>
        <v>#REF!</v>
      </c>
      <c r="BD41" s="16" t="e">
        <f>(BE40+(Crescimento!#REF!-(BE40*0.64))/0.8)/1000</f>
        <v>#REF!</v>
      </c>
      <c r="BE41" s="17" t="e">
        <f>-53.07 + (304.89 * (BD41)) + (90.79 *Crescimento!#REF!) - (3.13 * Crescimento!#REF!*Crescimento!#REF!)</f>
        <v>#REF!</v>
      </c>
      <c r="BG41" s="16" t="e">
        <f>(BH40+(Crescimento!#REF!-(BH40*0.64))/0.8)/1000</f>
        <v>#REF!</v>
      </c>
      <c r="BH41" s="17" t="e">
        <f>-53.07 + (304.89 * (BG41)) + (90.79 *Crescimento!#REF!) - (3.13 * Crescimento!#REF!*Crescimento!#REF!)</f>
        <v>#REF!</v>
      </c>
      <c r="BJ41" s="16" t="e">
        <f>(BK40+(Crescimento!#REF!-(BK40*0.64))/0.8)/1000</f>
        <v>#REF!</v>
      </c>
      <c r="BK41" s="17" t="e">
        <f>-53.07 + (304.89 * (BJ41)) + (90.79 *Crescimento!#REF!) - (3.13 * Crescimento!#REF!*Crescimento!#REF!)</f>
        <v>#REF!</v>
      </c>
      <c r="BM41" s="16" t="e">
        <f>(BN40+(Crescimento!#REF!-(BN40*0.64))/0.8)/1000</f>
        <v>#REF!</v>
      </c>
      <c r="BN41" s="17" t="e">
        <f>-53.07 + (304.89 * (BM41)) + (90.79 *Crescimento!#REF!) - (3.13 * Crescimento!#REF!*Crescimento!#REF!)</f>
        <v>#REF!</v>
      </c>
      <c r="BP41" s="16" t="e">
        <f>(BQ40+(Crescimento!#REF!-(BQ40*0.64))/0.8)/1000</f>
        <v>#REF!</v>
      </c>
      <c r="BQ41" s="17" t="e">
        <f>-53.07 + (304.89 * (BP41)) + (90.79 *Crescimento!#REF!) - (3.13 * Crescimento!#REF!*Crescimento!#REF!)</f>
        <v>#REF!</v>
      </c>
      <c r="BS41" s="16" t="e">
        <f>(BT40+(Crescimento!#REF!-(BT40*0.64))/0.8)/1000</f>
        <v>#REF!</v>
      </c>
      <c r="BT41" s="17" t="e">
        <f>-53.07 + (304.89 * (BS41)) + (90.79 *Crescimento!#REF!) - (3.13 * Crescimento!#REF!*Crescimento!#REF!)</f>
        <v>#REF!</v>
      </c>
      <c r="BV41" s="16" t="e">
        <f>(BW40+(Crescimento!#REF!-(BW40*0.64))/0.8)/1000</f>
        <v>#REF!</v>
      </c>
      <c r="BW41" s="17" t="e">
        <f>-53.07 + (304.89 * (BV41)) + (90.79 *Crescimento!#REF!) - (3.13 * Crescimento!#REF!*Crescimento!#REF!)</f>
        <v>#REF!</v>
      </c>
      <c r="BY41" s="16" t="e">
        <f>(BZ40+(Crescimento!#REF!-(BZ40*0.64))/0.8)/1000</f>
        <v>#REF!</v>
      </c>
      <c r="BZ41" s="17" t="e">
        <f>-53.07 + (304.89 * (BY41)) + (90.79 *Crescimento!#REF!) - (3.13 * Crescimento!#REF!*Crescimento!#REF!)</f>
        <v>#REF!</v>
      </c>
      <c r="CB41" s="16" t="e">
        <f>(CC40+(Crescimento!#REF!-(CC40*0.64))/0.8)/1000</f>
        <v>#REF!</v>
      </c>
      <c r="CC41" s="17" t="e">
        <f>-53.07 + (304.89 * (CB41)) + (90.79 *Crescimento!#REF!) - (3.13 * Crescimento!#REF!*Crescimento!#REF!)</f>
        <v>#REF!</v>
      </c>
      <c r="CE41" s="16" t="e">
        <f>(CF40+(Crescimento!#REF!-(CF40*0.64))/0.8)/1000</f>
        <v>#REF!</v>
      </c>
      <c r="CF41" s="17" t="e">
        <f>-53.07 + (304.89 * (CE41)) + (90.79 *Crescimento!#REF!) - (3.13 * Crescimento!#REF!*Crescimento!#REF!)</f>
        <v>#REF!</v>
      </c>
      <c r="CH41" s="16" t="e">
        <f>(CI40+(Crescimento!#REF!-(CI40*0.64))/0.8)/1000</f>
        <v>#REF!</v>
      </c>
      <c r="CI41" s="17" t="e">
        <f>-53.07 + (304.89 * (CH41)) + (90.79 *Crescimento!#REF!) - (3.13 * Crescimento!#REF!*Crescimento!#REF!)</f>
        <v>#REF!</v>
      </c>
      <c r="CK41" s="16" t="e">
        <f>(CL40+(Crescimento!#REF!-(CL40*0.64))/0.8)/1000</f>
        <v>#REF!</v>
      </c>
      <c r="CL41" s="17" t="e">
        <f>-53.07 + (304.89 * (CK41)) + (90.79 *Crescimento!#REF!) - (3.13 * Crescimento!#REF!*Crescimento!#REF!)</f>
        <v>#REF!</v>
      </c>
    </row>
    <row r="42" spans="2:90" ht="15" customHeight="1" x14ac:dyDescent="0.25">
      <c r="B42" s="16">
        <f>(C41+('Vacas e Bezerros'!$O$29-(C41*0.64))/0.8)/1000</f>
        <v>1.1219974776113528</v>
      </c>
      <c r="C42" s="17">
        <f>-53.07 + (304.89 * (B42)) + (90.79 *'Vacas e Bezerros'!$O$23) - (3.13 * 'Vacas e Bezerros'!$O$23*'Vacas e Bezerros'!$O$23)</f>
        <v>715.77733851110622</v>
      </c>
      <c r="E42" s="16" t="e">
        <f>(F41+(Crescimento!#REF!-(F41*0.64))/0.8)/1000</f>
        <v>#REF!</v>
      </c>
      <c r="F42" s="17" t="e">
        <f>-53.07 + (304.89 * (E42)) + (90.79 *Crescimento!#REF!) - (3.13 * Crescimento!#REF!*Crescimento!#REF!)</f>
        <v>#REF!</v>
      </c>
      <c r="G42" s="1"/>
      <c r="H42" s="16" t="e">
        <f>(I41+(Crescimento!#REF!-(I41*0.64))/0.8)/1000</f>
        <v>#REF!</v>
      </c>
      <c r="I42" s="17" t="e">
        <f>-53.07 + (304.89 * (H42)) + (90.79 *Crescimento!#REF!) - (3.13 * Crescimento!#REF!*Crescimento!#REF!)</f>
        <v>#REF!</v>
      </c>
      <c r="K42" s="16" t="e">
        <f>(L41+(Crescimento!#REF!-(L41*0.64))/0.8)/1000</f>
        <v>#REF!</v>
      </c>
      <c r="L42" s="17" t="e">
        <f>-53.07 + (304.89 * (K42)) + (90.79 *Crescimento!#REF!) - (3.13 * Crescimento!#REF!*Crescimento!#REF!)</f>
        <v>#REF!</v>
      </c>
      <c r="N42" s="16" t="e">
        <f>(O41+(Crescimento!#REF!-(O41*0.64))/0.8)/1000</f>
        <v>#REF!</v>
      </c>
      <c r="O42" s="17" t="e">
        <f>-53.07 + (304.89 * (N42)) + (90.79 *Crescimento!#REF!) - (3.13 * Crescimento!#REF!*Crescimento!#REF!)</f>
        <v>#REF!</v>
      </c>
      <c r="Q42" s="16" t="e">
        <f>(R41+(Crescimento!#REF!-(R41*0.64))/0.8)/1000</f>
        <v>#REF!</v>
      </c>
      <c r="R42" s="17" t="e">
        <f>-53.07 + (304.89 * (Q42)) + (90.79 *Crescimento!#REF!) - (3.13 * Crescimento!#REF!*Crescimento!#REF!)</f>
        <v>#REF!</v>
      </c>
      <c r="T42" s="16" t="e">
        <f>(U41+(Crescimento!#REF!-(U41*0.64))/0.8)/1000</f>
        <v>#REF!</v>
      </c>
      <c r="U42" s="17" t="e">
        <f>-53.07 + (304.89 * (T42)) + (90.79 *Crescimento!#REF!) - (3.13 * Crescimento!#REF!*Crescimento!#REF!)</f>
        <v>#REF!</v>
      </c>
      <c r="W42" s="16" t="e">
        <f>(X41+(Crescimento!#REF!-(X41*0.64))/0.8)/1000</f>
        <v>#REF!</v>
      </c>
      <c r="X42" s="17" t="e">
        <f>-53.07 + (304.89 * (W42)) + (90.79 *Crescimento!#REF!) - (3.13 * Crescimento!#REF!*Crescimento!#REF!)</f>
        <v>#REF!</v>
      </c>
      <c r="Y42" s="6"/>
      <c r="Z42" s="16" t="e">
        <f>(AA41+(Crescimento!#REF!-(AA41*0.64))/0.8)/1000</f>
        <v>#REF!</v>
      </c>
      <c r="AA42" s="17" t="e">
        <f>-53.07 + (304.89 * (Z42)) + (90.79 *Crescimento!#REF!) - (3.13 * Crescimento!#REF!*Crescimento!#REF!)</f>
        <v>#REF!</v>
      </c>
      <c r="AB42" s="6"/>
      <c r="AC42" s="16" t="e">
        <f>(AD41+(Crescimento!#REF!-(AD41*0.64))/0.8)/1000</f>
        <v>#REF!</v>
      </c>
      <c r="AD42" s="17" t="e">
        <f>-53.07 + (304.89 * (AC42)) + (90.79 *Crescimento!#REF!) - (3.13 * Crescimento!#REF!*Crescimento!#REF!)</f>
        <v>#REF!</v>
      </c>
      <c r="AE42" s="17"/>
      <c r="AF42" s="16" t="e">
        <f>(AG41+(Crescimento!#REF!-(AG41*0.64))/0.8)/1000</f>
        <v>#REF!</v>
      </c>
      <c r="AG42" s="17" t="e">
        <f>-53.07 + (304.89 * (AF42)) + (90.79 *Crescimento!#REF!) - (3.13 * Crescimento!#REF!*Crescimento!#REF!)</f>
        <v>#REF!</v>
      </c>
      <c r="AI42" s="16" t="e">
        <f>(AJ41+(Crescimento!#REF!-(AJ41*0.64))/0.8)/1000</f>
        <v>#REF!</v>
      </c>
      <c r="AJ42" s="17" t="e">
        <f>-53.07 + (304.89 * (AI42)) + (90.79 *Crescimento!#REF!) - (3.13 * Crescimento!#REF!*Crescimento!#REF!)</f>
        <v>#REF!</v>
      </c>
      <c r="AL42" s="16" t="e">
        <f>(AM41+(Crescimento!#REF!-(AM41*0.64))/0.8)/1000</f>
        <v>#REF!</v>
      </c>
      <c r="AM42" s="17" t="e">
        <f>-53.07 + (304.89 * (AL42)) + (90.79 *Crescimento!#REF!) - (3.13 * Crescimento!#REF!*Crescimento!#REF!)</f>
        <v>#REF!</v>
      </c>
      <c r="AO42" s="16" t="e">
        <f>(AP41+(Crescimento!#REF!-(AP41*0.64))/0.8)/1000</f>
        <v>#REF!</v>
      </c>
      <c r="AP42" s="17" t="e">
        <f>-53.07 + (304.89 * (AO42)) + (90.79 *Crescimento!#REF!) - (3.13 * Crescimento!#REF!*Crescimento!#REF!)</f>
        <v>#REF!</v>
      </c>
      <c r="AR42" s="16" t="e">
        <f>(AS41+(Crescimento!#REF!-(AS41*0.64))/0.8)/1000</f>
        <v>#REF!</v>
      </c>
      <c r="AS42" s="17" t="e">
        <f>-53.07 + (304.89 * (AR42)) + (90.79 *Crescimento!#REF!) - (3.13 * Crescimento!#REF!*Crescimento!#REF!)</f>
        <v>#REF!</v>
      </c>
      <c r="AU42" s="16" t="e">
        <f>(AV41+(Crescimento!#REF!-(AV41*0.64))/0.8)/1000</f>
        <v>#REF!</v>
      </c>
      <c r="AV42" s="17" t="e">
        <f>-53.07 + (304.89 * (AU42)) + (90.79 *Crescimento!#REF!) - (3.13 * Crescimento!#REF!*Crescimento!#REF!)</f>
        <v>#REF!</v>
      </c>
      <c r="AX42" s="16" t="e">
        <f>(AY41+(Crescimento!#REF!-(AY41*0.64))/0.8)/1000</f>
        <v>#REF!</v>
      </c>
      <c r="AY42" s="17" t="e">
        <f>-53.07 + (304.89 * (AX42)) + (90.79 *Crescimento!#REF!) - (3.13 * Crescimento!#REF!*Crescimento!#REF!)</f>
        <v>#REF!</v>
      </c>
      <c r="BA42" s="16" t="e">
        <f>(BB41+(Crescimento!#REF!-(BB41*0.64))/0.8)/1000</f>
        <v>#REF!</v>
      </c>
      <c r="BB42" s="17" t="e">
        <f>-53.07 + (304.89 * (BA42)) + (90.79 *Crescimento!#REF!) - (3.13 * Crescimento!#REF!*Crescimento!#REF!)</f>
        <v>#REF!</v>
      </c>
      <c r="BD42" s="16" t="e">
        <f>(BE41+(Crescimento!#REF!-(BE41*0.64))/0.8)/1000</f>
        <v>#REF!</v>
      </c>
      <c r="BE42" s="17" t="e">
        <f>-53.07 + (304.89 * (BD42)) + (90.79 *Crescimento!#REF!) - (3.13 * Crescimento!#REF!*Crescimento!#REF!)</f>
        <v>#REF!</v>
      </c>
      <c r="BG42" s="16" t="e">
        <f>(BH41+(Crescimento!#REF!-(BH41*0.64))/0.8)/1000</f>
        <v>#REF!</v>
      </c>
      <c r="BH42" s="17" t="e">
        <f>-53.07 + (304.89 * (BG42)) + (90.79 *Crescimento!#REF!) - (3.13 * Crescimento!#REF!*Crescimento!#REF!)</f>
        <v>#REF!</v>
      </c>
      <c r="BJ42" s="16" t="e">
        <f>(BK41+(Crescimento!#REF!-(BK41*0.64))/0.8)/1000</f>
        <v>#REF!</v>
      </c>
      <c r="BK42" s="17" t="e">
        <f>-53.07 + (304.89 * (BJ42)) + (90.79 *Crescimento!#REF!) - (3.13 * Crescimento!#REF!*Crescimento!#REF!)</f>
        <v>#REF!</v>
      </c>
      <c r="BM42" s="16" t="e">
        <f>(BN41+(Crescimento!#REF!-(BN41*0.64))/0.8)/1000</f>
        <v>#REF!</v>
      </c>
      <c r="BN42" s="17" t="e">
        <f>-53.07 + (304.89 * (BM42)) + (90.79 *Crescimento!#REF!) - (3.13 * Crescimento!#REF!*Crescimento!#REF!)</f>
        <v>#REF!</v>
      </c>
      <c r="BP42" s="16" t="e">
        <f>(BQ41+(Crescimento!#REF!-(BQ41*0.64))/0.8)/1000</f>
        <v>#REF!</v>
      </c>
      <c r="BQ42" s="17" t="e">
        <f>-53.07 + (304.89 * (BP42)) + (90.79 *Crescimento!#REF!) - (3.13 * Crescimento!#REF!*Crescimento!#REF!)</f>
        <v>#REF!</v>
      </c>
      <c r="BS42" s="16" t="e">
        <f>(BT41+(Crescimento!#REF!-(BT41*0.64))/0.8)/1000</f>
        <v>#REF!</v>
      </c>
      <c r="BT42" s="17" t="e">
        <f>-53.07 + (304.89 * (BS42)) + (90.79 *Crescimento!#REF!) - (3.13 * Crescimento!#REF!*Crescimento!#REF!)</f>
        <v>#REF!</v>
      </c>
      <c r="BV42" s="16" t="e">
        <f>(BW41+(Crescimento!#REF!-(BW41*0.64))/0.8)/1000</f>
        <v>#REF!</v>
      </c>
      <c r="BW42" s="17" t="e">
        <f>-53.07 + (304.89 * (BV42)) + (90.79 *Crescimento!#REF!) - (3.13 * Crescimento!#REF!*Crescimento!#REF!)</f>
        <v>#REF!</v>
      </c>
      <c r="BY42" s="16" t="e">
        <f>(BZ41+(Crescimento!#REF!-(BZ41*0.64))/0.8)/1000</f>
        <v>#REF!</v>
      </c>
      <c r="BZ42" s="17" t="e">
        <f>-53.07 + (304.89 * (BY42)) + (90.79 *Crescimento!#REF!) - (3.13 * Crescimento!#REF!*Crescimento!#REF!)</f>
        <v>#REF!</v>
      </c>
      <c r="CB42" s="16" t="e">
        <f>(CC41+(Crescimento!#REF!-(CC41*0.64))/0.8)/1000</f>
        <v>#REF!</v>
      </c>
      <c r="CC42" s="17" t="e">
        <f>-53.07 + (304.89 * (CB42)) + (90.79 *Crescimento!#REF!) - (3.13 * Crescimento!#REF!*Crescimento!#REF!)</f>
        <v>#REF!</v>
      </c>
      <c r="CE42" s="16" t="e">
        <f>(CF41+(Crescimento!#REF!-(CF41*0.64))/0.8)/1000</f>
        <v>#REF!</v>
      </c>
      <c r="CF42" s="17" t="e">
        <f>-53.07 + (304.89 * (CE42)) + (90.79 *Crescimento!#REF!) - (3.13 * Crescimento!#REF!*Crescimento!#REF!)</f>
        <v>#REF!</v>
      </c>
      <c r="CH42" s="16" t="e">
        <f>(CI41+(Crescimento!#REF!-(CI41*0.64))/0.8)/1000</f>
        <v>#REF!</v>
      </c>
      <c r="CI42" s="17" t="e">
        <f>-53.07 + (304.89 * (CH42)) + (90.79 *Crescimento!#REF!) - (3.13 * Crescimento!#REF!*Crescimento!#REF!)</f>
        <v>#REF!</v>
      </c>
      <c r="CK42" s="16" t="e">
        <f>(CL41+(Crescimento!#REF!-(CL41*0.64))/0.8)/1000</f>
        <v>#REF!</v>
      </c>
      <c r="CL42" s="17" t="e">
        <f>-53.07 + (304.89 * (CK42)) + (90.79 *Crescimento!#REF!) - (3.13 * Crescimento!#REF!*Crescimento!#REF!)</f>
        <v>#REF!</v>
      </c>
    </row>
    <row r="43" spans="2:90" x14ac:dyDescent="0.25">
      <c r="B43" s="16">
        <f>(C42+('Vacas e Bezerros'!$O$29-(C42*0.64))/0.8)/1000</f>
        <v>1.1219974776113528</v>
      </c>
      <c r="C43" s="17">
        <f>-53.07 + (304.89 * (B43)) + (90.79 *'Vacas e Bezerros'!$O$23) - (3.13 * 'Vacas e Bezerros'!$O$23*'Vacas e Bezerros'!$O$23)</f>
        <v>715.77733851110622</v>
      </c>
      <c r="E43" s="16" t="e">
        <f>(F42+(Crescimento!#REF!-(F42*0.64))/0.8)/1000</f>
        <v>#REF!</v>
      </c>
      <c r="F43" s="17" t="e">
        <f>-53.07 + (304.89 * (E43)) + (90.79 *Crescimento!#REF!) - (3.13 * Crescimento!#REF!*Crescimento!#REF!)</f>
        <v>#REF!</v>
      </c>
      <c r="G43" s="1"/>
      <c r="H43" s="16" t="e">
        <f>(I42+(Crescimento!#REF!-(I42*0.64))/0.8)/1000</f>
        <v>#REF!</v>
      </c>
      <c r="I43" s="17" t="e">
        <f>-53.07 + (304.89 * (H43)) + (90.79 *Crescimento!#REF!) - (3.13 * Crescimento!#REF!*Crescimento!#REF!)</f>
        <v>#REF!</v>
      </c>
      <c r="K43" s="16" t="e">
        <f>(L42+(Crescimento!#REF!-(L42*0.64))/0.8)/1000</f>
        <v>#REF!</v>
      </c>
      <c r="L43" s="17" t="e">
        <f>-53.07 + (304.89 * (K43)) + (90.79 *Crescimento!#REF!) - (3.13 * Crescimento!#REF!*Crescimento!#REF!)</f>
        <v>#REF!</v>
      </c>
      <c r="N43" s="16" t="e">
        <f>(O42+(Crescimento!#REF!-(O42*0.64))/0.8)/1000</f>
        <v>#REF!</v>
      </c>
      <c r="O43" s="17" t="e">
        <f>-53.07 + (304.89 * (N43)) + (90.79 *Crescimento!#REF!) - (3.13 * Crescimento!#REF!*Crescimento!#REF!)</f>
        <v>#REF!</v>
      </c>
      <c r="Q43" s="16" t="e">
        <f>(R42+(Crescimento!#REF!-(R42*0.64))/0.8)/1000</f>
        <v>#REF!</v>
      </c>
      <c r="R43" s="17" t="e">
        <f>-53.07 + (304.89 * (Q43)) + (90.79 *Crescimento!#REF!) - (3.13 * Crescimento!#REF!*Crescimento!#REF!)</f>
        <v>#REF!</v>
      </c>
      <c r="T43" s="16" t="e">
        <f>(U42+(Crescimento!#REF!-(U42*0.64))/0.8)/1000</f>
        <v>#REF!</v>
      </c>
      <c r="U43" s="17" t="e">
        <f>-53.07 + (304.89 * (T43)) + (90.79 *Crescimento!#REF!) - (3.13 * Crescimento!#REF!*Crescimento!#REF!)</f>
        <v>#REF!</v>
      </c>
      <c r="W43" s="16" t="e">
        <f>(X42+(Crescimento!#REF!-(X42*0.64))/0.8)/1000</f>
        <v>#REF!</v>
      </c>
      <c r="X43" s="17" t="e">
        <f>-53.07 + (304.89 * (W43)) + (90.79 *Crescimento!#REF!) - (3.13 * Crescimento!#REF!*Crescimento!#REF!)</f>
        <v>#REF!</v>
      </c>
      <c r="Y43" s="6"/>
      <c r="Z43" s="16" t="e">
        <f>(AA42+(Crescimento!#REF!-(AA42*0.64))/0.8)/1000</f>
        <v>#REF!</v>
      </c>
      <c r="AA43" s="17" t="e">
        <f>-53.07 + (304.89 * (Z43)) + (90.79 *Crescimento!#REF!) - (3.13 * Crescimento!#REF!*Crescimento!#REF!)</f>
        <v>#REF!</v>
      </c>
      <c r="AB43" s="6"/>
      <c r="AC43" s="16" t="e">
        <f>(AD42+(Crescimento!#REF!-(AD42*0.64))/0.8)/1000</f>
        <v>#REF!</v>
      </c>
      <c r="AD43" s="17" t="e">
        <f>-53.07 + (304.89 * (AC43)) + (90.79 *Crescimento!#REF!) - (3.13 * Crescimento!#REF!*Crescimento!#REF!)</f>
        <v>#REF!</v>
      </c>
      <c r="AE43" s="17"/>
      <c r="AF43" s="16" t="e">
        <f>(AG42+(Crescimento!#REF!-(AG42*0.64))/0.8)/1000</f>
        <v>#REF!</v>
      </c>
      <c r="AG43" s="17" t="e">
        <f>-53.07 + (304.89 * (AF43)) + (90.79 *Crescimento!#REF!) - (3.13 * Crescimento!#REF!*Crescimento!#REF!)</f>
        <v>#REF!</v>
      </c>
      <c r="AI43" s="16" t="e">
        <f>(AJ42+(Crescimento!#REF!-(AJ42*0.64))/0.8)/1000</f>
        <v>#REF!</v>
      </c>
      <c r="AJ43" s="17" t="e">
        <f>-53.07 + (304.89 * (AI43)) + (90.79 *Crescimento!#REF!) - (3.13 * Crescimento!#REF!*Crescimento!#REF!)</f>
        <v>#REF!</v>
      </c>
      <c r="AL43" s="16" t="e">
        <f>(AM42+(Crescimento!#REF!-(AM42*0.64))/0.8)/1000</f>
        <v>#REF!</v>
      </c>
      <c r="AM43" s="17" t="e">
        <f>-53.07 + (304.89 * (AL43)) + (90.79 *Crescimento!#REF!) - (3.13 * Crescimento!#REF!*Crescimento!#REF!)</f>
        <v>#REF!</v>
      </c>
      <c r="AO43" s="16" t="e">
        <f>(AP42+(Crescimento!#REF!-(AP42*0.64))/0.8)/1000</f>
        <v>#REF!</v>
      </c>
      <c r="AP43" s="17" t="e">
        <f>-53.07 + (304.89 * (AO43)) + (90.79 *Crescimento!#REF!) - (3.13 * Crescimento!#REF!*Crescimento!#REF!)</f>
        <v>#REF!</v>
      </c>
      <c r="AR43" s="16" t="e">
        <f>(AS42+(Crescimento!#REF!-(AS42*0.64))/0.8)/1000</f>
        <v>#REF!</v>
      </c>
      <c r="AS43" s="17" t="e">
        <f>-53.07 + (304.89 * (AR43)) + (90.79 *Crescimento!#REF!) - (3.13 * Crescimento!#REF!*Crescimento!#REF!)</f>
        <v>#REF!</v>
      </c>
      <c r="AU43" s="16" t="e">
        <f>(AV42+(Crescimento!#REF!-(AV42*0.64))/0.8)/1000</f>
        <v>#REF!</v>
      </c>
      <c r="AV43" s="17" t="e">
        <f>-53.07 + (304.89 * (AU43)) + (90.79 *Crescimento!#REF!) - (3.13 * Crescimento!#REF!*Crescimento!#REF!)</f>
        <v>#REF!</v>
      </c>
      <c r="AX43" s="16" t="e">
        <f>(AY42+(Crescimento!#REF!-(AY42*0.64))/0.8)/1000</f>
        <v>#REF!</v>
      </c>
      <c r="AY43" s="17" t="e">
        <f>-53.07 + (304.89 * (AX43)) + (90.79 *Crescimento!#REF!) - (3.13 * Crescimento!#REF!*Crescimento!#REF!)</f>
        <v>#REF!</v>
      </c>
      <c r="BA43" s="16" t="e">
        <f>(BB42+(Crescimento!#REF!-(BB42*0.64))/0.8)/1000</f>
        <v>#REF!</v>
      </c>
      <c r="BB43" s="17" t="e">
        <f>-53.07 + (304.89 * (BA43)) + (90.79 *Crescimento!#REF!) - (3.13 * Crescimento!#REF!*Crescimento!#REF!)</f>
        <v>#REF!</v>
      </c>
      <c r="BD43" s="16" t="e">
        <f>(BE42+(Crescimento!#REF!-(BE42*0.64))/0.8)/1000</f>
        <v>#REF!</v>
      </c>
      <c r="BE43" s="17" t="e">
        <f>-53.07 + (304.89 * (BD43)) + (90.79 *Crescimento!#REF!) - (3.13 * Crescimento!#REF!*Crescimento!#REF!)</f>
        <v>#REF!</v>
      </c>
      <c r="BG43" s="16" t="e">
        <f>(BH42+(Crescimento!#REF!-(BH42*0.64))/0.8)/1000</f>
        <v>#REF!</v>
      </c>
      <c r="BH43" s="17" t="e">
        <f>-53.07 + (304.89 * (BG43)) + (90.79 *Crescimento!#REF!) - (3.13 * Crescimento!#REF!*Crescimento!#REF!)</f>
        <v>#REF!</v>
      </c>
      <c r="BJ43" s="16" t="e">
        <f>(BK42+(Crescimento!#REF!-(BK42*0.64))/0.8)/1000</f>
        <v>#REF!</v>
      </c>
      <c r="BK43" s="17" t="e">
        <f>-53.07 + (304.89 * (BJ43)) + (90.79 *Crescimento!#REF!) - (3.13 * Crescimento!#REF!*Crescimento!#REF!)</f>
        <v>#REF!</v>
      </c>
      <c r="BM43" s="16" t="e">
        <f>(BN42+(Crescimento!#REF!-(BN42*0.64))/0.8)/1000</f>
        <v>#REF!</v>
      </c>
      <c r="BN43" s="17" t="e">
        <f>-53.07 + (304.89 * (BM43)) + (90.79 *Crescimento!#REF!) - (3.13 * Crescimento!#REF!*Crescimento!#REF!)</f>
        <v>#REF!</v>
      </c>
      <c r="BP43" s="16" t="e">
        <f>(BQ42+(Crescimento!#REF!-(BQ42*0.64))/0.8)/1000</f>
        <v>#REF!</v>
      </c>
      <c r="BQ43" s="17" t="e">
        <f>-53.07 + (304.89 * (BP43)) + (90.79 *Crescimento!#REF!) - (3.13 * Crescimento!#REF!*Crescimento!#REF!)</f>
        <v>#REF!</v>
      </c>
      <c r="BS43" s="16" t="e">
        <f>(BT42+(Crescimento!#REF!-(BT42*0.64))/0.8)/1000</f>
        <v>#REF!</v>
      </c>
      <c r="BT43" s="17" t="e">
        <f>-53.07 + (304.89 * (BS43)) + (90.79 *Crescimento!#REF!) - (3.13 * Crescimento!#REF!*Crescimento!#REF!)</f>
        <v>#REF!</v>
      </c>
      <c r="BV43" s="16" t="e">
        <f>(BW42+(Crescimento!#REF!-(BW42*0.64))/0.8)/1000</f>
        <v>#REF!</v>
      </c>
      <c r="BW43" s="17" t="e">
        <f>-53.07 + (304.89 * (BV43)) + (90.79 *Crescimento!#REF!) - (3.13 * Crescimento!#REF!*Crescimento!#REF!)</f>
        <v>#REF!</v>
      </c>
      <c r="BY43" s="16" t="e">
        <f>(BZ42+(Crescimento!#REF!-(BZ42*0.64))/0.8)/1000</f>
        <v>#REF!</v>
      </c>
      <c r="BZ43" s="17" t="e">
        <f>-53.07 + (304.89 * (BY43)) + (90.79 *Crescimento!#REF!) - (3.13 * Crescimento!#REF!*Crescimento!#REF!)</f>
        <v>#REF!</v>
      </c>
      <c r="CB43" s="16" t="e">
        <f>(CC42+(Crescimento!#REF!-(CC42*0.64))/0.8)/1000</f>
        <v>#REF!</v>
      </c>
      <c r="CC43" s="17" t="e">
        <f>-53.07 + (304.89 * (CB43)) + (90.79 *Crescimento!#REF!) - (3.13 * Crescimento!#REF!*Crescimento!#REF!)</f>
        <v>#REF!</v>
      </c>
      <c r="CE43" s="16" t="e">
        <f>(CF42+(Crescimento!#REF!-(CF42*0.64))/0.8)/1000</f>
        <v>#REF!</v>
      </c>
      <c r="CF43" s="17" t="e">
        <f>-53.07 + (304.89 * (CE43)) + (90.79 *Crescimento!#REF!) - (3.13 * Crescimento!#REF!*Crescimento!#REF!)</f>
        <v>#REF!</v>
      </c>
      <c r="CH43" s="16" t="e">
        <f>(CI42+(Crescimento!#REF!-(CI42*0.64))/0.8)/1000</f>
        <v>#REF!</v>
      </c>
      <c r="CI43" s="17" t="e">
        <f>-53.07 + (304.89 * (CH43)) + (90.79 *Crescimento!#REF!) - (3.13 * Crescimento!#REF!*Crescimento!#REF!)</f>
        <v>#REF!</v>
      </c>
      <c r="CK43" s="16" t="e">
        <f>(CL42+(Crescimento!#REF!-(CL42*0.64))/0.8)/1000</f>
        <v>#REF!</v>
      </c>
      <c r="CL43" s="17" t="e">
        <f>-53.07 + (304.89 * (CK43)) + (90.79 *Crescimento!#REF!) - (3.13 * Crescimento!#REF!*Crescimento!#REF!)</f>
        <v>#REF!</v>
      </c>
    </row>
    <row r="44" spans="2:90" x14ac:dyDescent="0.25">
      <c r="B44" s="16">
        <f>(C43+('Vacas e Bezerros'!$O$29-(C43*0.64))/0.8)/1000</f>
        <v>1.1219974776113528</v>
      </c>
      <c r="C44" s="17">
        <f>-53.07 + (304.89 * (B44)) + (90.79 *'Vacas e Bezerros'!$O$23) - (3.13 * 'Vacas e Bezerros'!$O$23*'Vacas e Bezerros'!$O$23)</f>
        <v>715.77733851110622</v>
      </c>
      <c r="E44" s="16" t="e">
        <f>(F43+(Crescimento!#REF!-(F43*0.64))/0.8)/1000</f>
        <v>#REF!</v>
      </c>
      <c r="F44" s="17" t="e">
        <f>-53.07 + (304.89 * (E44)) + (90.79 *Crescimento!#REF!) - (3.13 * Crescimento!#REF!*Crescimento!#REF!)</f>
        <v>#REF!</v>
      </c>
      <c r="G44" s="1"/>
      <c r="H44" s="16" t="e">
        <f>(I43+(Crescimento!#REF!-(I43*0.64))/0.8)/1000</f>
        <v>#REF!</v>
      </c>
      <c r="I44" s="17" t="e">
        <f>-53.07 + (304.89 * (H44)) + (90.79 *Crescimento!#REF!) - (3.13 * Crescimento!#REF!*Crescimento!#REF!)</f>
        <v>#REF!</v>
      </c>
      <c r="K44" s="16" t="e">
        <f>(L43+(Crescimento!#REF!-(L43*0.64))/0.8)/1000</f>
        <v>#REF!</v>
      </c>
      <c r="L44" s="17" t="e">
        <f>-53.07 + (304.89 * (K44)) + (90.79 *Crescimento!#REF!) - (3.13 * Crescimento!#REF!*Crescimento!#REF!)</f>
        <v>#REF!</v>
      </c>
      <c r="N44" s="16" t="e">
        <f>(O43+(Crescimento!#REF!-(O43*0.64))/0.8)/1000</f>
        <v>#REF!</v>
      </c>
      <c r="O44" s="17" t="e">
        <f>-53.07 + (304.89 * (N44)) + (90.79 *Crescimento!#REF!) - (3.13 * Crescimento!#REF!*Crescimento!#REF!)</f>
        <v>#REF!</v>
      </c>
      <c r="Q44" s="16" t="e">
        <f>(R43+(Crescimento!#REF!-(R43*0.64))/0.8)/1000</f>
        <v>#REF!</v>
      </c>
      <c r="R44" s="17" t="e">
        <f>-53.07 + (304.89 * (Q44)) + (90.79 *Crescimento!#REF!) - (3.13 * Crescimento!#REF!*Crescimento!#REF!)</f>
        <v>#REF!</v>
      </c>
      <c r="T44" s="16" t="e">
        <f>(U43+(Crescimento!#REF!-(U43*0.64))/0.8)/1000</f>
        <v>#REF!</v>
      </c>
      <c r="U44" s="17" t="e">
        <f>-53.07 + (304.89 * (T44)) + (90.79 *Crescimento!#REF!) - (3.13 * Crescimento!#REF!*Crescimento!#REF!)</f>
        <v>#REF!</v>
      </c>
      <c r="W44" s="16" t="e">
        <f>(X43+(Crescimento!#REF!-(X43*0.64))/0.8)/1000</f>
        <v>#REF!</v>
      </c>
      <c r="X44" s="17" t="e">
        <f>-53.07 + (304.89 * (W44)) + (90.79 *Crescimento!#REF!) - (3.13 * Crescimento!#REF!*Crescimento!#REF!)</f>
        <v>#REF!</v>
      </c>
      <c r="Y44" s="6"/>
      <c r="Z44" s="16" t="e">
        <f>(AA43+(Crescimento!#REF!-(AA43*0.64))/0.8)/1000</f>
        <v>#REF!</v>
      </c>
      <c r="AA44" s="17" t="e">
        <f>-53.07 + (304.89 * (Z44)) + (90.79 *Crescimento!#REF!) - (3.13 * Crescimento!#REF!*Crescimento!#REF!)</f>
        <v>#REF!</v>
      </c>
      <c r="AB44" s="6"/>
      <c r="AC44" s="16" t="e">
        <f>(AD43+(Crescimento!#REF!-(AD43*0.64))/0.8)/1000</f>
        <v>#REF!</v>
      </c>
      <c r="AD44" s="17" t="e">
        <f>-53.07 + (304.89 * (AC44)) + (90.79 *Crescimento!#REF!) - (3.13 * Crescimento!#REF!*Crescimento!#REF!)</f>
        <v>#REF!</v>
      </c>
      <c r="AE44" s="17"/>
      <c r="AF44" s="16" t="e">
        <f>(AG43+(Crescimento!#REF!-(AG43*0.64))/0.8)/1000</f>
        <v>#REF!</v>
      </c>
      <c r="AG44" s="17" t="e">
        <f>-53.07 + (304.89 * (AF44)) + (90.79 *Crescimento!#REF!) - (3.13 * Crescimento!#REF!*Crescimento!#REF!)</f>
        <v>#REF!</v>
      </c>
      <c r="AI44" s="16" t="e">
        <f>(AJ43+(Crescimento!#REF!-(AJ43*0.64))/0.8)/1000</f>
        <v>#REF!</v>
      </c>
      <c r="AJ44" s="17" t="e">
        <f>-53.07 + (304.89 * (AI44)) + (90.79 *Crescimento!#REF!) - (3.13 * Crescimento!#REF!*Crescimento!#REF!)</f>
        <v>#REF!</v>
      </c>
      <c r="AL44" s="16" t="e">
        <f>(AM43+(Crescimento!#REF!-(AM43*0.64))/0.8)/1000</f>
        <v>#REF!</v>
      </c>
      <c r="AM44" s="17" t="e">
        <f>-53.07 + (304.89 * (AL44)) + (90.79 *Crescimento!#REF!) - (3.13 * Crescimento!#REF!*Crescimento!#REF!)</f>
        <v>#REF!</v>
      </c>
      <c r="AO44" s="16" t="e">
        <f>(AP43+(Crescimento!#REF!-(AP43*0.64))/0.8)/1000</f>
        <v>#REF!</v>
      </c>
      <c r="AP44" s="17" t="e">
        <f>-53.07 + (304.89 * (AO44)) + (90.79 *Crescimento!#REF!) - (3.13 * Crescimento!#REF!*Crescimento!#REF!)</f>
        <v>#REF!</v>
      </c>
      <c r="AR44" s="16" t="e">
        <f>(AS43+(Crescimento!#REF!-(AS43*0.64))/0.8)/1000</f>
        <v>#REF!</v>
      </c>
      <c r="AS44" s="17" t="e">
        <f>-53.07 + (304.89 * (AR44)) + (90.79 *Crescimento!#REF!) - (3.13 * Crescimento!#REF!*Crescimento!#REF!)</f>
        <v>#REF!</v>
      </c>
      <c r="AU44" s="16" t="e">
        <f>(AV43+(Crescimento!#REF!-(AV43*0.64))/0.8)/1000</f>
        <v>#REF!</v>
      </c>
      <c r="AV44" s="17" t="e">
        <f>-53.07 + (304.89 * (AU44)) + (90.79 *Crescimento!#REF!) - (3.13 * Crescimento!#REF!*Crescimento!#REF!)</f>
        <v>#REF!</v>
      </c>
      <c r="AX44" s="16" t="e">
        <f>(AY43+(Crescimento!#REF!-(AY43*0.64))/0.8)/1000</f>
        <v>#REF!</v>
      </c>
      <c r="AY44" s="17" t="e">
        <f>-53.07 + (304.89 * (AX44)) + (90.79 *Crescimento!#REF!) - (3.13 * Crescimento!#REF!*Crescimento!#REF!)</f>
        <v>#REF!</v>
      </c>
      <c r="BA44" s="16" t="e">
        <f>(BB43+(Crescimento!#REF!-(BB43*0.64))/0.8)/1000</f>
        <v>#REF!</v>
      </c>
      <c r="BB44" s="17" t="e">
        <f>-53.07 + (304.89 * (BA44)) + (90.79 *Crescimento!#REF!) - (3.13 * Crescimento!#REF!*Crescimento!#REF!)</f>
        <v>#REF!</v>
      </c>
      <c r="BD44" s="16" t="e">
        <f>(BE43+(Crescimento!#REF!-(BE43*0.64))/0.8)/1000</f>
        <v>#REF!</v>
      </c>
      <c r="BE44" s="17" t="e">
        <f>-53.07 + (304.89 * (BD44)) + (90.79 *Crescimento!#REF!) - (3.13 * Crescimento!#REF!*Crescimento!#REF!)</f>
        <v>#REF!</v>
      </c>
      <c r="BG44" s="16" t="e">
        <f>(BH43+(Crescimento!#REF!-(BH43*0.64))/0.8)/1000</f>
        <v>#REF!</v>
      </c>
      <c r="BH44" s="17" t="e">
        <f>-53.07 + (304.89 * (BG44)) + (90.79 *Crescimento!#REF!) - (3.13 * Crescimento!#REF!*Crescimento!#REF!)</f>
        <v>#REF!</v>
      </c>
      <c r="BJ44" s="16" t="e">
        <f>(BK43+(Crescimento!#REF!-(BK43*0.64))/0.8)/1000</f>
        <v>#REF!</v>
      </c>
      <c r="BK44" s="17" t="e">
        <f>-53.07 + (304.89 * (BJ44)) + (90.79 *Crescimento!#REF!) - (3.13 * Crescimento!#REF!*Crescimento!#REF!)</f>
        <v>#REF!</v>
      </c>
      <c r="BM44" s="16" t="e">
        <f>(BN43+(Crescimento!#REF!-(BN43*0.64))/0.8)/1000</f>
        <v>#REF!</v>
      </c>
      <c r="BN44" s="17" t="e">
        <f>-53.07 + (304.89 * (BM44)) + (90.79 *Crescimento!#REF!) - (3.13 * Crescimento!#REF!*Crescimento!#REF!)</f>
        <v>#REF!</v>
      </c>
      <c r="BP44" s="16" t="e">
        <f>(BQ43+(Crescimento!#REF!-(BQ43*0.64))/0.8)/1000</f>
        <v>#REF!</v>
      </c>
      <c r="BQ44" s="17" t="e">
        <f>-53.07 + (304.89 * (BP44)) + (90.79 *Crescimento!#REF!) - (3.13 * Crescimento!#REF!*Crescimento!#REF!)</f>
        <v>#REF!</v>
      </c>
      <c r="BS44" s="16" t="e">
        <f>(BT43+(Crescimento!#REF!-(BT43*0.64))/0.8)/1000</f>
        <v>#REF!</v>
      </c>
      <c r="BT44" s="17" t="e">
        <f>-53.07 + (304.89 * (BS44)) + (90.79 *Crescimento!#REF!) - (3.13 * Crescimento!#REF!*Crescimento!#REF!)</f>
        <v>#REF!</v>
      </c>
      <c r="BV44" s="16" t="e">
        <f>(BW43+(Crescimento!#REF!-(BW43*0.64))/0.8)/1000</f>
        <v>#REF!</v>
      </c>
      <c r="BW44" s="17" t="e">
        <f>-53.07 + (304.89 * (BV44)) + (90.79 *Crescimento!#REF!) - (3.13 * Crescimento!#REF!*Crescimento!#REF!)</f>
        <v>#REF!</v>
      </c>
      <c r="BY44" s="16" t="e">
        <f>(BZ43+(Crescimento!#REF!-(BZ43*0.64))/0.8)/1000</f>
        <v>#REF!</v>
      </c>
      <c r="BZ44" s="17" t="e">
        <f>-53.07 + (304.89 * (BY44)) + (90.79 *Crescimento!#REF!) - (3.13 * Crescimento!#REF!*Crescimento!#REF!)</f>
        <v>#REF!</v>
      </c>
      <c r="CB44" s="16" t="e">
        <f>(CC43+(Crescimento!#REF!-(CC43*0.64))/0.8)/1000</f>
        <v>#REF!</v>
      </c>
      <c r="CC44" s="17" t="e">
        <f>-53.07 + (304.89 * (CB44)) + (90.79 *Crescimento!#REF!) - (3.13 * Crescimento!#REF!*Crescimento!#REF!)</f>
        <v>#REF!</v>
      </c>
      <c r="CE44" s="16" t="e">
        <f>(CF43+(Crescimento!#REF!-(CF43*0.64))/0.8)/1000</f>
        <v>#REF!</v>
      </c>
      <c r="CF44" s="17" t="e">
        <f>-53.07 + (304.89 * (CE44)) + (90.79 *Crescimento!#REF!) - (3.13 * Crescimento!#REF!*Crescimento!#REF!)</f>
        <v>#REF!</v>
      </c>
      <c r="CH44" s="16" t="e">
        <f>(CI43+(Crescimento!#REF!-(CI43*0.64))/0.8)/1000</f>
        <v>#REF!</v>
      </c>
      <c r="CI44" s="17" t="e">
        <f>-53.07 + (304.89 * (CH44)) + (90.79 *Crescimento!#REF!) - (3.13 * Crescimento!#REF!*Crescimento!#REF!)</f>
        <v>#REF!</v>
      </c>
      <c r="CK44" s="16" t="e">
        <f>(CL43+(Crescimento!#REF!-(CL43*0.64))/0.8)/1000</f>
        <v>#REF!</v>
      </c>
      <c r="CL44" s="17" t="e">
        <f>-53.07 + (304.89 * (CK44)) + (90.79 *Crescimento!#REF!) - (3.13 * Crescimento!#REF!*Crescimento!#REF!)</f>
        <v>#REF!</v>
      </c>
    </row>
    <row r="45" spans="2:90" x14ac:dyDescent="0.25">
      <c r="B45" s="16">
        <f>(C44+('Vacas e Bezerros'!$O$29-(C44*0.64))/0.8)/1000</f>
        <v>1.1219974776113528</v>
      </c>
      <c r="C45" s="17">
        <f>-53.07 + (304.89 * (B45)) + (90.79 *'Vacas e Bezerros'!$O$23) - (3.13 * 'Vacas e Bezerros'!$O$23*'Vacas e Bezerros'!$O$23)</f>
        <v>715.77733851110622</v>
      </c>
      <c r="E45" s="16" t="e">
        <f>(F44+(Crescimento!#REF!-(F44*0.64))/0.8)/1000</f>
        <v>#REF!</v>
      </c>
      <c r="F45" s="17" t="e">
        <f>-53.07 + (304.89 * (E45)) + (90.79 *Crescimento!#REF!) - (3.13 * Crescimento!#REF!*Crescimento!#REF!)</f>
        <v>#REF!</v>
      </c>
      <c r="G45" s="1"/>
      <c r="H45" s="16" t="e">
        <f>(I44+(Crescimento!#REF!-(I44*0.64))/0.8)/1000</f>
        <v>#REF!</v>
      </c>
      <c r="I45" s="17" t="e">
        <f>-53.07 + (304.89 * (H45)) + (90.79 *Crescimento!#REF!) - (3.13 * Crescimento!#REF!*Crescimento!#REF!)</f>
        <v>#REF!</v>
      </c>
      <c r="K45" s="16" t="e">
        <f>(L44+(Crescimento!#REF!-(L44*0.64))/0.8)/1000</f>
        <v>#REF!</v>
      </c>
      <c r="L45" s="17" t="e">
        <f>-53.07 + (304.89 * (K45)) + (90.79 *Crescimento!#REF!) - (3.13 * Crescimento!#REF!*Crescimento!#REF!)</f>
        <v>#REF!</v>
      </c>
      <c r="N45" s="16" t="e">
        <f>(O44+(Crescimento!#REF!-(O44*0.64))/0.8)/1000</f>
        <v>#REF!</v>
      </c>
      <c r="O45" s="17" t="e">
        <f>-53.07 + (304.89 * (N45)) + (90.79 *Crescimento!#REF!) - (3.13 * Crescimento!#REF!*Crescimento!#REF!)</f>
        <v>#REF!</v>
      </c>
      <c r="Q45" s="16" t="e">
        <f>(R44+(Crescimento!#REF!-(R44*0.64))/0.8)/1000</f>
        <v>#REF!</v>
      </c>
      <c r="R45" s="17" t="e">
        <f>-53.07 + (304.89 * (Q45)) + (90.79 *Crescimento!#REF!) - (3.13 * Crescimento!#REF!*Crescimento!#REF!)</f>
        <v>#REF!</v>
      </c>
      <c r="T45" s="16" t="e">
        <f>(U44+(Crescimento!#REF!-(U44*0.64))/0.8)/1000</f>
        <v>#REF!</v>
      </c>
      <c r="U45" s="17" t="e">
        <f>-53.07 + (304.89 * (T45)) + (90.79 *Crescimento!#REF!) - (3.13 * Crescimento!#REF!*Crescimento!#REF!)</f>
        <v>#REF!</v>
      </c>
      <c r="W45" s="16" t="e">
        <f>(X44+(Crescimento!#REF!-(X44*0.64))/0.8)/1000</f>
        <v>#REF!</v>
      </c>
      <c r="X45" s="17" t="e">
        <f>-53.07 + (304.89 * (W45)) + (90.79 *Crescimento!#REF!) - (3.13 * Crescimento!#REF!*Crescimento!#REF!)</f>
        <v>#REF!</v>
      </c>
      <c r="Y45" s="6"/>
      <c r="Z45" s="16" t="e">
        <f>(AA44+(Crescimento!#REF!-(AA44*0.64))/0.8)/1000</f>
        <v>#REF!</v>
      </c>
      <c r="AA45" s="17" t="e">
        <f>-53.07 + (304.89 * (Z45)) + (90.79 *Crescimento!#REF!) - (3.13 * Crescimento!#REF!*Crescimento!#REF!)</f>
        <v>#REF!</v>
      </c>
      <c r="AB45" s="6"/>
      <c r="AC45" s="16" t="e">
        <f>(AD44+(Crescimento!#REF!-(AD44*0.64))/0.8)/1000</f>
        <v>#REF!</v>
      </c>
      <c r="AD45" s="17" t="e">
        <f>-53.07 + (304.89 * (AC45)) + (90.79 *Crescimento!#REF!) - (3.13 * Crescimento!#REF!*Crescimento!#REF!)</f>
        <v>#REF!</v>
      </c>
      <c r="AE45" s="17"/>
      <c r="AF45" s="16" t="e">
        <f>(AG44+(Crescimento!#REF!-(AG44*0.64))/0.8)/1000</f>
        <v>#REF!</v>
      </c>
      <c r="AG45" s="17" t="e">
        <f>-53.07 + (304.89 * (AF45)) + (90.79 *Crescimento!#REF!) - (3.13 * Crescimento!#REF!*Crescimento!#REF!)</f>
        <v>#REF!</v>
      </c>
      <c r="AI45" s="16" t="e">
        <f>(AJ44+(Crescimento!#REF!-(AJ44*0.64))/0.8)/1000</f>
        <v>#REF!</v>
      </c>
      <c r="AJ45" s="17" t="e">
        <f>-53.07 + (304.89 * (AI45)) + (90.79 *Crescimento!#REF!) - (3.13 * Crescimento!#REF!*Crescimento!#REF!)</f>
        <v>#REF!</v>
      </c>
      <c r="AL45" s="16" t="e">
        <f>(AM44+(Crescimento!#REF!-(AM44*0.64))/0.8)/1000</f>
        <v>#REF!</v>
      </c>
      <c r="AM45" s="17" t="e">
        <f>-53.07 + (304.89 * (AL45)) + (90.79 *Crescimento!#REF!) - (3.13 * Crescimento!#REF!*Crescimento!#REF!)</f>
        <v>#REF!</v>
      </c>
      <c r="AO45" s="16" t="e">
        <f>(AP44+(Crescimento!#REF!-(AP44*0.64))/0.8)/1000</f>
        <v>#REF!</v>
      </c>
      <c r="AP45" s="17" t="e">
        <f>-53.07 + (304.89 * (AO45)) + (90.79 *Crescimento!#REF!) - (3.13 * Crescimento!#REF!*Crescimento!#REF!)</f>
        <v>#REF!</v>
      </c>
      <c r="AR45" s="16" t="e">
        <f>(AS44+(Crescimento!#REF!-(AS44*0.64))/0.8)/1000</f>
        <v>#REF!</v>
      </c>
      <c r="AS45" s="17" t="e">
        <f>-53.07 + (304.89 * (AR45)) + (90.79 *Crescimento!#REF!) - (3.13 * Crescimento!#REF!*Crescimento!#REF!)</f>
        <v>#REF!</v>
      </c>
      <c r="AU45" s="16" t="e">
        <f>(AV44+(Crescimento!#REF!-(AV44*0.64))/0.8)/1000</f>
        <v>#REF!</v>
      </c>
      <c r="AV45" s="17" t="e">
        <f>-53.07 + (304.89 * (AU45)) + (90.79 *Crescimento!#REF!) - (3.13 * Crescimento!#REF!*Crescimento!#REF!)</f>
        <v>#REF!</v>
      </c>
      <c r="AX45" s="16" t="e">
        <f>(AY44+(Crescimento!#REF!-(AY44*0.64))/0.8)/1000</f>
        <v>#REF!</v>
      </c>
      <c r="AY45" s="17" t="e">
        <f>-53.07 + (304.89 * (AX45)) + (90.79 *Crescimento!#REF!) - (3.13 * Crescimento!#REF!*Crescimento!#REF!)</f>
        <v>#REF!</v>
      </c>
      <c r="BA45" s="16" t="e">
        <f>(BB44+(Crescimento!#REF!-(BB44*0.64))/0.8)/1000</f>
        <v>#REF!</v>
      </c>
      <c r="BB45" s="17" t="e">
        <f>-53.07 + (304.89 * (BA45)) + (90.79 *Crescimento!#REF!) - (3.13 * Crescimento!#REF!*Crescimento!#REF!)</f>
        <v>#REF!</v>
      </c>
      <c r="BD45" s="16" t="e">
        <f>(BE44+(Crescimento!#REF!-(BE44*0.64))/0.8)/1000</f>
        <v>#REF!</v>
      </c>
      <c r="BE45" s="17" t="e">
        <f>-53.07 + (304.89 * (BD45)) + (90.79 *Crescimento!#REF!) - (3.13 * Crescimento!#REF!*Crescimento!#REF!)</f>
        <v>#REF!</v>
      </c>
      <c r="BG45" s="16" t="e">
        <f>(BH44+(Crescimento!#REF!-(BH44*0.64))/0.8)/1000</f>
        <v>#REF!</v>
      </c>
      <c r="BH45" s="17" t="e">
        <f>-53.07 + (304.89 * (BG45)) + (90.79 *Crescimento!#REF!) - (3.13 * Crescimento!#REF!*Crescimento!#REF!)</f>
        <v>#REF!</v>
      </c>
      <c r="BJ45" s="16" t="e">
        <f>(BK44+(Crescimento!#REF!-(BK44*0.64))/0.8)/1000</f>
        <v>#REF!</v>
      </c>
      <c r="BK45" s="17" t="e">
        <f>-53.07 + (304.89 * (BJ45)) + (90.79 *Crescimento!#REF!) - (3.13 * Crescimento!#REF!*Crescimento!#REF!)</f>
        <v>#REF!</v>
      </c>
      <c r="BM45" s="16" t="e">
        <f>(BN44+(Crescimento!#REF!-(BN44*0.64))/0.8)/1000</f>
        <v>#REF!</v>
      </c>
      <c r="BN45" s="17" t="e">
        <f>-53.07 + (304.89 * (BM45)) + (90.79 *Crescimento!#REF!) - (3.13 * Crescimento!#REF!*Crescimento!#REF!)</f>
        <v>#REF!</v>
      </c>
      <c r="BP45" s="16" t="e">
        <f>(BQ44+(Crescimento!#REF!-(BQ44*0.64))/0.8)/1000</f>
        <v>#REF!</v>
      </c>
      <c r="BQ45" s="17" t="e">
        <f>-53.07 + (304.89 * (BP45)) + (90.79 *Crescimento!#REF!) - (3.13 * Crescimento!#REF!*Crescimento!#REF!)</f>
        <v>#REF!</v>
      </c>
      <c r="BS45" s="16" t="e">
        <f>(BT44+(Crescimento!#REF!-(BT44*0.64))/0.8)/1000</f>
        <v>#REF!</v>
      </c>
      <c r="BT45" s="17" t="e">
        <f>-53.07 + (304.89 * (BS45)) + (90.79 *Crescimento!#REF!) - (3.13 * Crescimento!#REF!*Crescimento!#REF!)</f>
        <v>#REF!</v>
      </c>
      <c r="BV45" s="16" t="e">
        <f>(BW44+(Crescimento!#REF!-(BW44*0.64))/0.8)/1000</f>
        <v>#REF!</v>
      </c>
      <c r="BW45" s="17" t="e">
        <f>-53.07 + (304.89 * (BV45)) + (90.79 *Crescimento!#REF!) - (3.13 * Crescimento!#REF!*Crescimento!#REF!)</f>
        <v>#REF!</v>
      </c>
      <c r="BY45" s="16" t="e">
        <f>(BZ44+(Crescimento!#REF!-(BZ44*0.64))/0.8)/1000</f>
        <v>#REF!</v>
      </c>
      <c r="BZ45" s="17" t="e">
        <f>-53.07 + (304.89 * (BY45)) + (90.79 *Crescimento!#REF!) - (3.13 * Crescimento!#REF!*Crescimento!#REF!)</f>
        <v>#REF!</v>
      </c>
      <c r="CB45" s="16" t="e">
        <f>(CC44+(Crescimento!#REF!-(CC44*0.64))/0.8)/1000</f>
        <v>#REF!</v>
      </c>
      <c r="CC45" s="17" t="e">
        <f>-53.07 + (304.89 * (CB45)) + (90.79 *Crescimento!#REF!) - (3.13 * Crescimento!#REF!*Crescimento!#REF!)</f>
        <v>#REF!</v>
      </c>
      <c r="CE45" s="16" t="e">
        <f>(CF44+(Crescimento!#REF!-(CF44*0.64))/0.8)/1000</f>
        <v>#REF!</v>
      </c>
      <c r="CF45" s="17" t="e">
        <f>-53.07 + (304.89 * (CE45)) + (90.79 *Crescimento!#REF!) - (3.13 * Crescimento!#REF!*Crescimento!#REF!)</f>
        <v>#REF!</v>
      </c>
      <c r="CH45" s="16" t="e">
        <f>(CI44+(Crescimento!#REF!-(CI44*0.64))/0.8)/1000</f>
        <v>#REF!</v>
      </c>
      <c r="CI45" s="17" t="e">
        <f>-53.07 + (304.89 * (CH45)) + (90.79 *Crescimento!#REF!) - (3.13 * Crescimento!#REF!*Crescimento!#REF!)</f>
        <v>#REF!</v>
      </c>
      <c r="CK45" s="16" t="e">
        <f>(CL44+(Crescimento!#REF!-(CL44*0.64))/0.8)/1000</f>
        <v>#REF!</v>
      </c>
      <c r="CL45" s="17" t="e">
        <f>-53.07 + (304.89 * (CK45)) + (90.79 *Crescimento!#REF!) - (3.13 * Crescimento!#REF!*Crescimento!#REF!)</f>
        <v>#REF!</v>
      </c>
    </row>
    <row r="46" spans="2:90" x14ac:dyDescent="0.25">
      <c r="B46" s="16">
        <f>(C45+('Vacas e Bezerros'!$O$29-(C45*0.64))/0.8)/1000</f>
        <v>1.1219974776113528</v>
      </c>
      <c r="C46" s="17">
        <f>-53.07 + (304.89 * (B46)) + (90.79 *'Vacas e Bezerros'!$O$23) - (3.13 * 'Vacas e Bezerros'!$O$23*'Vacas e Bezerros'!$O$23)</f>
        <v>715.77733851110622</v>
      </c>
      <c r="E46" s="16" t="e">
        <f>(F45+(Crescimento!#REF!-(F45*0.64))/0.8)/1000</f>
        <v>#REF!</v>
      </c>
      <c r="F46" s="17" t="e">
        <f>-53.07 + (304.89 * (E46)) + (90.79 *Crescimento!#REF!) - (3.13 * Crescimento!#REF!*Crescimento!#REF!)</f>
        <v>#REF!</v>
      </c>
      <c r="G46" s="1"/>
      <c r="H46" s="16" t="e">
        <f>(I45+(Crescimento!#REF!-(I45*0.64))/0.8)/1000</f>
        <v>#REF!</v>
      </c>
      <c r="I46" s="17" t="e">
        <f>-53.07 + (304.89 * (H46)) + (90.79 *Crescimento!#REF!) - (3.13 * Crescimento!#REF!*Crescimento!#REF!)</f>
        <v>#REF!</v>
      </c>
      <c r="K46" s="16" t="e">
        <f>(L45+(Crescimento!#REF!-(L45*0.64))/0.8)/1000</f>
        <v>#REF!</v>
      </c>
      <c r="L46" s="17" t="e">
        <f>-53.07 + (304.89 * (K46)) + (90.79 *Crescimento!#REF!) - (3.13 * Crescimento!#REF!*Crescimento!#REF!)</f>
        <v>#REF!</v>
      </c>
      <c r="N46" s="16" t="e">
        <f>(O45+(Crescimento!#REF!-(O45*0.64))/0.8)/1000</f>
        <v>#REF!</v>
      </c>
      <c r="O46" s="17" t="e">
        <f>-53.07 + (304.89 * (N46)) + (90.79 *Crescimento!#REF!) - (3.13 * Crescimento!#REF!*Crescimento!#REF!)</f>
        <v>#REF!</v>
      </c>
      <c r="Q46" s="16" t="e">
        <f>(R45+(Crescimento!#REF!-(R45*0.64))/0.8)/1000</f>
        <v>#REF!</v>
      </c>
      <c r="R46" s="17" t="e">
        <f>-53.07 + (304.89 * (Q46)) + (90.79 *Crescimento!#REF!) - (3.13 * Crescimento!#REF!*Crescimento!#REF!)</f>
        <v>#REF!</v>
      </c>
      <c r="T46" s="16" t="e">
        <f>(U45+(Crescimento!#REF!-(U45*0.64))/0.8)/1000</f>
        <v>#REF!</v>
      </c>
      <c r="U46" s="17" t="e">
        <f>-53.07 + (304.89 * (T46)) + (90.79 *Crescimento!#REF!) - (3.13 * Crescimento!#REF!*Crescimento!#REF!)</f>
        <v>#REF!</v>
      </c>
      <c r="W46" s="16" t="e">
        <f>(X45+(Crescimento!#REF!-(X45*0.64))/0.8)/1000</f>
        <v>#REF!</v>
      </c>
      <c r="X46" s="17" t="e">
        <f>-53.07 + (304.89 * (W46)) + (90.79 *Crescimento!#REF!) - (3.13 * Crescimento!#REF!*Crescimento!#REF!)</f>
        <v>#REF!</v>
      </c>
      <c r="Y46" s="6"/>
      <c r="Z46" s="16" t="e">
        <f>(AA45+(Crescimento!#REF!-(AA45*0.64))/0.8)/1000</f>
        <v>#REF!</v>
      </c>
      <c r="AA46" s="17" t="e">
        <f>-53.07 + (304.89 * (Z46)) + (90.79 *Crescimento!#REF!) - (3.13 * Crescimento!#REF!*Crescimento!#REF!)</f>
        <v>#REF!</v>
      </c>
      <c r="AB46" s="6"/>
      <c r="AC46" s="16" t="e">
        <f>(AD45+(Crescimento!#REF!-(AD45*0.64))/0.8)/1000</f>
        <v>#REF!</v>
      </c>
      <c r="AD46" s="17" t="e">
        <f>-53.07 + (304.89 * (AC46)) + (90.79 *Crescimento!#REF!) - (3.13 * Crescimento!#REF!*Crescimento!#REF!)</f>
        <v>#REF!</v>
      </c>
      <c r="AE46" s="17"/>
      <c r="AF46" s="16" t="e">
        <f>(AG45+(Crescimento!#REF!-(AG45*0.64))/0.8)/1000</f>
        <v>#REF!</v>
      </c>
      <c r="AG46" s="17" t="e">
        <f>-53.07 + (304.89 * (AF46)) + (90.79 *Crescimento!#REF!) - (3.13 * Crescimento!#REF!*Crescimento!#REF!)</f>
        <v>#REF!</v>
      </c>
      <c r="AI46" s="16" t="e">
        <f>(AJ45+(Crescimento!#REF!-(AJ45*0.64))/0.8)/1000</f>
        <v>#REF!</v>
      </c>
      <c r="AJ46" s="17" t="e">
        <f>-53.07 + (304.89 * (AI46)) + (90.79 *Crescimento!#REF!) - (3.13 * Crescimento!#REF!*Crescimento!#REF!)</f>
        <v>#REF!</v>
      </c>
      <c r="AL46" s="16" t="e">
        <f>(AM45+(Crescimento!#REF!-(AM45*0.64))/0.8)/1000</f>
        <v>#REF!</v>
      </c>
      <c r="AM46" s="17" t="e">
        <f>-53.07 + (304.89 * (AL46)) + (90.79 *Crescimento!#REF!) - (3.13 * Crescimento!#REF!*Crescimento!#REF!)</f>
        <v>#REF!</v>
      </c>
      <c r="AO46" s="16" t="e">
        <f>(AP45+(Crescimento!#REF!-(AP45*0.64))/0.8)/1000</f>
        <v>#REF!</v>
      </c>
      <c r="AP46" s="17" t="e">
        <f>-53.07 + (304.89 * (AO46)) + (90.79 *Crescimento!#REF!) - (3.13 * Crescimento!#REF!*Crescimento!#REF!)</f>
        <v>#REF!</v>
      </c>
      <c r="AR46" s="16" t="e">
        <f>(AS45+(Crescimento!#REF!-(AS45*0.64))/0.8)/1000</f>
        <v>#REF!</v>
      </c>
      <c r="AS46" s="17" t="e">
        <f>-53.07 + (304.89 * (AR46)) + (90.79 *Crescimento!#REF!) - (3.13 * Crescimento!#REF!*Crescimento!#REF!)</f>
        <v>#REF!</v>
      </c>
      <c r="AU46" s="16" t="e">
        <f>(AV45+(Crescimento!#REF!-(AV45*0.64))/0.8)/1000</f>
        <v>#REF!</v>
      </c>
      <c r="AV46" s="17" t="e">
        <f>-53.07 + (304.89 * (AU46)) + (90.79 *Crescimento!#REF!) - (3.13 * Crescimento!#REF!*Crescimento!#REF!)</f>
        <v>#REF!</v>
      </c>
      <c r="AX46" s="16" t="e">
        <f>(AY45+(Crescimento!#REF!-(AY45*0.64))/0.8)/1000</f>
        <v>#REF!</v>
      </c>
      <c r="AY46" s="17" t="e">
        <f>-53.07 + (304.89 * (AX46)) + (90.79 *Crescimento!#REF!) - (3.13 * Crescimento!#REF!*Crescimento!#REF!)</f>
        <v>#REF!</v>
      </c>
      <c r="BA46" s="16" t="e">
        <f>(BB45+(Crescimento!#REF!-(BB45*0.64))/0.8)/1000</f>
        <v>#REF!</v>
      </c>
      <c r="BB46" s="17" t="e">
        <f>-53.07 + (304.89 * (BA46)) + (90.79 *Crescimento!#REF!) - (3.13 * Crescimento!#REF!*Crescimento!#REF!)</f>
        <v>#REF!</v>
      </c>
      <c r="BD46" s="16" t="e">
        <f>(BE45+(Crescimento!#REF!-(BE45*0.64))/0.8)/1000</f>
        <v>#REF!</v>
      </c>
      <c r="BE46" s="17" t="e">
        <f>-53.07 + (304.89 * (BD46)) + (90.79 *Crescimento!#REF!) - (3.13 * Crescimento!#REF!*Crescimento!#REF!)</f>
        <v>#REF!</v>
      </c>
      <c r="BG46" s="16" t="e">
        <f>(BH45+(Crescimento!#REF!-(BH45*0.64))/0.8)/1000</f>
        <v>#REF!</v>
      </c>
      <c r="BH46" s="17" t="e">
        <f>-53.07 + (304.89 * (BG46)) + (90.79 *Crescimento!#REF!) - (3.13 * Crescimento!#REF!*Crescimento!#REF!)</f>
        <v>#REF!</v>
      </c>
      <c r="BJ46" s="16" t="e">
        <f>(BK45+(Crescimento!#REF!-(BK45*0.64))/0.8)/1000</f>
        <v>#REF!</v>
      </c>
      <c r="BK46" s="17" t="e">
        <f>-53.07 + (304.89 * (BJ46)) + (90.79 *Crescimento!#REF!) - (3.13 * Crescimento!#REF!*Crescimento!#REF!)</f>
        <v>#REF!</v>
      </c>
      <c r="BM46" s="16" t="e">
        <f>(BN45+(Crescimento!#REF!-(BN45*0.64))/0.8)/1000</f>
        <v>#REF!</v>
      </c>
      <c r="BN46" s="17" t="e">
        <f>-53.07 + (304.89 * (BM46)) + (90.79 *Crescimento!#REF!) - (3.13 * Crescimento!#REF!*Crescimento!#REF!)</f>
        <v>#REF!</v>
      </c>
      <c r="BP46" s="16" t="e">
        <f>(BQ45+(Crescimento!#REF!-(BQ45*0.64))/0.8)/1000</f>
        <v>#REF!</v>
      </c>
      <c r="BQ46" s="17" t="e">
        <f>-53.07 + (304.89 * (BP46)) + (90.79 *Crescimento!#REF!) - (3.13 * Crescimento!#REF!*Crescimento!#REF!)</f>
        <v>#REF!</v>
      </c>
      <c r="BS46" s="16" t="e">
        <f>(BT45+(Crescimento!#REF!-(BT45*0.64))/0.8)/1000</f>
        <v>#REF!</v>
      </c>
      <c r="BT46" s="17" t="e">
        <f>-53.07 + (304.89 * (BS46)) + (90.79 *Crescimento!#REF!) - (3.13 * Crescimento!#REF!*Crescimento!#REF!)</f>
        <v>#REF!</v>
      </c>
      <c r="BV46" s="16" t="e">
        <f>(BW45+(Crescimento!#REF!-(BW45*0.64))/0.8)/1000</f>
        <v>#REF!</v>
      </c>
      <c r="BW46" s="17" t="e">
        <f>-53.07 + (304.89 * (BV46)) + (90.79 *Crescimento!#REF!) - (3.13 * Crescimento!#REF!*Crescimento!#REF!)</f>
        <v>#REF!</v>
      </c>
      <c r="BY46" s="16" t="e">
        <f>(BZ45+(Crescimento!#REF!-(BZ45*0.64))/0.8)/1000</f>
        <v>#REF!</v>
      </c>
      <c r="BZ46" s="17" t="e">
        <f>-53.07 + (304.89 * (BY46)) + (90.79 *Crescimento!#REF!) - (3.13 * Crescimento!#REF!*Crescimento!#REF!)</f>
        <v>#REF!</v>
      </c>
      <c r="CB46" s="16" t="e">
        <f>(CC45+(Crescimento!#REF!-(CC45*0.64))/0.8)/1000</f>
        <v>#REF!</v>
      </c>
      <c r="CC46" s="17" t="e">
        <f>-53.07 + (304.89 * (CB46)) + (90.79 *Crescimento!#REF!) - (3.13 * Crescimento!#REF!*Crescimento!#REF!)</f>
        <v>#REF!</v>
      </c>
      <c r="CE46" s="16" t="e">
        <f>(CF45+(Crescimento!#REF!-(CF45*0.64))/0.8)/1000</f>
        <v>#REF!</v>
      </c>
      <c r="CF46" s="17" t="e">
        <f>-53.07 + (304.89 * (CE46)) + (90.79 *Crescimento!#REF!) - (3.13 * Crescimento!#REF!*Crescimento!#REF!)</f>
        <v>#REF!</v>
      </c>
      <c r="CH46" s="16" t="e">
        <f>(CI45+(Crescimento!#REF!-(CI45*0.64))/0.8)/1000</f>
        <v>#REF!</v>
      </c>
      <c r="CI46" s="17" t="e">
        <f>-53.07 + (304.89 * (CH46)) + (90.79 *Crescimento!#REF!) - (3.13 * Crescimento!#REF!*Crescimento!#REF!)</f>
        <v>#REF!</v>
      </c>
      <c r="CK46" s="16" t="e">
        <f>(CL45+(Crescimento!#REF!-(CL45*0.64))/0.8)/1000</f>
        <v>#REF!</v>
      </c>
      <c r="CL46" s="17" t="e">
        <f>-53.07 + (304.89 * (CK46)) + (90.79 *Crescimento!#REF!) - (3.13 * Crescimento!#REF!*Crescimento!#REF!)</f>
        <v>#REF!</v>
      </c>
    </row>
    <row r="47" spans="2:90" x14ac:dyDescent="0.25">
      <c r="B47" s="16">
        <f>(C46+('Vacas e Bezerros'!$O$29-(C46*0.64))/0.8)/1000</f>
        <v>1.1219974776113528</v>
      </c>
      <c r="C47" s="17">
        <f>-53.07 + (304.89 * (B47)) + (90.79 *'Vacas e Bezerros'!$O$23) - (3.13 * 'Vacas e Bezerros'!$O$23*'Vacas e Bezerros'!$O$23)</f>
        <v>715.77733851110622</v>
      </c>
      <c r="E47" s="16" t="e">
        <f>(F46+(Crescimento!#REF!-(F46*0.64))/0.8)/1000</f>
        <v>#REF!</v>
      </c>
      <c r="F47" s="17" t="e">
        <f>-53.07 + (304.89 * (E47)) + (90.79 *Crescimento!#REF!) - (3.13 * Crescimento!#REF!*Crescimento!#REF!)</f>
        <v>#REF!</v>
      </c>
      <c r="G47" s="1"/>
      <c r="H47" s="16" t="e">
        <f>(I46+(Crescimento!#REF!-(I46*0.64))/0.8)/1000</f>
        <v>#REF!</v>
      </c>
      <c r="I47" s="17" t="e">
        <f>-53.07 + (304.89 * (H47)) + (90.79 *Crescimento!#REF!) - (3.13 * Crescimento!#REF!*Crescimento!#REF!)</f>
        <v>#REF!</v>
      </c>
      <c r="K47" s="16" t="e">
        <f>(L46+(Crescimento!#REF!-(L46*0.64))/0.8)/1000</f>
        <v>#REF!</v>
      </c>
      <c r="L47" s="17" t="e">
        <f>-53.07 + (304.89 * (K47)) + (90.79 *Crescimento!#REF!) - (3.13 * Crescimento!#REF!*Crescimento!#REF!)</f>
        <v>#REF!</v>
      </c>
      <c r="N47" s="16" t="e">
        <f>(O46+(Crescimento!#REF!-(O46*0.64))/0.8)/1000</f>
        <v>#REF!</v>
      </c>
      <c r="O47" s="17" t="e">
        <f>-53.07 + (304.89 * (N47)) + (90.79 *Crescimento!#REF!) - (3.13 * Crescimento!#REF!*Crescimento!#REF!)</f>
        <v>#REF!</v>
      </c>
      <c r="Q47" s="16" t="e">
        <f>(R46+(Crescimento!#REF!-(R46*0.64))/0.8)/1000</f>
        <v>#REF!</v>
      </c>
      <c r="R47" s="17" t="e">
        <f>-53.07 + (304.89 * (Q47)) + (90.79 *Crescimento!#REF!) - (3.13 * Crescimento!#REF!*Crescimento!#REF!)</f>
        <v>#REF!</v>
      </c>
      <c r="T47" s="16" t="e">
        <f>(U46+(Crescimento!#REF!-(U46*0.64))/0.8)/1000</f>
        <v>#REF!</v>
      </c>
      <c r="U47" s="17" t="e">
        <f>-53.07 + (304.89 * (T47)) + (90.79 *Crescimento!#REF!) - (3.13 * Crescimento!#REF!*Crescimento!#REF!)</f>
        <v>#REF!</v>
      </c>
      <c r="W47" s="16" t="e">
        <f>(X46+(Crescimento!#REF!-(X46*0.64))/0.8)/1000</f>
        <v>#REF!</v>
      </c>
      <c r="X47" s="17" t="e">
        <f>-53.07 + (304.89 * (W47)) + (90.79 *Crescimento!#REF!) - (3.13 * Crescimento!#REF!*Crescimento!#REF!)</f>
        <v>#REF!</v>
      </c>
      <c r="Y47" s="6"/>
      <c r="Z47" s="16" t="e">
        <f>(AA46+(Crescimento!#REF!-(AA46*0.64))/0.8)/1000</f>
        <v>#REF!</v>
      </c>
      <c r="AA47" s="17" t="e">
        <f>-53.07 + (304.89 * (Z47)) + (90.79 *Crescimento!#REF!) - (3.13 * Crescimento!#REF!*Crescimento!#REF!)</f>
        <v>#REF!</v>
      </c>
      <c r="AB47" s="6"/>
      <c r="AC47" s="16" t="e">
        <f>(AD46+(Crescimento!#REF!-(AD46*0.64))/0.8)/1000</f>
        <v>#REF!</v>
      </c>
      <c r="AD47" s="17" t="e">
        <f>-53.07 + (304.89 * (AC47)) + (90.79 *Crescimento!#REF!) - (3.13 * Crescimento!#REF!*Crescimento!#REF!)</f>
        <v>#REF!</v>
      </c>
      <c r="AE47" s="17"/>
      <c r="AF47" s="16" t="e">
        <f>(AG46+(Crescimento!#REF!-(AG46*0.64))/0.8)/1000</f>
        <v>#REF!</v>
      </c>
      <c r="AG47" s="17" t="e">
        <f>-53.07 + (304.89 * (AF47)) + (90.79 *Crescimento!#REF!) - (3.13 * Crescimento!#REF!*Crescimento!#REF!)</f>
        <v>#REF!</v>
      </c>
      <c r="AI47" s="16" t="e">
        <f>(AJ46+(Crescimento!#REF!-(AJ46*0.64))/0.8)/1000</f>
        <v>#REF!</v>
      </c>
      <c r="AJ47" s="17" t="e">
        <f>-53.07 + (304.89 * (AI47)) + (90.79 *Crescimento!#REF!) - (3.13 * Crescimento!#REF!*Crescimento!#REF!)</f>
        <v>#REF!</v>
      </c>
      <c r="AL47" s="16" t="e">
        <f>(AM46+(Crescimento!#REF!-(AM46*0.64))/0.8)/1000</f>
        <v>#REF!</v>
      </c>
      <c r="AM47" s="17" t="e">
        <f>-53.07 + (304.89 * (AL47)) + (90.79 *Crescimento!#REF!) - (3.13 * Crescimento!#REF!*Crescimento!#REF!)</f>
        <v>#REF!</v>
      </c>
      <c r="AO47" s="16" t="e">
        <f>(AP46+(Crescimento!#REF!-(AP46*0.64))/0.8)/1000</f>
        <v>#REF!</v>
      </c>
      <c r="AP47" s="17" t="e">
        <f>-53.07 + (304.89 * (AO47)) + (90.79 *Crescimento!#REF!) - (3.13 * Crescimento!#REF!*Crescimento!#REF!)</f>
        <v>#REF!</v>
      </c>
      <c r="AR47" s="16" t="e">
        <f>(AS46+(Crescimento!#REF!-(AS46*0.64))/0.8)/1000</f>
        <v>#REF!</v>
      </c>
      <c r="AS47" s="17" t="e">
        <f>-53.07 + (304.89 * (AR47)) + (90.79 *Crescimento!#REF!) - (3.13 * Crescimento!#REF!*Crescimento!#REF!)</f>
        <v>#REF!</v>
      </c>
      <c r="AU47" s="16" t="e">
        <f>(AV46+(Crescimento!#REF!-(AV46*0.64))/0.8)/1000</f>
        <v>#REF!</v>
      </c>
      <c r="AV47" s="17" t="e">
        <f>-53.07 + (304.89 * (AU47)) + (90.79 *Crescimento!#REF!) - (3.13 * Crescimento!#REF!*Crescimento!#REF!)</f>
        <v>#REF!</v>
      </c>
      <c r="AX47" s="16" t="e">
        <f>(AY46+(Crescimento!#REF!-(AY46*0.64))/0.8)/1000</f>
        <v>#REF!</v>
      </c>
      <c r="AY47" s="17" t="e">
        <f>-53.07 + (304.89 * (AX47)) + (90.79 *Crescimento!#REF!) - (3.13 * Crescimento!#REF!*Crescimento!#REF!)</f>
        <v>#REF!</v>
      </c>
      <c r="BA47" s="16" t="e">
        <f>(BB46+(Crescimento!#REF!-(BB46*0.64))/0.8)/1000</f>
        <v>#REF!</v>
      </c>
      <c r="BB47" s="17" t="e">
        <f>-53.07 + (304.89 * (BA47)) + (90.79 *Crescimento!#REF!) - (3.13 * Crescimento!#REF!*Crescimento!#REF!)</f>
        <v>#REF!</v>
      </c>
      <c r="BD47" s="16" t="e">
        <f>(BE46+(Crescimento!#REF!-(BE46*0.64))/0.8)/1000</f>
        <v>#REF!</v>
      </c>
      <c r="BE47" s="17" t="e">
        <f>-53.07 + (304.89 * (BD47)) + (90.79 *Crescimento!#REF!) - (3.13 * Crescimento!#REF!*Crescimento!#REF!)</f>
        <v>#REF!</v>
      </c>
      <c r="BG47" s="16" t="e">
        <f>(BH46+(Crescimento!#REF!-(BH46*0.64))/0.8)/1000</f>
        <v>#REF!</v>
      </c>
      <c r="BH47" s="17" t="e">
        <f>-53.07 + (304.89 * (BG47)) + (90.79 *Crescimento!#REF!) - (3.13 * Crescimento!#REF!*Crescimento!#REF!)</f>
        <v>#REF!</v>
      </c>
      <c r="BJ47" s="16" t="e">
        <f>(BK46+(Crescimento!#REF!-(BK46*0.64))/0.8)/1000</f>
        <v>#REF!</v>
      </c>
      <c r="BK47" s="17" t="e">
        <f>-53.07 + (304.89 * (BJ47)) + (90.79 *Crescimento!#REF!) - (3.13 * Crescimento!#REF!*Crescimento!#REF!)</f>
        <v>#REF!</v>
      </c>
      <c r="BM47" s="16" t="e">
        <f>(BN46+(Crescimento!#REF!-(BN46*0.64))/0.8)/1000</f>
        <v>#REF!</v>
      </c>
      <c r="BN47" s="17" t="e">
        <f>-53.07 + (304.89 * (BM47)) + (90.79 *Crescimento!#REF!) - (3.13 * Crescimento!#REF!*Crescimento!#REF!)</f>
        <v>#REF!</v>
      </c>
      <c r="BP47" s="16" t="e">
        <f>(BQ46+(Crescimento!#REF!-(BQ46*0.64))/0.8)/1000</f>
        <v>#REF!</v>
      </c>
      <c r="BQ47" s="17" t="e">
        <f>-53.07 + (304.89 * (BP47)) + (90.79 *Crescimento!#REF!) - (3.13 * Crescimento!#REF!*Crescimento!#REF!)</f>
        <v>#REF!</v>
      </c>
      <c r="BS47" s="16" t="e">
        <f>(BT46+(Crescimento!#REF!-(BT46*0.64))/0.8)/1000</f>
        <v>#REF!</v>
      </c>
      <c r="BT47" s="17" t="e">
        <f>-53.07 + (304.89 * (BS47)) + (90.79 *Crescimento!#REF!) - (3.13 * Crescimento!#REF!*Crescimento!#REF!)</f>
        <v>#REF!</v>
      </c>
      <c r="BV47" s="16" t="e">
        <f>(BW46+(Crescimento!#REF!-(BW46*0.64))/0.8)/1000</f>
        <v>#REF!</v>
      </c>
      <c r="BW47" s="17" t="e">
        <f>-53.07 + (304.89 * (BV47)) + (90.79 *Crescimento!#REF!) - (3.13 * Crescimento!#REF!*Crescimento!#REF!)</f>
        <v>#REF!</v>
      </c>
      <c r="BY47" s="16" t="e">
        <f>(BZ46+(Crescimento!#REF!-(BZ46*0.64))/0.8)/1000</f>
        <v>#REF!</v>
      </c>
      <c r="BZ47" s="17" t="e">
        <f>-53.07 + (304.89 * (BY47)) + (90.79 *Crescimento!#REF!) - (3.13 * Crescimento!#REF!*Crescimento!#REF!)</f>
        <v>#REF!</v>
      </c>
      <c r="CB47" s="16" t="e">
        <f>(CC46+(Crescimento!#REF!-(CC46*0.64))/0.8)/1000</f>
        <v>#REF!</v>
      </c>
      <c r="CC47" s="17" t="e">
        <f>-53.07 + (304.89 * (CB47)) + (90.79 *Crescimento!#REF!) - (3.13 * Crescimento!#REF!*Crescimento!#REF!)</f>
        <v>#REF!</v>
      </c>
      <c r="CE47" s="16" t="e">
        <f>(CF46+(Crescimento!#REF!-(CF46*0.64))/0.8)/1000</f>
        <v>#REF!</v>
      </c>
      <c r="CF47" s="17" t="e">
        <f>-53.07 + (304.89 * (CE47)) + (90.79 *Crescimento!#REF!) - (3.13 * Crescimento!#REF!*Crescimento!#REF!)</f>
        <v>#REF!</v>
      </c>
      <c r="CH47" s="16" t="e">
        <f>(CI46+(Crescimento!#REF!-(CI46*0.64))/0.8)/1000</f>
        <v>#REF!</v>
      </c>
      <c r="CI47" s="17" t="e">
        <f>-53.07 + (304.89 * (CH47)) + (90.79 *Crescimento!#REF!) - (3.13 * Crescimento!#REF!*Crescimento!#REF!)</f>
        <v>#REF!</v>
      </c>
      <c r="CK47" s="16" t="e">
        <f>(CL46+(Crescimento!#REF!-(CL46*0.64))/0.8)/1000</f>
        <v>#REF!</v>
      </c>
      <c r="CL47" s="17" t="e">
        <f>-53.07 + (304.89 * (CK47)) + (90.79 *Crescimento!#REF!) - (3.13 * Crescimento!#REF!*Crescimento!#REF!)</f>
        <v>#REF!</v>
      </c>
    </row>
    <row r="48" spans="2:90" x14ac:dyDescent="0.25">
      <c r="B48" s="16">
        <f>(C47+('Vacas e Bezerros'!$O$29-(C47*0.64))/0.8)/1000</f>
        <v>1.1219974776113528</v>
      </c>
      <c r="C48" s="17">
        <f>-53.07 + (304.89 * (B48)) + (90.79 *'Vacas e Bezerros'!$O$23) - (3.13 * 'Vacas e Bezerros'!$O$23*'Vacas e Bezerros'!$O$23)</f>
        <v>715.77733851110622</v>
      </c>
      <c r="E48" s="16" t="e">
        <f>(F47+(Crescimento!#REF!-(F47*0.64))/0.8)/1000</f>
        <v>#REF!</v>
      </c>
      <c r="F48" s="17" t="e">
        <f>-53.07 + (304.89 * (E48)) + (90.79 *Crescimento!#REF!) - (3.13 * Crescimento!#REF!*Crescimento!#REF!)</f>
        <v>#REF!</v>
      </c>
      <c r="G48" s="1"/>
      <c r="H48" s="16" t="e">
        <f>(I47+(Crescimento!#REF!-(I47*0.64))/0.8)/1000</f>
        <v>#REF!</v>
      </c>
      <c r="I48" s="17" t="e">
        <f>-53.07 + (304.89 * (H48)) + (90.79 *Crescimento!#REF!) - (3.13 * Crescimento!#REF!*Crescimento!#REF!)</f>
        <v>#REF!</v>
      </c>
      <c r="K48" s="16" t="e">
        <f>(L47+(Crescimento!#REF!-(L47*0.64))/0.8)/1000</f>
        <v>#REF!</v>
      </c>
      <c r="L48" s="17" t="e">
        <f>-53.07 + (304.89 * (K48)) + (90.79 *Crescimento!#REF!) - (3.13 * Crescimento!#REF!*Crescimento!#REF!)</f>
        <v>#REF!</v>
      </c>
      <c r="N48" s="16" t="e">
        <f>(O47+(Crescimento!#REF!-(O47*0.64))/0.8)/1000</f>
        <v>#REF!</v>
      </c>
      <c r="O48" s="17" t="e">
        <f>-53.07 + (304.89 * (N48)) + (90.79 *Crescimento!#REF!) - (3.13 * Crescimento!#REF!*Crescimento!#REF!)</f>
        <v>#REF!</v>
      </c>
      <c r="Q48" s="16" t="e">
        <f>(R47+(Crescimento!#REF!-(R47*0.64))/0.8)/1000</f>
        <v>#REF!</v>
      </c>
      <c r="R48" s="17" t="e">
        <f>-53.07 + (304.89 * (Q48)) + (90.79 *Crescimento!#REF!) - (3.13 * Crescimento!#REF!*Crescimento!#REF!)</f>
        <v>#REF!</v>
      </c>
      <c r="T48" s="16" t="e">
        <f>(U47+(Crescimento!#REF!-(U47*0.64))/0.8)/1000</f>
        <v>#REF!</v>
      </c>
      <c r="U48" s="17" t="e">
        <f>-53.07 + (304.89 * (T48)) + (90.79 *Crescimento!#REF!) - (3.13 * Crescimento!#REF!*Crescimento!#REF!)</f>
        <v>#REF!</v>
      </c>
      <c r="W48" s="16" t="e">
        <f>(X47+(Crescimento!#REF!-(X47*0.64))/0.8)/1000</f>
        <v>#REF!</v>
      </c>
      <c r="X48" s="17" t="e">
        <f>-53.07 + (304.89 * (W48)) + (90.79 *Crescimento!#REF!) - (3.13 * Crescimento!#REF!*Crescimento!#REF!)</f>
        <v>#REF!</v>
      </c>
      <c r="Y48" s="6"/>
      <c r="Z48" s="16" t="e">
        <f>(AA47+(Crescimento!#REF!-(AA47*0.64))/0.8)/1000</f>
        <v>#REF!</v>
      </c>
      <c r="AA48" s="17" t="e">
        <f>-53.07 + (304.89 * (Z48)) + (90.79 *Crescimento!#REF!) - (3.13 * Crescimento!#REF!*Crescimento!#REF!)</f>
        <v>#REF!</v>
      </c>
      <c r="AB48" s="6"/>
      <c r="AC48" s="16" t="e">
        <f>(AD47+(Crescimento!#REF!-(AD47*0.64))/0.8)/1000</f>
        <v>#REF!</v>
      </c>
      <c r="AD48" s="17" t="e">
        <f>-53.07 + (304.89 * (AC48)) + (90.79 *Crescimento!#REF!) - (3.13 * Crescimento!#REF!*Crescimento!#REF!)</f>
        <v>#REF!</v>
      </c>
      <c r="AE48" s="17"/>
      <c r="AF48" s="16" t="e">
        <f>(AG47+(Crescimento!#REF!-(AG47*0.64))/0.8)/1000</f>
        <v>#REF!</v>
      </c>
      <c r="AG48" s="17" t="e">
        <f>-53.07 + (304.89 * (AF48)) + (90.79 *Crescimento!#REF!) - (3.13 * Crescimento!#REF!*Crescimento!#REF!)</f>
        <v>#REF!</v>
      </c>
      <c r="AI48" s="16" t="e">
        <f>(AJ47+(Crescimento!#REF!-(AJ47*0.64))/0.8)/1000</f>
        <v>#REF!</v>
      </c>
      <c r="AJ48" s="17" t="e">
        <f>-53.07 + (304.89 * (AI48)) + (90.79 *Crescimento!#REF!) - (3.13 * Crescimento!#REF!*Crescimento!#REF!)</f>
        <v>#REF!</v>
      </c>
      <c r="AL48" s="16" t="e">
        <f>(AM47+(Crescimento!#REF!-(AM47*0.64))/0.8)/1000</f>
        <v>#REF!</v>
      </c>
      <c r="AM48" s="17" t="e">
        <f>-53.07 + (304.89 * (AL48)) + (90.79 *Crescimento!#REF!) - (3.13 * Crescimento!#REF!*Crescimento!#REF!)</f>
        <v>#REF!</v>
      </c>
      <c r="AO48" s="16" t="e">
        <f>(AP47+(Crescimento!#REF!-(AP47*0.64))/0.8)/1000</f>
        <v>#REF!</v>
      </c>
      <c r="AP48" s="17" t="e">
        <f>-53.07 + (304.89 * (AO48)) + (90.79 *Crescimento!#REF!) - (3.13 * Crescimento!#REF!*Crescimento!#REF!)</f>
        <v>#REF!</v>
      </c>
      <c r="AR48" s="16" t="e">
        <f>(AS47+(Crescimento!#REF!-(AS47*0.64))/0.8)/1000</f>
        <v>#REF!</v>
      </c>
      <c r="AS48" s="17" t="e">
        <f>-53.07 + (304.89 * (AR48)) + (90.79 *Crescimento!#REF!) - (3.13 * Crescimento!#REF!*Crescimento!#REF!)</f>
        <v>#REF!</v>
      </c>
      <c r="AU48" s="16" t="e">
        <f>(AV47+(Crescimento!#REF!-(AV47*0.64))/0.8)/1000</f>
        <v>#REF!</v>
      </c>
      <c r="AV48" s="17" t="e">
        <f>-53.07 + (304.89 * (AU48)) + (90.79 *Crescimento!#REF!) - (3.13 * Crescimento!#REF!*Crescimento!#REF!)</f>
        <v>#REF!</v>
      </c>
      <c r="AX48" s="16" t="e">
        <f>(AY47+(Crescimento!#REF!-(AY47*0.64))/0.8)/1000</f>
        <v>#REF!</v>
      </c>
      <c r="AY48" s="17" t="e">
        <f>-53.07 + (304.89 * (AX48)) + (90.79 *Crescimento!#REF!) - (3.13 * Crescimento!#REF!*Crescimento!#REF!)</f>
        <v>#REF!</v>
      </c>
      <c r="BA48" s="16" t="e">
        <f>(BB47+(Crescimento!#REF!-(BB47*0.64))/0.8)/1000</f>
        <v>#REF!</v>
      </c>
      <c r="BB48" s="17" t="e">
        <f>-53.07 + (304.89 * (BA48)) + (90.79 *Crescimento!#REF!) - (3.13 * Crescimento!#REF!*Crescimento!#REF!)</f>
        <v>#REF!</v>
      </c>
      <c r="BD48" s="16" t="e">
        <f>(BE47+(Crescimento!#REF!-(BE47*0.64))/0.8)/1000</f>
        <v>#REF!</v>
      </c>
      <c r="BE48" s="17" t="e">
        <f>-53.07 + (304.89 * (BD48)) + (90.79 *Crescimento!#REF!) - (3.13 * Crescimento!#REF!*Crescimento!#REF!)</f>
        <v>#REF!</v>
      </c>
      <c r="BG48" s="16" t="e">
        <f>(BH47+(Crescimento!#REF!-(BH47*0.64))/0.8)/1000</f>
        <v>#REF!</v>
      </c>
      <c r="BH48" s="17" t="e">
        <f>-53.07 + (304.89 * (BG48)) + (90.79 *Crescimento!#REF!) - (3.13 * Crescimento!#REF!*Crescimento!#REF!)</f>
        <v>#REF!</v>
      </c>
      <c r="BJ48" s="16" t="e">
        <f>(BK47+(Crescimento!#REF!-(BK47*0.64))/0.8)/1000</f>
        <v>#REF!</v>
      </c>
      <c r="BK48" s="17" t="e">
        <f>-53.07 + (304.89 * (BJ48)) + (90.79 *Crescimento!#REF!) - (3.13 * Crescimento!#REF!*Crescimento!#REF!)</f>
        <v>#REF!</v>
      </c>
      <c r="BM48" s="16" t="e">
        <f>(BN47+(Crescimento!#REF!-(BN47*0.64))/0.8)/1000</f>
        <v>#REF!</v>
      </c>
      <c r="BN48" s="17" t="e">
        <f>-53.07 + (304.89 * (BM48)) + (90.79 *Crescimento!#REF!) - (3.13 * Crescimento!#REF!*Crescimento!#REF!)</f>
        <v>#REF!</v>
      </c>
      <c r="BP48" s="16" t="e">
        <f>(BQ47+(Crescimento!#REF!-(BQ47*0.64))/0.8)/1000</f>
        <v>#REF!</v>
      </c>
      <c r="BQ48" s="17" t="e">
        <f>-53.07 + (304.89 * (BP48)) + (90.79 *Crescimento!#REF!) - (3.13 * Crescimento!#REF!*Crescimento!#REF!)</f>
        <v>#REF!</v>
      </c>
      <c r="BS48" s="16" t="e">
        <f>(BT47+(Crescimento!#REF!-(BT47*0.64))/0.8)/1000</f>
        <v>#REF!</v>
      </c>
      <c r="BT48" s="17" t="e">
        <f>-53.07 + (304.89 * (BS48)) + (90.79 *Crescimento!#REF!) - (3.13 * Crescimento!#REF!*Crescimento!#REF!)</f>
        <v>#REF!</v>
      </c>
      <c r="BV48" s="16" t="e">
        <f>(BW47+(Crescimento!#REF!-(BW47*0.64))/0.8)/1000</f>
        <v>#REF!</v>
      </c>
      <c r="BW48" s="17" t="e">
        <f>-53.07 + (304.89 * (BV48)) + (90.79 *Crescimento!#REF!) - (3.13 * Crescimento!#REF!*Crescimento!#REF!)</f>
        <v>#REF!</v>
      </c>
      <c r="BY48" s="16" t="e">
        <f>(BZ47+(Crescimento!#REF!-(BZ47*0.64))/0.8)/1000</f>
        <v>#REF!</v>
      </c>
      <c r="BZ48" s="17" t="e">
        <f>-53.07 + (304.89 * (BY48)) + (90.79 *Crescimento!#REF!) - (3.13 * Crescimento!#REF!*Crescimento!#REF!)</f>
        <v>#REF!</v>
      </c>
      <c r="CB48" s="16" t="e">
        <f>(CC47+(Crescimento!#REF!-(CC47*0.64))/0.8)/1000</f>
        <v>#REF!</v>
      </c>
      <c r="CC48" s="17" t="e">
        <f>-53.07 + (304.89 * (CB48)) + (90.79 *Crescimento!#REF!) - (3.13 * Crescimento!#REF!*Crescimento!#REF!)</f>
        <v>#REF!</v>
      </c>
      <c r="CE48" s="16" t="e">
        <f>(CF47+(Crescimento!#REF!-(CF47*0.64))/0.8)/1000</f>
        <v>#REF!</v>
      </c>
      <c r="CF48" s="17" t="e">
        <f>-53.07 + (304.89 * (CE48)) + (90.79 *Crescimento!#REF!) - (3.13 * Crescimento!#REF!*Crescimento!#REF!)</f>
        <v>#REF!</v>
      </c>
      <c r="CH48" s="16" t="e">
        <f>(CI47+(Crescimento!#REF!-(CI47*0.64))/0.8)/1000</f>
        <v>#REF!</v>
      </c>
      <c r="CI48" s="17" t="e">
        <f>-53.07 + (304.89 * (CH48)) + (90.79 *Crescimento!#REF!) - (3.13 * Crescimento!#REF!*Crescimento!#REF!)</f>
        <v>#REF!</v>
      </c>
      <c r="CK48" s="16" t="e">
        <f>(CL47+(Crescimento!#REF!-(CL47*0.64))/0.8)/1000</f>
        <v>#REF!</v>
      </c>
      <c r="CL48" s="17" t="e">
        <f>-53.07 + (304.89 * (CK48)) + (90.79 *Crescimento!#REF!) - (3.13 * Crescimento!#REF!*Crescimento!#REF!)</f>
        <v>#REF!</v>
      </c>
    </row>
    <row r="49" spans="2:90" x14ac:dyDescent="0.25">
      <c r="B49" s="16">
        <f>(C48+('Vacas e Bezerros'!$O$29-(C48*0.64))/0.8)/1000</f>
        <v>1.1219974776113528</v>
      </c>
      <c r="C49" s="17">
        <f>-53.07 + (304.89 * (B49)) + (90.79 *'Vacas e Bezerros'!$O$23) - (3.13 * 'Vacas e Bezerros'!$O$23*'Vacas e Bezerros'!$O$23)</f>
        <v>715.77733851110622</v>
      </c>
      <c r="E49" s="16" t="e">
        <f>(F48+(Crescimento!#REF!-(F48*0.64))/0.8)/1000</f>
        <v>#REF!</v>
      </c>
      <c r="F49" s="17" t="e">
        <f>-53.07 + (304.89 * (E49)) + (90.79 *Crescimento!#REF!) - (3.13 * Crescimento!#REF!*Crescimento!#REF!)</f>
        <v>#REF!</v>
      </c>
      <c r="G49" s="1"/>
      <c r="H49" s="16" t="e">
        <f>(I48+(Crescimento!#REF!-(I48*0.64))/0.8)/1000</f>
        <v>#REF!</v>
      </c>
      <c r="I49" s="17" t="e">
        <f>-53.07 + (304.89 * (H49)) + (90.79 *Crescimento!#REF!) - (3.13 * Crescimento!#REF!*Crescimento!#REF!)</f>
        <v>#REF!</v>
      </c>
      <c r="K49" s="16" t="e">
        <f>(L48+(Crescimento!#REF!-(L48*0.64))/0.8)/1000</f>
        <v>#REF!</v>
      </c>
      <c r="L49" s="17" t="e">
        <f>-53.07 + (304.89 * (K49)) + (90.79 *Crescimento!#REF!) - (3.13 * Crescimento!#REF!*Crescimento!#REF!)</f>
        <v>#REF!</v>
      </c>
      <c r="N49" s="16" t="e">
        <f>(O48+(Crescimento!#REF!-(O48*0.64))/0.8)/1000</f>
        <v>#REF!</v>
      </c>
      <c r="O49" s="17" t="e">
        <f>-53.07 + (304.89 * (N49)) + (90.79 *Crescimento!#REF!) - (3.13 * Crescimento!#REF!*Crescimento!#REF!)</f>
        <v>#REF!</v>
      </c>
      <c r="Q49" s="16" t="e">
        <f>(R48+(Crescimento!#REF!-(R48*0.64))/0.8)/1000</f>
        <v>#REF!</v>
      </c>
      <c r="R49" s="17" t="e">
        <f>-53.07 + (304.89 * (Q49)) + (90.79 *Crescimento!#REF!) - (3.13 * Crescimento!#REF!*Crescimento!#REF!)</f>
        <v>#REF!</v>
      </c>
      <c r="T49" s="16" t="e">
        <f>(U48+(Crescimento!#REF!-(U48*0.64))/0.8)/1000</f>
        <v>#REF!</v>
      </c>
      <c r="U49" s="17" t="e">
        <f>-53.07 + (304.89 * (T49)) + (90.79 *Crescimento!#REF!) - (3.13 * Crescimento!#REF!*Crescimento!#REF!)</f>
        <v>#REF!</v>
      </c>
      <c r="W49" s="16" t="e">
        <f>(X48+(Crescimento!#REF!-(X48*0.64))/0.8)/1000</f>
        <v>#REF!</v>
      </c>
      <c r="X49" s="17" t="e">
        <f>-53.07 + (304.89 * (W49)) + (90.79 *Crescimento!#REF!) - (3.13 * Crescimento!#REF!*Crescimento!#REF!)</f>
        <v>#REF!</v>
      </c>
      <c r="Y49" s="6"/>
      <c r="Z49" s="16" t="e">
        <f>(AA48+(Crescimento!#REF!-(AA48*0.64))/0.8)/1000</f>
        <v>#REF!</v>
      </c>
      <c r="AA49" s="17" t="e">
        <f>-53.07 + (304.89 * (Z49)) + (90.79 *Crescimento!#REF!) - (3.13 * Crescimento!#REF!*Crescimento!#REF!)</f>
        <v>#REF!</v>
      </c>
      <c r="AB49" s="6"/>
      <c r="AC49" s="16" t="e">
        <f>(AD48+(Crescimento!#REF!-(AD48*0.64))/0.8)/1000</f>
        <v>#REF!</v>
      </c>
      <c r="AD49" s="17" t="e">
        <f>-53.07 + (304.89 * (AC49)) + (90.79 *Crescimento!#REF!) - (3.13 * Crescimento!#REF!*Crescimento!#REF!)</f>
        <v>#REF!</v>
      </c>
      <c r="AE49" s="17"/>
      <c r="AF49" s="16" t="e">
        <f>(AG48+(Crescimento!#REF!-(AG48*0.64))/0.8)/1000</f>
        <v>#REF!</v>
      </c>
      <c r="AG49" s="17" t="e">
        <f>-53.07 + (304.89 * (AF49)) + (90.79 *Crescimento!#REF!) - (3.13 * Crescimento!#REF!*Crescimento!#REF!)</f>
        <v>#REF!</v>
      </c>
      <c r="AI49" s="16" t="e">
        <f>(AJ48+(Crescimento!#REF!-(AJ48*0.64))/0.8)/1000</f>
        <v>#REF!</v>
      </c>
      <c r="AJ49" s="17" t="e">
        <f>-53.07 + (304.89 * (AI49)) + (90.79 *Crescimento!#REF!) - (3.13 * Crescimento!#REF!*Crescimento!#REF!)</f>
        <v>#REF!</v>
      </c>
      <c r="AL49" s="16" t="e">
        <f>(AM48+(Crescimento!#REF!-(AM48*0.64))/0.8)/1000</f>
        <v>#REF!</v>
      </c>
      <c r="AM49" s="17" t="e">
        <f>-53.07 + (304.89 * (AL49)) + (90.79 *Crescimento!#REF!) - (3.13 * Crescimento!#REF!*Crescimento!#REF!)</f>
        <v>#REF!</v>
      </c>
      <c r="AO49" s="16" t="e">
        <f>(AP48+(Crescimento!#REF!-(AP48*0.64))/0.8)/1000</f>
        <v>#REF!</v>
      </c>
      <c r="AP49" s="17" t="e">
        <f>-53.07 + (304.89 * (AO49)) + (90.79 *Crescimento!#REF!) - (3.13 * Crescimento!#REF!*Crescimento!#REF!)</f>
        <v>#REF!</v>
      </c>
      <c r="AR49" s="16" t="e">
        <f>(AS48+(Crescimento!#REF!-(AS48*0.64))/0.8)/1000</f>
        <v>#REF!</v>
      </c>
      <c r="AS49" s="17" t="e">
        <f>-53.07 + (304.89 * (AR49)) + (90.79 *Crescimento!#REF!) - (3.13 * Crescimento!#REF!*Crescimento!#REF!)</f>
        <v>#REF!</v>
      </c>
      <c r="AU49" s="16" t="e">
        <f>(AV48+(Crescimento!#REF!-(AV48*0.64))/0.8)/1000</f>
        <v>#REF!</v>
      </c>
      <c r="AV49" s="17" t="e">
        <f>-53.07 + (304.89 * (AU49)) + (90.79 *Crescimento!#REF!) - (3.13 * Crescimento!#REF!*Crescimento!#REF!)</f>
        <v>#REF!</v>
      </c>
      <c r="AX49" s="16" t="e">
        <f>(AY48+(Crescimento!#REF!-(AY48*0.64))/0.8)/1000</f>
        <v>#REF!</v>
      </c>
      <c r="AY49" s="17" t="e">
        <f>-53.07 + (304.89 * (AX49)) + (90.79 *Crescimento!#REF!) - (3.13 * Crescimento!#REF!*Crescimento!#REF!)</f>
        <v>#REF!</v>
      </c>
      <c r="BA49" s="16" t="e">
        <f>(BB48+(Crescimento!#REF!-(BB48*0.64))/0.8)/1000</f>
        <v>#REF!</v>
      </c>
      <c r="BB49" s="17" t="e">
        <f>-53.07 + (304.89 * (BA49)) + (90.79 *Crescimento!#REF!) - (3.13 * Crescimento!#REF!*Crescimento!#REF!)</f>
        <v>#REF!</v>
      </c>
      <c r="BD49" s="16" t="e">
        <f>(BE48+(Crescimento!#REF!-(BE48*0.64))/0.8)/1000</f>
        <v>#REF!</v>
      </c>
      <c r="BE49" s="17" t="e">
        <f>-53.07 + (304.89 * (BD49)) + (90.79 *Crescimento!#REF!) - (3.13 * Crescimento!#REF!*Crescimento!#REF!)</f>
        <v>#REF!</v>
      </c>
      <c r="BG49" s="16" t="e">
        <f>(BH48+(Crescimento!#REF!-(BH48*0.64))/0.8)/1000</f>
        <v>#REF!</v>
      </c>
      <c r="BH49" s="17" t="e">
        <f>-53.07 + (304.89 * (BG49)) + (90.79 *Crescimento!#REF!) - (3.13 * Crescimento!#REF!*Crescimento!#REF!)</f>
        <v>#REF!</v>
      </c>
      <c r="BJ49" s="16" t="e">
        <f>(BK48+(Crescimento!#REF!-(BK48*0.64))/0.8)/1000</f>
        <v>#REF!</v>
      </c>
      <c r="BK49" s="17" t="e">
        <f>-53.07 + (304.89 * (BJ49)) + (90.79 *Crescimento!#REF!) - (3.13 * Crescimento!#REF!*Crescimento!#REF!)</f>
        <v>#REF!</v>
      </c>
      <c r="BM49" s="16" t="e">
        <f>(BN48+(Crescimento!#REF!-(BN48*0.64))/0.8)/1000</f>
        <v>#REF!</v>
      </c>
      <c r="BN49" s="17" t="e">
        <f>-53.07 + (304.89 * (BM49)) + (90.79 *Crescimento!#REF!) - (3.13 * Crescimento!#REF!*Crescimento!#REF!)</f>
        <v>#REF!</v>
      </c>
      <c r="BP49" s="16" t="e">
        <f>(BQ48+(Crescimento!#REF!-(BQ48*0.64))/0.8)/1000</f>
        <v>#REF!</v>
      </c>
      <c r="BQ49" s="17" t="e">
        <f>-53.07 + (304.89 * (BP49)) + (90.79 *Crescimento!#REF!) - (3.13 * Crescimento!#REF!*Crescimento!#REF!)</f>
        <v>#REF!</v>
      </c>
      <c r="BS49" s="16" t="e">
        <f>(BT48+(Crescimento!#REF!-(BT48*0.64))/0.8)/1000</f>
        <v>#REF!</v>
      </c>
      <c r="BT49" s="17" t="e">
        <f>-53.07 + (304.89 * (BS49)) + (90.79 *Crescimento!#REF!) - (3.13 * Crescimento!#REF!*Crescimento!#REF!)</f>
        <v>#REF!</v>
      </c>
      <c r="BV49" s="16" t="e">
        <f>(BW48+(Crescimento!#REF!-(BW48*0.64))/0.8)/1000</f>
        <v>#REF!</v>
      </c>
      <c r="BW49" s="17" t="e">
        <f>-53.07 + (304.89 * (BV49)) + (90.79 *Crescimento!#REF!) - (3.13 * Crescimento!#REF!*Crescimento!#REF!)</f>
        <v>#REF!</v>
      </c>
      <c r="BY49" s="16" t="e">
        <f>(BZ48+(Crescimento!#REF!-(BZ48*0.64))/0.8)/1000</f>
        <v>#REF!</v>
      </c>
      <c r="BZ49" s="17" t="e">
        <f>-53.07 + (304.89 * (BY49)) + (90.79 *Crescimento!#REF!) - (3.13 * Crescimento!#REF!*Crescimento!#REF!)</f>
        <v>#REF!</v>
      </c>
      <c r="CB49" s="16" t="e">
        <f>(CC48+(Crescimento!#REF!-(CC48*0.64))/0.8)/1000</f>
        <v>#REF!</v>
      </c>
      <c r="CC49" s="17" t="e">
        <f>-53.07 + (304.89 * (CB49)) + (90.79 *Crescimento!#REF!) - (3.13 * Crescimento!#REF!*Crescimento!#REF!)</f>
        <v>#REF!</v>
      </c>
      <c r="CE49" s="16" t="e">
        <f>(CF48+(Crescimento!#REF!-(CF48*0.64))/0.8)/1000</f>
        <v>#REF!</v>
      </c>
      <c r="CF49" s="17" t="e">
        <f>-53.07 + (304.89 * (CE49)) + (90.79 *Crescimento!#REF!) - (3.13 * Crescimento!#REF!*Crescimento!#REF!)</f>
        <v>#REF!</v>
      </c>
      <c r="CH49" s="16" t="e">
        <f>(CI48+(Crescimento!#REF!-(CI48*0.64))/0.8)/1000</f>
        <v>#REF!</v>
      </c>
      <c r="CI49" s="17" t="e">
        <f>-53.07 + (304.89 * (CH49)) + (90.79 *Crescimento!#REF!) - (3.13 * Crescimento!#REF!*Crescimento!#REF!)</f>
        <v>#REF!</v>
      </c>
      <c r="CK49" s="16" t="e">
        <f>(CL48+(Crescimento!#REF!-(CL48*0.64))/0.8)/1000</f>
        <v>#REF!</v>
      </c>
      <c r="CL49" s="17" t="e">
        <f>-53.07 + (304.89 * (CK49)) + (90.79 *Crescimento!#REF!) - (3.13 * Crescimento!#REF!*Crescimento!#REF!)</f>
        <v>#REF!</v>
      </c>
    </row>
    <row r="50" spans="2:90" x14ac:dyDescent="0.25">
      <c r="B50" s="16">
        <f>(C49+('Vacas e Bezerros'!$O$29-(C49*0.64))/0.8)/1000</f>
        <v>1.1219974776113528</v>
      </c>
      <c r="C50" s="17">
        <f>-53.07 + (304.89 * (B50)) + (90.79 *'Vacas e Bezerros'!$O$23) - (3.13 * 'Vacas e Bezerros'!$O$23*'Vacas e Bezerros'!$O$23)</f>
        <v>715.77733851110622</v>
      </c>
      <c r="E50" s="16" t="e">
        <f>(F49+(Crescimento!#REF!-(F49*0.64))/0.8)/1000</f>
        <v>#REF!</v>
      </c>
      <c r="F50" s="17" t="e">
        <f>-53.07 + (304.89 * (E50)) + (90.79 *Crescimento!#REF!) - (3.13 * Crescimento!#REF!*Crescimento!#REF!)</f>
        <v>#REF!</v>
      </c>
      <c r="G50" s="1"/>
      <c r="H50" s="16" t="e">
        <f>(I49+(Crescimento!#REF!-(I49*0.64))/0.8)/1000</f>
        <v>#REF!</v>
      </c>
      <c r="I50" s="17" t="e">
        <f>-53.07 + (304.89 * (H50)) + (90.79 *Crescimento!#REF!) - (3.13 * Crescimento!#REF!*Crescimento!#REF!)</f>
        <v>#REF!</v>
      </c>
      <c r="K50" s="16" t="e">
        <f>(L49+(Crescimento!#REF!-(L49*0.64))/0.8)/1000</f>
        <v>#REF!</v>
      </c>
      <c r="L50" s="17" t="e">
        <f>-53.07 + (304.89 * (K50)) + (90.79 *Crescimento!#REF!) - (3.13 * Crescimento!#REF!*Crescimento!#REF!)</f>
        <v>#REF!</v>
      </c>
      <c r="N50" s="16" t="e">
        <f>(O49+(Crescimento!#REF!-(O49*0.64))/0.8)/1000</f>
        <v>#REF!</v>
      </c>
      <c r="O50" s="17" t="e">
        <f>-53.07 + (304.89 * (N50)) + (90.79 *Crescimento!#REF!) - (3.13 * Crescimento!#REF!*Crescimento!#REF!)</f>
        <v>#REF!</v>
      </c>
      <c r="Q50" s="16" t="e">
        <f>(R49+(Crescimento!#REF!-(R49*0.64))/0.8)/1000</f>
        <v>#REF!</v>
      </c>
      <c r="R50" s="17" t="e">
        <f>-53.07 + (304.89 * (Q50)) + (90.79 *Crescimento!#REF!) - (3.13 * Crescimento!#REF!*Crescimento!#REF!)</f>
        <v>#REF!</v>
      </c>
      <c r="T50" s="16" t="e">
        <f>(U49+(Crescimento!#REF!-(U49*0.64))/0.8)/1000</f>
        <v>#REF!</v>
      </c>
      <c r="U50" s="17" t="e">
        <f>-53.07 + (304.89 * (T50)) + (90.79 *Crescimento!#REF!) - (3.13 * Crescimento!#REF!*Crescimento!#REF!)</f>
        <v>#REF!</v>
      </c>
      <c r="W50" s="16" t="e">
        <f>(X49+(Crescimento!#REF!-(X49*0.64))/0.8)/1000</f>
        <v>#REF!</v>
      </c>
      <c r="X50" s="17" t="e">
        <f>-53.07 + (304.89 * (W50)) + (90.79 *Crescimento!#REF!) - (3.13 * Crescimento!#REF!*Crescimento!#REF!)</f>
        <v>#REF!</v>
      </c>
      <c r="Y50" s="6"/>
      <c r="Z50" s="16" t="e">
        <f>(AA49+(Crescimento!#REF!-(AA49*0.64))/0.8)/1000</f>
        <v>#REF!</v>
      </c>
      <c r="AA50" s="17" t="e">
        <f>-53.07 + (304.89 * (Z50)) + (90.79 *Crescimento!#REF!) - (3.13 * Crescimento!#REF!*Crescimento!#REF!)</f>
        <v>#REF!</v>
      </c>
      <c r="AB50" s="6"/>
      <c r="AC50" s="16" t="e">
        <f>(AD49+(Crescimento!#REF!-(AD49*0.64))/0.8)/1000</f>
        <v>#REF!</v>
      </c>
      <c r="AD50" s="17" t="e">
        <f>-53.07 + (304.89 * (AC50)) + (90.79 *Crescimento!#REF!) - (3.13 * Crescimento!#REF!*Crescimento!#REF!)</f>
        <v>#REF!</v>
      </c>
      <c r="AE50" s="17"/>
      <c r="AF50" s="16" t="e">
        <f>(AG49+(Crescimento!#REF!-(AG49*0.64))/0.8)/1000</f>
        <v>#REF!</v>
      </c>
      <c r="AG50" s="17" t="e">
        <f>-53.07 + (304.89 * (AF50)) + (90.79 *Crescimento!#REF!) - (3.13 * Crescimento!#REF!*Crescimento!#REF!)</f>
        <v>#REF!</v>
      </c>
      <c r="AI50" s="16" t="e">
        <f>(AJ49+(Crescimento!#REF!-(AJ49*0.64))/0.8)/1000</f>
        <v>#REF!</v>
      </c>
      <c r="AJ50" s="17" t="e">
        <f>-53.07 + (304.89 * (AI50)) + (90.79 *Crescimento!#REF!) - (3.13 * Crescimento!#REF!*Crescimento!#REF!)</f>
        <v>#REF!</v>
      </c>
      <c r="AL50" s="16" t="e">
        <f>(AM49+(Crescimento!#REF!-(AM49*0.64))/0.8)/1000</f>
        <v>#REF!</v>
      </c>
      <c r="AM50" s="17" t="e">
        <f>-53.07 + (304.89 * (AL50)) + (90.79 *Crescimento!#REF!) - (3.13 * Crescimento!#REF!*Crescimento!#REF!)</f>
        <v>#REF!</v>
      </c>
      <c r="AO50" s="16" t="e">
        <f>(AP49+(Crescimento!#REF!-(AP49*0.64))/0.8)/1000</f>
        <v>#REF!</v>
      </c>
      <c r="AP50" s="17" t="e">
        <f>-53.07 + (304.89 * (AO50)) + (90.79 *Crescimento!#REF!) - (3.13 * Crescimento!#REF!*Crescimento!#REF!)</f>
        <v>#REF!</v>
      </c>
      <c r="AR50" s="16" t="e">
        <f>(AS49+(Crescimento!#REF!-(AS49*0.64))/0.8)/1000</f>
        <v>#REF!</v>
      </c>
      <c r="AS50" s="17" t="e">
        <f>-53.07 + (304.89 * (AR50)) + (90.79 *Crescimento!#REF!) - (3.13 * Crescimento!#REF!*Crescimento!#REF!)</f>
        <v>#REF!</v>
      </c>
      <c r="AU50" s="16" t="e">
        <f>(AV49+(Crescimento!#REF!-(AV49*0.64))/0.8)/1000</f>
        <v>#REF!</v>
      </c>
      <c r="AV50" s="17" t="e">
        <f>-53.07 + (304.89 * (AU50)) + (90.79 *Crescimento!#REF!) - (3.13 * Crescimento!#REF!*Crescimento!#REF!)</f>
        <v>#REF!</v>
      </c>
      <c r="AX50" s="16" t="e">
        <f>(AY49+(Crescimento!#REF!-(AY49*0.64))/0.8)/1000</f>
        <v>#REF!</v>
      </c>
      <c r="AY50" s="17" t="e">
        <f>-53.07 + (304.89 * (AX50)) + (90.79 *Crescimento!#REF!) - (3.13 * Crescimento!#REF!*Crescimento!#REF!)</f>
        <v>#REF!</v>
      </c>
      <c r="BA50" s="16" t="e">
        <f>(BB49+(Crescimento!#REF!-(BB49*0.64))/0.8)/1000</f>
        <v>#REF!</v>
      </c>
      <c r="BB50" s="17" t="e">
        <f>-53.07 + (304.89 * (BA50)) + (90.79 *Crescimento!#REF!) - (3.13 * Crescimento!#REF!*Crescimento!#REF!)</f>
        <v>#REF!</v>
      </c>
      <c r="BD50" s="16" t="e">
        <f>(BE49+(Crescimento!#REF!-(BE49*0.64))/0.8)/1000</f>
        <v>#REF!</v>
      </c>
      <c r="BE50" s="17" t="e">
        <f>-53.07 + (304.89 * (BD50)) + (90.79 *Crescimento!#REF!) - (3.13 * Crescimento!#REF!*Crescimento!#REF!)</f>
        <v>#REF!</v>
      </c>
      <c r="BG50" s="16" t="e">
        <f>(BH49+(Crescimento!#REF!-(BH49*0.64))/0.8)/1000</f>
        <v>#REF!</v>
      </c>
      <c r="BH50" s="17" t="e">
        <f>-53.07 + (304.89 * (BG50)) + (90.79 *Crescimento!#REF!) - (3.13 * Crescimento!#REF!*Crescimento!#REF!)</f>
        <v>#REF!</v>
      </c>
      <c r="BJ50" s="16" t="e">
        <f>(BK49+(Crescimento!#REF!-(BK49*0.64))/0.8)/1000</f>
        <v>#REF!</v>
      </c>
      <c r="BK50" s="17" t="e">
        <f>-53.07 + (304.89 * (BJ50)) + (90.79 *Crescimento!#REF!) - (3.13 * Crescimento!#REF!*Crescimento!#REF!)</f>
        <v>#REF!</v>
      </c>
      <c r="BM50" s="16" t="e">
        <f>(BN49+(Crescimento!#REF!-(BN49*0.64))/0.8)/1000</f>
        <v>#REF!</v>
      </c>
      <c r="BN50" s="17" t="e">
        <f>-53.07 + (304.89 * (BM50)) + (90.79 *Crescimento!#REF!) - (3.13 * Crescimento!#REF!*Crescimento!#REF!)</f>
        <v>#REF!</v>
      </c>
      <c r="BP50" s="16" t="e">
        <f>(BQ49+(Crescimento!#REF!-(BQ49*0.64))/0.8)/1000</f>
        <v>#REF!</v>
      </c>
      <c r="BQ50" s="17" t="e">
        <f>-53.07 + (304.89 * (BP50)) + (90.79 *Crescimento!#REF!) - (3.13 * Crescimento!#REF!*Crescimento!#REF!)</f>
        <v>#REF!</v>
      </c>
      <c r="BS50" s="16" t="e">
        <f>(BT49+(Crescimento!#REF!-(BT49*0.64))/0.8)/1000</f>
        <v>#REF!</v>
      </c>
      <c r="BT50" s="17" t="e">
        <f>-53.07 + (304.89 * (BS50)) + (90.79 *Crescimento!#REF!) - (3.13 * Crescimento!#REF!*Crescimento!#REF!)</f>
        <v>#REF!</v>
      </c>
      <c r="BV50" s="16" t="e">
        <f>(BW49+(Crescimento!#REF!-(BW49*0.64))/0.8)/1000</f>
        <v>#REF!</v>
      </c>
      <c r="BW50" s="17" t="e">
        <f>-53.07 + (304.89 * (BV50)) + (90.79 *Crescimento!#REF!) - (3.13 * Crescimento!#REF!*Crescimento!#REF!)</f>
        <v>#REF!</v>
      </c>
      <c r="BY50" s="16" t="e">
        <f>(BZ49+(Crescimento!#REF!-(BZ49*0.64))/0.8)/1000</f>
        <v>#REF!</v>
      </c>
      <c r="BZ50" s="17" t="e">
        <f>-53.07 + (304.89 * (BY50)) + (90.79 *Crescimento!#REF!) - (3.13 * Crescimento!#REF!*Crescimento!#REF!)</f>
        <v>#REF!</v>
      </c>
      <c r="CB50" s="16" t="e">
        <f>(CC49+(Crescimento!#REF!-(CC49*0.64))/0.8)/1000</f>
        <v>#REF!</v>
      </c>
      <c r="CC50" s="17" t="e">
        <f>-53.07 + (304.89 * (CB50)) + (90.79 *Crescimento!#REF!) - (3.13 * Crescimento!#REF!*Crescimento!#REF!)</f>
        <v>#REF!</v>
      </c>
      <c r="CE50" s="16" t="e">
        <f>(CF49+(Crescimento!#REF!-(CF49*0.64))/0.8)/1000</f>
        <v>#REF!</v>
      </c>
      <c r="CF50" s="17" t="e">
        <f>-53.07 + (304.89 * (CE50)) + (90.79 *Crescimento!#REF!) - (3.13 * Crescimento!#REF!*Crescimento!#REF!)</f>
        <v>#REF!</v>
      </c>
      <c r="CH50" s="16" t="e">
        <f>(CI49+(Crescimento!#REF!-(CI49*0.64))/0.8)/1000</f>
        <v>#REF!</v>
      </c>
      <c r="CI50" s="17" t="e">
        <f>-53.07 + (304.89 * (CH50)) + (90.79 *Crescimento!#REF!) - (3.13 * Crescimento!#REF!*Crescimento!#REF!)</f>
        <v>#REF!</v>
      </c>
      <c r="CK50" s="16" t="e">
        <f>(CL49+(Crescimento!#REF!-(CL49*0.64))/0.8)/1000</f>
        <v>#REF!</v>
      </c>
      <c r="CL50" s="17" t="e">
        <f>-53.07 + (304.89 * (CK50)) + (90.79 *Crescimento!#REF!) - (3.13 * Crescimento!#REF!*Crescimento!#REF!)</f>
        <v>#REF!</v>
      </c>
    </row>
    <row r="51" spans="2:90" x14ac:dyDescent="0.25">
      <c r="B51" s="16">
        <f>(C50+('Vacas e Bezerros'!$O$29-(C50*0.64))/0.8)/1000</f>
        <v>1.1219974776113528</v>
      </c>
      <c r="C51" s="17">
        <f>-53.07 + (304.89 * (B51)) + (90.79 *'Vacas e Bezerros'!$O$23) - (3.13 * 'Vacas e Bezerros'!$O$23*'Vacas e Bezerros'!$O$23)</f>
        <v>715.77733851110622</v>
      </c>
      <c r="E51" s="16" t="e">
        <f>(F50+(Crescimento!#REF!-(F50*0.64))/0.8)/1000</f>
        <v>#REF!</v>
      </c>
      <c r="F51" s="17" t="e">
        <f>-53.07 + (304.89 * (E51)) + (90.79 *Crescimento!#REF!) - (3.13 * Crescimento!#REF!*Crescimento!#REF!)</f>
        <v>#REF!</v>
      </c>
      <c r="G51" s="1"/>
      <c r="H51" s="16" t="e">
        <f>(I50+(Crescimento!#REF!-(I50*0.64))/0.8)/1000</f>
        <v>#REF!</v>
      </c>
      <c r="I51" s="17" t="e">
        <f>-53.07 + (304.89 * (H51)) + (90.79 *Crescimento!#REF!) - (3.13 * Crescimento!#REF!*Crescimento!#REF!)</f>
        <v>#REF!</v>
      </c>
      <c r="K51" s="16" t="e">
        <f>(L50+(Crescimento!#REF!-(L50*0.64))/0.8)/1000</f>
        <v>#REF!</v>
      </c>
      <c r="L51" s="17" t="e">
        <f>-53.07 + (304.89 * (K51)) + (90.79 *Crescimento!#REF!) - (3.13 * Crescimento!#REF!*Crescimento!#REF!)</f>
        <v>#REF!</v>
      </c>
      <c r="N51" s="16" t="e">
        <f>(O50+(Crescimento!#REF!-(O50*0.64))/0.8)/1000</f>
        <v>#REF!</v>
      </c>
      <c r="O51" s="17" t="e">
        <f>-53.07 + (304.89 * (N51)) + (90.79 *Crescimento!#REF!) - (3.13 * Crescimento!#REF!*Crescimento!#REF!)</f>
        <v>#REF!</v>
      </c>
      <c r="Q51" s="16" t="e">
        <f>(R50+(Crescimento!#REF!-(R50*0.64))/0.8)/1000</f>
        <v>#REF!</v>
      </c>
      <c r="R51" s="17" t="e">
        <f>-53.07 + (304.89 * (Q51)) + (90.79 *Crescimento!#REF!) - (3.13 * Crescimento!#REF!*Crescimento!#REF!)</f>
        <v>#REF!</v>
      </c>
      <c r="T51" s="16" t="e">
        <f>(U50+(Crescimento!#REF!-(U50*0.64))/0.8)/1000</f>
        <v>#REF!</v>
      </c>
      <c r="U51" s="17" t="e">
        <f>-53.07 + (304.89 * (T51)) + (90.79 *Crescimento!#REF!) - (3.13 * Crescimento!#REF!*Crescimento!#REF!)</f>
        <v>#REF!</v>
      </c>
      <c r="W51" s="16" t="e">
        <f>(X50+(Crescimento!#REF!-(X50*0.64))/0.8)/1000</f>
        <v>#REF!</v>
      </c>
      <c r="X51" s="17" t="e">
        <f>-53.07 + (304.89 * (W51)) + (90.79 *Crescimento!#REF!) - (3.13 * Crescimento!#REF!*Crescimento!#REF!)</f>
        <v>#REF!</v>
      </c>
      <c r="Y51" s="6"/>
      <c r="Z51" s="16" t="e">
        <f>(AA50+(Crescimento!#REF!-(AA50*0.64))/0.8)/1000</f>
        <v>#REF!</v>
      </c>
      <c r="AA51" s="17" t="e">
        <f>-53.07 + (304.89 * (Z51)) + (90.79 *Crescimento!#REF!) - (3.13 * Crescimento!#REF!*Crescimento!#REF!)</f>
        <v>#REF!</v>
      </c>
      <c r="AB51" s="6"/>
      <c r="AC51" s="16" t="e">
        <f>(AD50+(Crescimento!#REF!-(AD50*0.64))/0.8)/1000</f>
        <v>#REF!</v>
      </c>
      <c r="AD51" s="17" t="e">
        <f>-53.07 + (304.89 * (AC51)) + (90.79 *Crescimento!#REF!) - (3.13 * Crescimento!#REF!*Crescimento!#REF!)</f>
        <v>#REF!</v>
      </c>
      <c r="AE51" s="17"/>
      <c r="AF51" s="16" t="e">
        <f>(AG50+(Crescimento!#REF!-(AG50*0.64))/0.8)/1000</f>
        <v>#REF!</v>
      </c>
      <c r="AG51" s="17" t="e">
        <f>-53.07 + (304.89 * (AF51)) + (90.79 *Crescimento!#REF!) - (3.13 * Crescimento!#REF!*Crescimento!#REF!)</f>
        <v>#REF!</v>
      </c>
      <c r="AI51" s="16" t="e">
        <f>(AJ50+(Crescimento!#REF!-(AJ50*0.64))/0.8)/1000</f>
        <v>#REF!</v>
      </c>
      <c r="AJ51" s="17" t="e">
        <f>-53.07 + (304.89 * (AI51)) + (90.79 *Crescimento!#REF!) - (3.13 * Crescimento!#REF!*Crescimento!#REF!)</f>
        <v>#REF!</v>
      </c>
      <c r="AL51" s="16" t="e">
        <f>(AM50+(Crescimento!#REF!-(AM50*0.64))/0.8)/1000</f>
        <v>#REF!</v>
      </c>
      <c r="AM51" s="17" t="e">
        <f>-53.07 + (304.89 * (AL51)) + (90.79 *Crescimento!#REF!) - (3.13 * Crescimento!#REF!*Crescimento!#REF!)</f>
        <v>#REF!</v>
      </c>
      <c r="AO51" s="16" t="e">
        <f>(AP50+(Crescimento!#REF!-(AP50*0.64))/0.8)/1000</f>
        <v>#REF!</v>
      </c>
      <c r="AP51" s="17" t="e">
        <f>-53.07 + (304.89 * (AO51)) + (90.79 *Crescimento!#REF!) - (3.13 * Crescimento!#REF!*Crescimento!#REF!)</f>
        <v>#REF!</v>
      </c>
      <c r="AR51" s="16" t="e">
        <f>(AS50+(Crescimento!#REF!-(AS50*0.64))/0.8)/1000</f>
        <v>#REF!</v>
      </c>
      <c r="AS51" s="17" t="e">
        <f>-53.07 + (304.89 * (AR51)) + (90.79 *Crescimento!#REF!) - (3.13 * Crescimento!#REF!*Crescimento!#REF!)</f>
        <v>#REF!</v>
      </c>
      <c r="AU51" s="16" t="e">
        <f>(AV50+(Crescimento!#REF!-(AV50*0.64))/0.8)/1000</f>
        <v>#REF!</v>
      </c>
      <c r="AV51" s="17" t="e">
        <f>-53.07 + (304.89 * (AU51)) + (90.79 *Crescimento!#REF!) - (3.13 * Crescimento!#REF!*Crescimento!#REF!)</f>
        <v>#REF!</v>
      </c>
      <c r="AX51" s="16" t="e">
        <f>(AY50+(Crescimento!#REF!-(AY50*0.64))/0.8)/1000</f>
        <v>#REF!</v>
      </c>
      <c r="AY51" s="17" t="e">
        <f>-53.07 + (304.89 * (AX51)) + (90.79 *Crescimento!#REF!) - (3.13 * Crescimento!#REF!*Crescimento!#REF!)</f>
        <v>#REF!</v>
      </c>
      <c r="BA51" s="16" t="e">
        <f>(BB50+(Crescimento!#REF!-(BB50*0.64))/0.8)/1000</f>
        <v>#REF!</v>
      </c>
      <c r="BB51" s="17" t="e">
        <f>-53.07 + (304.89 * (BA51)) + (90.79 *Crescimento!#REF!) - (3.13 * Crescimento!#REF!*Crescimento!#REF!)</f>
        <v>#REF!</v>
      </c>
      <c r="BD51" s="16" t="e">
        <f>(BE50+(Crescimento!#REF!-(BE50*0.64))/0.8)/1000</f>
        <v>#REF!</v>
      </c>
      <c r="BE51" s="17" t="e">
        <f>-53.07 + (304.89 * (BD51)) + (90.79 *Crescimento!#REF!) - (3.13 * Crescimento!#REF!*Crescimento!#REF!)</f>
        <v>#REF!</v>
      </c>
      <c r="BG51" s="16" t="e">
        <f>(BH50+(Crescimento!#REF!-(BH50*0.64))/0.8)/1000</f>
        <v>#REF!</v>
      </c>
      <c r="BH51" s="17" t="e">
        <f>-53.07 + (304.89 * (BG51)) + (90.79 *Crescimento!#REF!) - (3.13 * Crescimento!#REF!*Crescimento!#REF!)</f>
        <v>#REF!</v>
      </c>
      <c r="BJ51" s="16" t="e">
        <f>(BK50+(Crescimento!#REF!-(BK50*0.64))/0.8)/1000</f>
        <v>#REF!</v>
      </c>
      <c r="BK51" s="17" t="e">
        <f>-53.07 + (304.89 * (BJ51)) + (90.79 *Crescimento!#REF!) - (3.13 * Crescimento!#REF!*Crescimento!#REF!)</f>
        <v>#REF!</v>
      </c>
      <c r="BM51" s="16" t="e">
        <f>(BN50+(Crescimento!#REF!-(BN50*0.64))/0.8)/1000</f>
        <v>#REF!</v>
      </c>
      <c r="BN51" s="17" t="e">
        <f>-53.07 + (304.89 * (BM51)) + (90.79 *Crescimento!#REF!) - (3.13 * Crescimento!#REF!*Crescimento!#REF!)</f>
        <v>#REF!</v>
      </c>
      <c r="BP51" s="16" t="e">
        <f>(BQ50+(Crescimento!#REF!-(BQ50*0.64))/0.8)/1000</f>
        <v>#REF!</v>
      </c>
      <c r="BQ51" s="17" t="e">
        <f>-53.07 + (304.89 * (BP51)) + (90.79 *Crescimento!#REF!) - (3.13 * Crescimento!#REF!*Crescimento!#REF!)</f>
        <v>#REF!</v>
      </c>
      <c r="BS51" s="16" t="e">
        <f>(BT50+(Crescimento!#REF!-(BT50*0.64))/0.8)/1000</f>
        <v>#REF!</v>
      </c>
      <c r="BT51" s="17" t="e">
        <f>-53.07 + (304.89 * (BS51)) + (90.79 *Crescimento!#REF!) - (3.13 * Crescimento!#REF!*Crescimento!#REF!)</f>
        <v>#REF!</v>
      </c>
      <c r="BV51" s="16" t="e">
        <f>(BW50+(Crescimento!#REF!-(BW50*0.64))/0.8)/1000</f>
        <v>#REF!</v>
      </c>
      <c r="BW51" s="17" t="e">
        <f>-53.07 + (304.89 * (BV51)) + (90.79 *Crescimento!#REF!) - (3.13 * Crescimento!#REF!*Crescimento!#REF!)</f>
        <v>#REF!</v>
      </c>
      <c r="BY51" s="16" t="e">
        <f>(BZ50+(Crescimento!#REF!-(BZ50*0.64))/0.8)/1000</f>
        <v>#REF!</v>
      </c>
      <c r="BZ51" s="17" t="e">
        <f>-53.07 + (304.89 * (BY51)) + (90.79 *Crescimento!#REF!) - (3.13 * Crescimento!#REF!*Crescimento!#REF!)</f>
        <v>#REF!</v>
      </c>
      <c r="CB51" s="16" t="e">
        <f>(CC50+(Crescimento!#REF!-(CC50*0.64))/0.8)/1000</f>
        <v>#REF!</v>
      </c>
      <c r="CC51" s="17" t="e">
        <f>-53.07 + (304.89 * (CB51)) + (90.79 *Crescimento!#REF!) - (3.13 * Crescimento!#REF!*Crescimento!#REF!)</f>
        <v>#REF!</v>
      </c>
      <c r="CE51" s="16" t="e">
        <f>(CF50+(Crescimento!#REF!-(CF50*0.64))/0.8)/1000</f>
        <v>#REF!</v>
      </c>
      <c r="CF51" s="17" t="e">
        <f>-53.07 + (304.89 * (CE51)) + (90.79 *Crescimento!#REF!) - (3.13 * Crescimento!#REF!*Crescimento!#REF!)</f>
        <v>#REF!</v>
      </c>
      <c r="CH51" s="16" t="e">
        <f>(CI50+(Crescimento!#REF!-(CI50*0.64))/0.8)/1000</f>
        <v>#REF!</v>
      </c>
      <c r="CI51" s="17" t="e">
        <f>-53.07 + (304.89 * (CH51)) + (90.79 *Crescimento!#REF!) - (3.13 * Crescimento!#REF!*Crescimento!#REF!)</f>
        <v>#REF!</v>
      </c>
      <c r="CK51" s="16" t="e">
        <f>(CL50+(Crescimento!#REF!-(CL50*0.64))/0.8)/1000</f>
        <v>#REF!</v>
      </c>
      <c r="CL51" s="17" t="e">
        <f>-53.07 + (304.89 * (CK51)) + (90.79 *Crescimento!#REF!) - (3.13 * Crescimento!#REF!*Crescimento!#REF!)</f>
        <v>#REF!</v>
      </c>
    </row>
    <row r="52" spans="2:90" x14ac:dyDescent="0.25">
      <c r="B52" s="16">
        <f>(C51+('Vacas e Bezerros'!$O$29-(C51*0.64))/0.8)/1000</f>
        <v>1.1219974776113528</v>
      </c>
      <c r="C52" s="17">
        <f>-53.07 + (304.89 * (B52)) + (90.79 *'Vacas e Bezerros'!$O$23) - (3.13 * 'Vacas e Bezerros'!$O$23*'Vacas e Bezerros'!$O$23)</f>
        <v>715.77733851110622</v>
      </c>
      <c r="E52" s="16" t="e">
        <f>(F51+(Crescimento!#REF!-(F51*0.64))/0.8)/1000</f>
        <v>#REF!</v>
      </c>
      <c r="F52" s="17" t="e">
        <f>-53.07 + (304.89 * (E52)) + (90.79 *Crescimento!#REF!) - (3.13 * Crescimento!#REF!*Crescimento!#REF!)</f>
        <v>#REF!</v>
      </c>
      <c r="G52" s="1"/>
      <c r="H52" s="16" t="e">
        <f>(I51+(Crescimento!#REF!-(I51*0.64))/0.8)/1000</f>
        <v>#REF!</v>
      </c>
      <c r="I52" s="17" t="e">
        <f>-53.07 + (304.89 * (H52)) + (90.79 *Crescimento!#REF!) - (3.13 * Crescimento!#REF!*Crescimento!#REF!)</f>
        <v>#REF!</v>
      </c>
      <c r="K52" s="16" t="e">
        <f>(L51+(Crescimento!#REF!-(L51*0.64))/0.8)/1000</f>
        <v>#REF!</v>
      </c>
      <c r="L52" s="17" t="e">
        <f>-53.07 + (304.89 * (K52)) + (90.79 *Crescimento!#REF!) - (3.13 * Crescimento!#REF!*Crescimento!#REF!)</f>
        <v>#REF!</v>
      </c>
      <c r="N52" s="16" t="e">
        <f>(O51+(Crescimento!#REF!-(O51*0.64))/0.8)/1000</f>
        <v>#REF!</v>
      </c>
      <c r="O52" s="17" t="e">
        <f>-53.07 + (304.89 * (N52)) + (90.79 *Crescimento!#REF!) - (3.13 * Crescimento!#REF!*Crescimento!#REF!)</f>
        <v>#REF!</v>
      </c>
      <c r="Q52" s="16" t="e">
        <f>(R51+(Crescimento!#REF!-(R51*0.64))/0.8)/1000</f>
        <v>#REF!</v>
      </c>
      <c r="R52" s="17" t="e">
        <f>-53.07 + (304.89 * (Q52)) + (90.79 *Crescimento!#REF!) - (3.13 * Crescimento!#REF!*Crescimento!#REF!)</f>
        <v>#REF!</v>
      </c>
      <c r="T52" s="16" t="e">
        <f>(U51+(Crescimento!#REF!-(U51*0.64))/0.8)/1000</f>
        <v>#REF!</v>
      </c>
      <c r="U52" s="17" t="e">
        <f>-53.07 + (304.89 * (T52)) + (90.79 *Crescimento!#REF!) - (3.13 * Crescimento!#REF!*Crescimento!#REF!)</f>
        <v>#REF!</v>
      </c>
      <c r="W52" s="16" t="e">
        <f>(X51+(Crescimento!#REF!-(X51*0.64))/0.8)/1000</f>
        <v>#REF!</v>
      </c>
      <c r="X52" s="17" t="e">
        <f>-53.07 + (304.89 * (W52)) + (90.79 *Crescimento!#REF!) - (3.13 * Crescimento!#REF!*Crescimento!#REF!)</f>
        <v>#REF!</v>
      </c>
      <c r="Y52" s="6"/>
      <c r="Z52" s="16" t="e">
        <f>(AA51+(Crescimento!#REF!-(AA51*0.64))/0.8)/1000</f>
        <v>#REF!</v>
      </c>
      <c r="AA52" s="17" t="e">
        <f>-53.07 + (304.89 * (Z52)) + (90.79 *Crescimento!#REF!) - (3.13 * Crescimento!#REF!*Crescimento!#REF!)</f>
        <v>#REF!</v>
      </c>
      <c r="AB52" s="6"/>
      <c r="AC52" s="16" t="e">
        <f>(AD51+(Crescimento!#REF!-(AD51*0.64))/0.8)/1000</f>
        <v>#REF!</v>
      </c>
      <c r="AD52" s="17" t="e">
        <f>-53.07 + (304.89 * (AC52)) + (90.79 *Crescimento!#REF!) - (3.13 * Crescimento!#REF!*Crescimento!#REF!)</f>
        <v>#REF!</v>
      </c>
      <c r="AE52" s="17"/>
      <c r="AF52" s="16" t="e">
        <f>(AG51+(Crescimento!#REF!-(AG51*0.64))/0.8)/1000</f>
        <v>#REF!</v>
      </c>
      <c r="AG52" s="17" t="e">
        <f>-53.07 + (304.89 * (AF52)) + (90.79 *Crescimento!#REF!) - (3.13 * Crescimento!#REF!*Crescimento!#REF!)</f>
        <v>#REF!</v>
      </c>
      <c r="AI52" s="16" t="e">
        <f>(AJ51+(Crescimento!#REF!-(AJ51*0.64))/0.8)/1000</f>
        <v>#REF!</v>
      </c>
      <c r="AJ52" s="17" t="e">
        <f>-53.07 + (304.89 * (AI52)) + (90.79 *Crescimento!#REF!) - (3.13 * Crescimento!#REF!*Crescimento!#REF!)</f>
        <v>#REF!</v>
      </c>
      <c r="AL52" s="16" t="e">
        <f>(AM51+(Crescimento!#REF!-(AM51*0.64))/0.8)/1000</f>
        <v>#REF!</v>
      </c>
      <c r="AM52" s="17" t="e">
        <f>-53.07 + (304.89 * (AL52)) + (90.79 *Crescimento!#REF!) - (3.13 * Crescimento!#REF!*Crescimento!#REF!)</f>
        <v>#REF!</v>
      </c>
      <c r="AO52" s="16" t="e">
        <f>(AP51+(Crescimento!#REF!-(AP51*0.64))/0.8)/1000</f>
        <v>#REF!</v>
      </c>
      <c r="AP52" s="17" t="e">
        <f>-53.07 + (304.89 * (AO52)) + (90.79 *Crescimento!#REF!) - (3.13 * Crescimento!#REF!*Crescimento!#REF!)</f>
        <v>#REF!</v>
      </c>
      <c r="AR52" s="16" t="e">
        <f>(AS51+(Crescimento!#REF!-(AS51*0.64))/0.8)/1000</f>
        <v>#REF!</v>
      </c>
      <c r="AS52" s="17" t="e">
        <f>-53.07 + (304.89 * (AR52)) + (90.79 *Crescimento!#REF!) - (3.13 * Crescimento!#REF!*Crescimento!#REF!)</f>
        <v>#REF!</v>
      </c>
      <c r="AU52" s="16" t="e">
        <f>(AV51+(Crescimento!#REF!-(AV51*0.64))/0.8)/1000</f>
        <v>#REF!</v>
      </c>
      <c r="AV52" s="17" t="e">
        <f>-53.07 + (304.89 * (AU52)) + (90.79 *Crescimento!#REF!) - (3.13 * Crescimento!#REF!*Crescimento!#REF!)</f>
        <v>#REF!</v>
      </c>
      <c r="AX52" s="16" t="e">
        <f>(AY51+(Crescimento!#REF!-(AY51*0.64))/0.8)/1000</f>
        <v>#REF!</v>
      </c>
      <c r="AY52" s="17" t="e">
        <f>-53.07 + (304.89 * (AX52)) + (90.79 *Crescimento!#REF!) - (3.13 * Crescimento!#REF!*Crescimento!#REF!)</f>
        <v>#REF!</v>
      </c>
      <c r="BA52" s="16" t="e">
        <f>(BB51+(Crescimento!#REF!-(BB51*0.64))/0.8)/1000</f>
        <v>#REF!</v>
      </c>
      <c r="BB52" s="17" t="e">
        <f>-53.07 + (304.89 * (BA52)) + (90.79 *Crescimento!#REF!) - (3.13 * Crescimento!#REF!*Crescimento!#REF!)</f>
        <v>#REF!</v>
      </c>
      <c r="BD52" s="16" t="e">
        <f>(BE51+(Crescimento!#REF!-(BE51*0.64))/0.8)/1000</f>
        <v>#REF!</v>
      </c>
      <c r="BE52" s="17" t="e">
        <f>-53.07 + (304.89 * (BD52)) + (90.79 *Crescimento!#REF!) - (3.13 * Crescimento!#REF!*Crescimento!#REF!)</f>
        <v>#REF!</v>
      </c>
      <c r="BG52" s="16" t="e">
        <f>(BH51+(Crescimento!#REF!-(BH51*0.64))/0.8)/1000</f>
        <v>#REF!</v>
      </c>
      <c r="BH52" s="17" t="e">
        <f>-53.07 + (304.89 * (BG52)) + (90.79 *Crescimento!#REF!) - (3.13 * Crescimento!#REF!*Crescimento!#REF!)</f>
        <v>#REF!</v>
      </c>
      <c r="BJ52" s="16" t="e">
        <f>(BK51+(Crescimento!#REF!-(BK51*0.64))/0.8)/1000</f>
        <v>#REF!</v>
      </c>
      <c r="BK52" s="17" t="e">
        <f>-53.07 + (304.89 * (BJ52)) + (90.79 *Crescimento!#REF!) - (3.13 * Crescimento!#REF!*Crescimento!#REF!)</f>
        <v>#REF!</v>
      </c>
      <c r="BM52" s="16" t="e">
        <f>(BN51+(Crescimento!#REF!-(BN51*0.64))/0.8)/1000</f>
        <v>#REF!</v>
      </c>
      <c r="BN52" s="17" t="e">
        <f>-53.07 + (304.89 * (BM52)) + (90.79 *Crescimento!#REF!) - (3.13 * Crescimento!#REF!*Crescimento!#REF!)</f>
        <v>#REF!</v>
      </c>
      <c r="BP52" s="16" t="e">
        <f>(BQ51+(Crescimento!#REF!-(BQ51*0.64))/0.8)/1000</f>
        <v>#REF!</v>
      </c>
      <c r="BQ52" s="17" t="e">
        <f>-53.07 + (304.89 * (BP52)) + (90.79 *Crescimento!#REF!) - (3.13 * Crescimento!#REF!*Crescimento!#REF!)</f>
        <v>#REF!</v>
      </c>
      <c r="BS52" s="16" t="e">
        <f>(BT51+(Crescimento!#REF!-(BT51*0.64))/0.8)/1000</f>
        <v>#REF!</v>
      </c>
      <c r="BT52" s="17" t="e">
        <f>-53.07 + (304.89 * (BS52)) + (90.79 *Crescimento!#REF!) - (3.13 * Crescimento!#REF!*Crescimento!#REF!)</f>
        <v>#REF!</v>
      </c>
      <c r="BV52" s="16" t="e">
        <f>(BW51+(Crescimento!#REF!-(BW51*0.64))/0.8)/1000</f>
        <v>#REF!</v>
      </c>
      <c r="BW52" s="17" t="e">
        <f>-53.07 + (304.89 * (BV52)) + (90.79 *Crescimento!#REF!) - (3.13 * Crescimento!#REF!*Crescimento!#REF!)</f>
        <v>#REF!</v>
      </c>
      <c r="BY52" s="16" t="e">
        <f>(BZ51+(Crescimento!#REF!-(BZ51*0.64))/0.8)/1000</f>
        <v>#REF!</v>
      </c>
      <c r="BZ52" s="17" t="e">
        <f>-53.07 + (304.89 * (BY52)) + (90.79 *Crescimento!#REF!) - (3.13 * Crescimento!#REF!*Crescimento!#REF!)</f>
        <v>#REF!</v>
      </c>
      <c r="CB52" s="16" t="e">
        <f>(CC51+(Crescimento!#REF!-(CC51*0.64))/0.8)/1000</f>
        <v>#REF!</v>
      </c>
      <c r="CC52" s="17" t="e">
        <f>-53.07 + (304.89 * (CB52)) + (90.79 *Crescimento!#REF!) - (3.13 * Crescimento!#REF!*Crescimento!#REF!)</f>
        <v>#REF!</v>
      </c>
      <c r="CE52" s="16" t="e">
        <f>(CF51+(Crescimento!#REF!-(CF51*0.64))/0.8)/1000</f>
        <v>#REF!</v>
      </c>
      <c r="CF52" s="17" t="e">
        <f>-53.07 + (304.89 * (CE52)) + (90.79 *Crescimento!#REF!) - (3.13 * Crescimento!#REF!*Crescimento!#REF!)</f>
        <v>#REF!</v>
      </c>
      <c r="CH52" s="16" t="e">
        <f>(CI51+(Crescimento!#REF!-(CI51*0.64))/0.8)/1000</f>
        <v>#REF!</v>
      </c>
      <c r="CI52" s="17" t="e">
        <f>-53.07 + (304.89 * (CH52)) + (90.79 *Crescimento!#REF!) - (3.13 * Crescimento!#REF!*Crescimento!#REF!)</f>
        <v>#REF!</v>
      </c>
      <c r="CK52" s="16" t="e">
        <f>(CL51+(Crescimento!#REF!-(CL51*0.64))/0.8)/1000</f>
        <v>#REF!</v>
      </c>
      <c r="CL52" s="17" t="e">
        <f>-53.07 + (304.89 * (CK52)) + (90.79 *Crescimento!#REF!) - (3.13 * Crescimento!#REF!*Crescimento!#REF!)</f>
        <v>#REF!</v>
      </c>
    </row>
    <row r="53" spans="2:90" x14ac:dyDescent="0.25">
      <c r="B53" s="16">
        <f>(C52+('Vacas e Bezerros'!$O$29-(C52*0.64))/0.8)/1000</f>
        <v>1.1219974776113528</v>
      </c>
      <c r="C53" s="17">
        <f>-53.07 + (304.89 * (B53)) + (90.79 *'Vacas e Bezerros'!$O$23) - (3.13 * 'Vacas e Bezerros'!$O$23*'Vacas e Bezerros'!$O$23)</f>
        <v>715.77733851110622</v>
      </c>
      <c r="E53" s="16" t="e">
        <f>(F52+(Crescimento!#REF!-(F52*0.64))/0.8)/1000</f>
        <v>#REF!</v>
      </c>
      <c r="F53" s="17" t="e">
        <f>-53.07 + (304.89 * (E53)) + (90.79 *Crescimento!#REF!) - (3.13 * Crescimento!#REF!*Crescimento!#REF!)</f>
        <v>#REF!</v>
      </c>
      <c r="G53" s="1"/>
      <c r="H53" s="16" t="e">
        <f>(I52+(Crescimento!#REF!-(I52*0.64))/0.8)/1000</f>
        <v>#REF!</v>
      </c>
      <c r="I53" s="17" t="e">
        <f>-53.07 + (304.89 * (H53)) + (90.79 *Crescimento!#REF!) - (3.13 * Crescimento!#REF!*Crescimento!#REF!)</f>
        <v>#REF!</v>
      </c>
      <c r="K53" s="16" t="e">
        <f>(L52+(Crescimento!#REF!-(L52*0.64))/0.8)/1000</f>
        <v>#REF!</v>
      </c>
      <c r="L53" s="17" t="e">
        <f>-53.07 + (304.89 * (K53)) + (90.79 *Crescimento!#REF!) - (3.13 * Crescimento!#REF!*Crescimento!#REF!)</f>
        <v>#REF!</v>
      </c>
      <c r="N53" s="16" t="e">
        <f>(O52+(Crescimento!#REF!-(O52*0.64))/0.8)/1000</f>
        <v>#REF!</v>
      </c>
      <c r="O53" s="17" t="e">
        <f>-53.07 + (304.89 * (N53)) + (90.79 *Crescimento!#REF!) - (3.13 * Crescimento!#REF!*Crescimento!#REF!)</f>
        <v>#REF!</v>
      </c>
      <c r="Q53" s="16" t="e">
        <f>(R52+(Crescimento!#REF!-(R52*0.64))/0.8)/1000</f>
        <v>#REF!</v>
      </c>
      <c r="R53" s="17" t="e">
        <f>-53.07 + (304.89 * (Q53)) + (90.79 *Crescimento!#REF!) - (3.13 * Crescimento!#REF!*Crescimento!#REF!)</f>
        <v>#REF!</v>
      </c>
      <c r="T53" s="16" t="e">
        <f>(U52+(Crescimento!#REF!-(U52*0.64))/0.8)/1000</f>
        <v>#REF!</v>
      </c>
      <c r="U53" s="17" t="e">
        <f>-53.07 + (304.89 * (T53)) + (90.79 *Crescimento!#REF!) - (3.13 * Crescimento!#REF!*Crescimento!#REF!)</f>
        <v>#REF!</v>
      </c>
      <c r="W53" s="16" t="e">
        <f>(X52+(Crescimento!#REF!-(X52*0.64))/0.8)/1000</f>
        <v>#REF!</v>
      </c>
      <c r="X53" s="17" t="e">
        <f>-53.07 + (304.89 * (W53)) + (90.79 *Crescimento!#REF!) - (3.13 * Crescimento!#REF!*Crescimento!#REF!)</f>
        <v>#REF!</v>
      </c>
      <c r="Y53" s="6"/>
      <c r="Z53" s="16" t="e">
        <f>(AA52+(Crescimento!#REF!-(AA52*0.64))/0.8)/1000</f>
        <v>#REF!</v>
      </c>
      <c r="AA53" s="17" t="e">
        <f>-53.07 + (304.89 * (Z53)) + (90.79 *Crescimento!#REF!) - (3.13 * Crescimento!#REF!*Crescimento!#REF!)</f>
        <v>#REF!</v>
      </c>
      <c r="AB53" s="6"/>
      <c r="AC53" s="16" t="e">
        <f>(AD52+(Crescimento!#REF!-(AD52*0.64))/0.8)/1000</f>
        <v>#REF!</v>
      </c>
      <c r="AD53" s="17" t="e">
        <f>-53.07 + (304.89 * (AC53)) + (90.79 *Crescimento!#REF!) - (3.13 * Crescimento!#REF!*Crescimento!#REF!)</f>
        <v>#REF!</v>
      </c>
      <c r="AE53" s="17"/>
      <c r="AF53" s="16" t="e">
        <f>(AG52+(Crescimento!#REF!-(AG52*0.64))/0.8)/1000</f>
        <v>#REF!</v>
      </c>
      <c r="AG53" s="17" t="e">
        <f>-53.07 + (304.89 * (AF53)) + (90.79 *Crescimento!#REF!) - (3.13 * Crescimento!#REF!*Crescimento!#REF!)</f>
        <v>#REF!</v>
      </c>
      <c r="AI53" s="16" t="e">
        <f>(AJ52+(Crescimento!#REF!-(AJ52*0.64))/0.8)/1000</f>
        <v>#REF!</v>
      </c>
      <c r="AJ53" s="17" t="e">
        <f>-53.07 + (304.89 * (AI53)) + (90.79 *Crescimento!#REF!) - (3.13 * Crescimento!#REF!*Crescimento!#REF!)</f>
        <v>#REF!</v>
      </c>
      <c r="AL53" s="16" t="e">
        <f>(AM52+(Crescimento!#REF!-(AM52*0.64))/0.8)/1000</f>
        <v>#REF!</v>
      </c>
      <c r="AM53" s="17" t="e">
        <f>-53.07 + (304.89 * (AL53)) + (90.79 *Crescimento!#REF!) - (3.13 * Crescimento!#REF!*Crescimento!#REF!)</f>
        <v>#REF!</v>
      </c>
      <c r="AO53" s="16" t="e">
        <f>(AP52+(Crescimento!#REF!-(AP52*0.64))/0.8)/1000</f>
        <v>#REF!</v>
      </c>
      <c r="AP53" s="17" t="e">
        <f>-53.07 + (304.89 * (AO53)) + (90.79 *Crescimento!#REF!) - (3.13 * Crescimento!#REF!*Crescimento!#REF!)</f>
        <v>#REF!</v>
      </c>
      <c r="AR53" s="16" t="e">
        <f>(AS52+(Crescimento!#REF!-(AS52*0.64))/0.8)/1000</f>
        <v>#REF!</v>
      </c>
      <c r="AS53" s="17" t="e">
        <f>-53.07 + (304.89 * (AR53)) + (90.79 *Crescimento!#REF!) - (3.13 * Crescimento!#REF!*Crescimento!#REF!)</f>
        <v>#REF!</v>
      </c>
      <c r="AU53" s="16" t="e">
        <f>(AV52+(Crescimento!#REF!-(AV52*0.64))/0.8)/1000</f>
        <v>#REF!</v>
      </c>
      <c r="AV53" s="17" t="e">
        <f>-53.07 + (304.89 * (AU53)) + (90.79 *Crescimento!#REF!) - (3.13 * Crescimento!#REF!*Crescimento!#REF!)</f>
        <v>#REF!</v>
      </c>
      <c r="AX53" s="16" t="e">
        <f>(AY52+(Crescimento!#REF!-(AY52*0.64))/0.8)/1000</f>
        <v>#REF!</v>
      </c>
      <c r="AY53" s="17" t="e">
        <f>-53.07 + (304.89 * (AX53)) + (90.79 *Crescimento!#REF!) - (3.13 * Crescimento!#REF!*Crescimento!#REF!)</f>
        <v>#REF!</v>
      </c>
      <c r="BA53" s="16" t="e">
        <f>(BB52+(Crescimento!#REF!-(BB52*0.64))/0.8)/1000</f>
        <v>#REF!</v>
      </c>
      <c r="BB53" s="17" t="e">
        <f>-53.07 + (304.89 * (BA53)) + (90.79 *Crescimento!#REF!) - (3.13 * Crescimento!#REF!*Crescimento!#REF!)</f>
        <v>#REF!</v>
      </c>
      <c r="BD53" s="16" t="e">
        <f>(BE52+(Crescimento!#REF!-(BE52*0.64))/0.8)/1000</f>
        <v>#REF!</v>
      </c>
      <c r="BE53" s="17" t="e">
        <f>-53.07 + (304.89 * (BD53)) + (90.79 *Crescimento!#REF!) - (3.13 * Crescimento!#REF!*Crescimento!#REF!)</f>
        <v>#REF!</v>
      </c>
      <c r="BG53" s="16" t="e">
        <f>(BH52+(Crescimento!#REF!-(BH52*0.64))/0.8)/1000</f>
        <v>#REF!</v>
      </c>
      <c r="BH53" s="17" t="e">
        <f>-53.07 + (304.89 * (BG53)) + (90.79 *Crescimento!#REF!) - (3.13 * Crescimento!#REF!*Crescimento!#REF!)</f>
        <v>#REF!</v>
      </c>
      <c r="BJ53" s="16" t="e">
        <f>(BK52+(Crescimento!#REF!-(BK52*0.64))/0.8)/1000</f>
        <v>#REF!</v>
      </c>
      <c r="BK53" s="17" t="e">
        <f>-53.07 + (304.89 * (BJ53)) + (90.79 *Crescimento!#REF!) - (3.13 * Crescimento!#REF!*Crescimento!#REF!)</f>
        <v>#REF!</v>
      </c>
      <c r="BM53" s="16" t="e">
        <f>(BN52+(Crescimento!#REF!-(BN52*0.64))/0.8)/1000</f>
        <v>#REF!</v>
      </c>
      <c r="BN53" s="17" t="e">
        <f>-53.07 + (304.89 * (BM53)) + (90.79 *Crescimento!#REF!) - (3.13 * Crescimento!#REF!*Crescimento!#REF!)</f>
        <v>#REF!</v>
      </c>
      <c r="BP53" s="16" t="e">
        <f>(BQ52+(Crescimento!#REF!-(BQ52*0.64))/0.8)/1000</f>
        <v>#REF!</v>
      </c>
      <c r="BQ53" s="17" t="e">
        <f>-53.07 + (304.89 * (BP53)) + (90.79 *Crescimento!#REF!) - (3.13 * Crescimento!#REF!*Crescimento!#REF!)</f>
        <v>#REF!</v>
      </c>
      <c r="BS53" s="16" t="e">
        <f>(BT52+(Crescimento!#REF!-(BT52*0.64))/0.8)/1000</f>
        <v>#REF!</v>
      </c>
      <c r="BT53" s="17" t="e">
        <f>-53.07 + (304.89 * (BS53)) + (90.79 *Crescimento!#REF!) - (3.13 * Crescimento!#REF!*Crescimento!#REF!)</f>
        <v>#REF!</v>
      </c>
      <c r="BV53" s="16" t="e">
        <f>(BW52+(Crescimento!#REF!-(BW52*0.64))/0.8)/1000</f>
        <v>#REF!</v>
      </c>
      <c r="BW53" s="17" t="e">
        <f>-53.07 + (304.89 * (BV53)) + (90.79 *Crescimento!#REF!) - (3.13 * Crescimento!#REF!*Crescimento!#REF!)</f>
        <v>#REF!</v>
      </c>
      <c r="BY53" s="16" t="e">
        <f>(BZ52+(Crescimento!#REF!-(BZ52*0.64))/0.8)/1000</f>
        <v>#REF!</v>
      </c>
      <c r="BZ53" s="17" t="e">
        <f>-53.07 + (304.89 * (BY53)) + (90.79 *Crescimento!#REF!) - (3.13 * Crescimento!#REF!*Crescimento!#REF!)</f>
        <v>#REF!</v>
      </c>
      <c r="CB53" s="16" t="e">
        <f>(CC52+(Crescimento!#REF!-(CC52*0.64))/0.8)/1000</f>
        <v>#REF!</v>
      </c>
      <c r="CC53" s="17" t="e">
        <f>-53.07 + (304.89 * (CB53)) + (90.79 *Crescimento!#REF!) - (3.13 * Crescimento!#REF!*Crescimento!#REF!)</f>
        <v>#REF!</v>
      </c>
      <c r="CE53" s="16" t="e">
        <f>(CF52+(Crescimento!#REF!-(CF52*0.64))/0.8)/1000</f>
        <v>#REF!</v>
      </c>
      <c r="CF53" s="17" t="e">
        <f>-53.07 + (304.89 * (CE53)) + (90.79 *Crescimento!#REF!) - (3.13 * Crescimento!#REF!*Crescimento!#REF!)</f>
        <v>#REF!</v>
      </c>
      <c r="CH53" s="16" t="e">
        <f>(CI52+(Crescimento!#REF!-(CI52*0.64))/0.8)/1000</f>
        <v>#REF!</v>
      </c>
      <c r="CI53" s="17" t="e">
        <f>-53.07 + (304.89 * (CH53)) + (90.79 *Crescimento!#REF!) - (3.13 * Crescimento!#REF!*Crescimento!#REF!)</f>
        <v>#REF!</v>
      </c>
      <c r="CK53" s="16" t="e">
        <f>(CL52+(Crescimento!#REF!-(CL52*0.64))/0.8)/1000</f>
        <v>#REF!</v>
      </c>
      <c r="CL53" s="17" t="e">
        <f>-53.07 + (304.89 * (CK53)) + (90.79 *Crescimento!#REF!) - (3.13 * Crescimento!#REF!*Crescimento!#REF!)</f>
        <v>#REF!</v>
      </c>
    </row>
    <row r="54" spans="2:90" x14ac:dyDescent="0.25">
      <c r="B54" s="16">
        <f>(C53+('Vacas e Bezerros'!$O$29-(C53*0.64))/0.8)/1000</f>
        <v>1.1219974776113528</v>
      </c>
      <c r="C54" s="17">
        <f>-53.07 + (304.89 * (B54)) + (90.79 *'Vacas e Bezerros'!$O$23) - (3.13 * 'Vacas e Bezerros'!$O$23*'Vacas e Bezerros'!$O$23)</f>
        <v>715.77733851110622</v>
      </c>
      <c r="E54" s="16" t="e">
        <f>(F53+(Crescimento!#REF!-(F53*0.64))/0.8)/1000</f>
        <v>#REF!</v>
      </c>
      <c r="F54" s="17" t="e">
        <f>-53.07 + (304.89 * (E54)) + (90.79 *Crescimento!#REF!) - (3.13 * Crescimento!#REF!*Crescimento!#REF!)</f>
        <v>#REF!</v>
      </c>
      <c r="G54" s="1"/>
      <c r="H54" s="16" t="e">
        <f>(I53+(Crescimento!#REF!-(I53*0.64))/0.8)/1000</f>
        <v>#REF!</v>
      </c>
      <c r="I54" s="17" t="e">
        <f>-53.07 + (304.89 * (H54)) + (90.79 *Crescimento!#REF!) - (3.13 * Crescimento!#REF!*Crescimento!#REF!)</f>
        <v>#REF!</v>
      </c>
      <c r="K54" s="16" t="e">
        <f>(L53+(Crescimento!#REF!-(L53*0.64))/0.8)/1000</f>
        <v>#REF!</v>
      </c>
      <c r="L54" s="17" t="e">
        <f>-53.07 + (304.89 * (K54)) + (90.79 *Crescimento!#REF!) - (3.13 * Crescimento!#REF!*Crescimento!#REF!)</f>
        <v>#REF!</v>
      </c>
      <c r="N54" s="16" t="e">
        <f>(O53+(Crescimento!#REF!-(O53*0.64))/0.8)/1000</f>
        <v>#REF!</v>
      </c>
      <c r="O54" s="17" t="e">
        <f>-53.07 + (304.89 * (N54)) + (90.79 *Crescimento!#REF!) - (3.13 * Crescimento!#REF!*Crescimento!#REF!)</f>
        <v>#REF!</v>
      </c>
      <c r="Q54" s="16" t="e">
        <f>(R53+(Crescimento!#REF!-(R53*0.64))/0.8)/1000</f>
        <v>#REF!</v>
      </c>
      <c r="R54" s="17" t="e">
        <f>-53.07 + (304.89 * (Q54)) + (90.79 *Crescimento!#REF!) - (3.13 * Crescimento!#REF!*Crescimento!#REF!)</f>
        <v>#REF!</v>
      </c>
      <c r="T54" s="16" t="e">
        <f>(U53+(Crescimento!#REF!-(U53*0.64))/0.8)/1000</f>
        <v>#REF!</v>
      </c>
      <c r="U54" s="17" t="e">
        <f>-53.07 + (304.89 * (T54)) + (90.79 *Crescimento!#REF!) - (3.13 * Crescimento!#REF!*Crescimento!#REF!)</f>
        <v>#REF!</v>
      </c>
      <c r="W54" s="16" t="e">
        <f>(X53+(Crescimento!#REF!-(X53*0.64))/0.8)/1000</f>
        <v>#REF!</v>
      </c>
      <c r="X54" s="17" t="e">
        <f>-53.07 + (304.89 * (W54)) + (90.79 *Crescimento!#REF!) - (3.13 * Crescimento!#REF!*Crescimento!#REF!)</f>
        <v>#REF!</v>
      </c>
      <c r="Y54" s="6"/>
      <c r="Z54" s="16" t="e">
        <f>(AA53+(Crescimento!#REF!-(AA53*0.64))/0.8)/1000</f>
        <v>#REF!</v>
      </c>
      <c r="AA54" s="17" t="e">
        <f>-53.07 + (304.89 * (Z54)) + (90.79 *Crescimento!#REF!) - (3.13 * Crescimento!#REF!*Crescimento!#REF!)</f>
        <v>#REF!</v>
      </c>
      <c r="AB54" s="6"/>
      <c r="AC54" s="16" t="e">
        <f>(AD53+(Crescimento!#REF!-(AD53*0.64))/0.8)/1000</f>
        <v>#REF!</v>
      </c>
      <c r="AD54" s="17" t="e">
        <f>-53.07 + (304.89 * (AC54)) + (90.79 *Crescimento!#REF!) - (3.13 * Crescimento!#REF!*Crescimento!#REF!)</f>
        <v>#REF!</v>
      </c>
      <c r="AE54" s="17"/>
      <c r="AF54" s="16" t="e">
        <f>(AG53+(Crescimento!#REF!-(AG53*0.64))/0.8)/1000</f>
        <v>#REF!</v>
      </c>
      <c r="AG54" s="17" t="e">
        <f>-53.07 + (304.89 * (AF54)) + (90.79 *Crescimento!#REF!) - (3.13 * Crescimento!#REF!*Crescimento!#REF!)</f>
        <v>#REF!</v>
      </c>
      <c r="AI54" s="16" t="e">
        <f>(AJ53+(Crescimento!#REF!-(AJ53*0.64))/0.8)/1000</f>
        <v>#REF!</v>
      </c>
      <c r="AJ54" s="17" t="e">
        <f>-53.07 + (304.89 * (AI54)) + (90.79 *Crescimento!#REF!) - (3.13 * Crescimento!#REF!*Crescimento!#REF!)</f>
        <v>#REF!</v>
      </c>
      <c r="AL54" s="16" t="e">
        <f>(AM53+(Crescimento!#REF!-(AM53*0.64))/0.8)/1000</f>
        <v>#REF!</v>
      </c>
      <c r="AM54" s="17" t="e">
        <f>-53.07 + (304.89 * (AL54)) + (90.79 *Crescimento!#REF!) - (3.13 * Crescimento!#REF!*Crescimento!#REF!)</f>
        <v>#REF!</v>
      </c>
      <c r="AO54" s="16" t="e">
        <f>(AP53+(Crescimento!#REF!-(AP53*0.64))/0.8)/1000</f>
        <v>#REF!</v>
      </c>
      <c r="AP54" s="17" t="e">
        <f>-53.07 + (304.89 * (AO54)) + (90.79 *Crescimento!#REF!) - (3.13 * Crescimento!#REF!*Crescimento!#REF!)</f>
        <v>#REF!</v>
      </c>
      <c r="AR54" s="16" t="e">
        <f>(AS53+(Crescimento!#REF!-(AS53*0.64))/0.8)/1000</f>
        <v>#REF!</v>
      </c>
      <c r="AS54" s="17" t="e">
        <f>-53.07 + (304.89 * (AR54)) + (90.79 *Crescimento!#REF!) - (3.13 * Crescimento!#REF!*Crescimento!#REF!)</f>
        <v>#REF!</v>
      </c>
      <c r="AU54" s="16" t="e">
        <f>(AV53+(Crescimento!#REF!-(AV53*0.64))/0.8)/1000</f>
        <v>#REF!</v>
      </c>
      <c r="AV54" s="17" t="e">
        <f>-53.07 + (304.89 * (AU54)) + (90.79 *Crescimento!#REF!) - (3.13 * Crescimento!#REF!*Crescimento!#REF!)</f>
        <v>#REF!</v>
      </c>
      <c r="AX54" s="16" t="e">
        <f>(AY53+(Crescimento!#REF!-(AY53*0.64))/0.8)/1000</f>
        <v>#REF!</v>
      </c>
      <c r="AY54" s="17" t="e">
        <f>-53.07 + (304.89 * (AX54)) + (90.79 *Crescimento!#REF!) - (3.13 * Crescimento!#REF!*Crescimento!#REF!)</f>
        <v>#REF!</v>
      </c>
      <c r="BA54" s="16" t="e">
        <f>(BB53+(Crescimento!#REF!-(BB53*0.64))/0.8)/1000</f>
        <v>#REF!</v>
      </c>
      <c r="BB54" s="17" t="e">
        <f>-53.07 + (304.89 * (BA54)) + (90.79 *Crescimento!#REF!) - (3.13 * Crescimento!#REF!*Crescimento!#REF!)</f>
        <v>#REF!</v>
      </c>
      <c r="BD54" s="16" t="e">
        <f>(BE53+(Crescimento!#REF!-(BE53*0.64))/0.8)/1000</f>
        <v>#REF!</v>
      </c>
      <c r="BE54" s="17" t="e">
        <f>-53.07 + (304.89 * (BD54)) + (90.79 *Crescimento!#REF!) - (3.13 * Crescimento!#REF!*Crescimento!#REF!)</f>
        <v>#REF!</v>
      </c>
      <c r="BG54" s="16" t="e">
        <f>(BH53+(Crescimento!#REF!-(BH53*0.64))/0.8)/1000</f>
        <v>#REF!</v>
      </c>
      <c r="BH54" s="17" t="e">
        <f>-53.07 + (304.89 * (BG54)) + (90.79 *Crescimento!#REF!) - (3.13 * Crescimento!#REF!*Crescimento!#REF!)</f>
        <v>#REF!</v>
      </c>
      <c r="BJ54" s="16" t="e">
        <f>(BK53+(Crescimento!#REF!-(BK53*0.64))/0.8)/1000</f>
        <v>#REF!</v>
      </c>
      <c r="BK54" s="17" t="e">
        <f>-53.07 + (304.89 * (BJ54)) + (90.79 *Crescimento!#REF!) - (3.13 * Crescimento!#REF!*Crescimento!#REF!)</f>
        <v>#REF!</v>
      </c>
      <c r="BM54" s="16" t="e">
        <f>(BN53+(Crescimento!#REF!-(BN53*0.64))/0.8)/1000</f>
        <v>#REF!</v>
      </c>
      <c r="BN54" s="17" t="e">
        <f>-53.07 + (304.89 * (BM54)) + (90.79 *Crescimento!#REF!) - (3.13 * Crescimento!#REF!*Crescimento!#REF!)</f>
        <v>#REF!</v>
      </c>
      <c r="BP54" s="16" t="e">
        <f>(BQ53+(Crescimento!#REF!-(BQ53*0.64))/0.8)/1000</f>
        <v>#REF!</v>
      </c>
      <c r="BQ54" s="17" t="e">
        <f>-53.07 + (304.89 * (BP54)) + (90.79 *Crescimento!#REF!) - (3.13 * Crescimento!#REF!*Crescimento!#REF!)</f>
        <v>#REF!</v>
      </c>
      <c r="BS54" s="16" t="e">
        <f>(BT53+(Crescimento!#REF!-(BT53*0.64))/0.8)/1000</f>
        <v>#REF!</v>
      </c>
      <c r="BT54" s="17" t="e">
        <f>-53.07 + (304.89 * (BS54)) + (90.79 *Crescimento!#REF!) - (3.13 * Crescimento!#REF!*Crescimento!#REF!)</f>
        <v>#REF!</v>
      </c>
      <c r="BV54" s="16" t="e">
        <f>(BW53+(Crescimento!#REF!-(BW53*0.64))/0.8)/1000</f>
        <v>#REF!</v>
      </c>
      <c r="BW54" s="17" t="e">
        <f>-53.07 + (304.89 * (BV54)) + (90.79 *Crescimento!#REF!) - (3.13 * Crescimento!#REF!*Crescimento!#REF!)</f>
        <v>#REF!</v>
      </c>
      <c r="BY54" s="16" t="e">
        <f>(BZ53+(Crescimento!#REF!-(BZ53*0.64))/0.8)/1000</f>
        <v>#REF!</v>
      </c>
      <c r="BZ54" s="17" t="e">
        <f>-53.07 + (304.89 * (BY54)) + (90.79 *Crescimento!#REF!) - (3.13 * Crescimento!#REF!*Crescimento!#REF!)</f>
        <v>#REF!</v>
      </c>
      <c r="CB54" s="16" t="e">
        <f>(CC53+(Crescimento!#REF!-(CC53*0.64))/0.8)/1000</f>
        <v>#REF!</v>
      </c>
      <c r="CC54" s="17" t="e">
        <f>-53.07 + (304.89 * (CB54)) + (90.79 *Crescimento!#REF!) - (3.13 * Crescimento!#REF!*Crescimento!#REF!)</f>
        <v>#REF!</v>
      </c>
      <c r="CE54" s="16" t="e">
        <f>(CF53+(Crescimento!#REF!-(CF53*0.64))/0.8)/1000</f>
        <v>#REF!</v>
      </c>
      <c r="CF54" s="17" t="e">
        <f>-53.07 + (304.89 * (CE54)) + (90.79 *Crescimento!#REF!) - (3.13 * Crescimento!#REF!*Crescimento!#REF!)</f>
        <v>#REF!</v>
      </c>
      <c r="CH54" s="16" t="e">
        <f>(CI53+(Crescimento!#REF!-(CI53*0.64))/0.8)/1000</f>
        <v>#REF!</v>
      </c>
      <c r="CI54" s="17" t="e">
        <f>-53.07 + (304.89 * (CH54)) + (90.79 *Crescimento!#REF!) - (3.13 * Crescimento!#REF!*Crescimento!#REF!)</f>
        <v>#REF!</v>
      </c>
      <c r="CK54" s="16" t="e">
        <f>(CL53+(Crescimento!#REF!-(CL53*0.64))/0.8)/1000</f>
        <v>#REF!</v>
      </c>
      <c r="CL54" s="17" t="e">
        <f>-53.07 + (304.89 * (CK54)) + (90.79 *Crescimento!#REF!) - (3.13 * Crescimento!#REF!*Crescimento!#REF!)</f>
        <v>#REF!</v>
      </c>
    </row>
    <row r="55" spans="2:90" x14ac:dyDescent="0.25">
      <c r="B55" s="16">
        <f>(C54+('Vacas e Bezerros'!$O$29-(C54*0.64))/0.8)/1000</f>
        <v>1.1219974776113528</v>
      </c>
      <c r="C55" s="17">
        <f>-53.07 + (304.89 * (B55)) + (90.79 *'Vacas e Bezerros'!$O$23) - (3.13 * 'Vacas e Bezerros'!$O$23*'Vacas e Bezerros'!$O$23)</f>
        <v>715.77733851110622</v>
      </c>
      <c r="E55" s="16" t="e">
        <f>(F54+(Crescimento!#REF!-(F54*0.64))/0.8)/1000</f>
        <v>#REF!</v>
      </c>
      <c r="F55" s="17" t="e">
        <f>-53.07 + (304.89 * (E55)) + (90.79 *Crescimento!#REF!) - (3.13 * Crescimento!#REF!*Crescimento!#REF!)</f>
        <v>#REF!</v>
      </c>
      <c r="G55" s="1"/>
      <c r="H55" s="16" t="e">
        <f>(I54+(Crescimento!#REF!-(I54*0.64))/0.8)/1000</f>
        <v>#REF!</v>
      </c>
      <c r="I55" s="17" t="e">
        <f>-53.07 + (304.89 * (H55)) + (90.79 *Crescimento!#REF!) - (3.13 * Crescimento!#REF!*Crescimento!#REF!)</f>
        <v>#REF!</v>
      </c>
      <c r="K55" s="16" t="e">
        <f>(L54+(Crescimento!#REF!-(L54*0.64))/0.8)/1000</f>
        <v>#REF!</v>
      </c>
      <c r="L55" s="17" t="e">
        <f>-53.07 + (304.89 * (K55)) + (90.79 *Crescimento!#REF!) - (3.13 * Crescimento!#REF!*Crescimento!#REF!)</f>
        <v>#REF!</v>
      </c>
      <c r="N55" s="16" t="e">
        <f>(O54+(Crescimento!#REF!-(O54*0.64))/0.8)/1000</f>
        <v>#REF!</v>
      </c>
      <c r="O55" s="17" t="e">
        <f>-53.07 + (304.89 * (N55)) + (90.79 *Crescimento!#REF!) - (3.13 * Crescimento!#REF!*Crescimento!#REF!)</f>
        <v>#REF!</v>
      </c>
      <c r="Q55" s="16" t="e">
        <f>(R54+(Crescimento!#REF!-(R54*0.64))/0.8)/1000</f>
        <v>#REF!</v>
      </c>
      <c r="R55" s="17" t="e">
        <f>-53.07 + (304.89 * (Q55)) + (90.79 *Crescimento!#REF!) - (3.13 * Crescimento!#REF!*Crescimento!#REF!)</f>
        <v>#REF!</v>
      </c>
      <c r="T55" s="16" t="e">
        <f>(U54+(Crescimento!#REF!-(U54*0.64))/0.8)/1000</f>
        <v>#REF!</v>
      </c>
      <c r="U55" s="17" t="e">
        <f>-53.07 + (304.89 * (T55)) + (90.79 *Crescimento!#REF!) - (3.13 * Crescimento!#REF!*Crescimento!#REF!)</f>
        <v>#REF!</v>
      </c>
      <c r="W55" s="16" t="e">
        <f>(X54+(Crescimento!#REF!-(X54*0.64))/0.8)/1000</f>
        <v>#REF!</v>
      </c>
      <c r="X55" s="17" t="e">
        <f>-53.07 + (304.89 * (W55)) + (90.79 *Crescimento!#REF!) - (3.13 * Crescimento!#REF!*Crescimento!#REF!)</f>
        <v>#REF!</v>
      </c>
      <c r="Y55" s="6"/>
      <c r="Z55" s="16" t="e">
        <f>(AA54+(Crescimento!#REF!-(AA54*0.64))/0.8)/1000</f>
        <v>#REF!</v>
      </c>
      <c r="AA55" s="17" t="e">
        <f>-53.07 + (304.89 * (Z55)) + (90.79 *Crescimento!#REF!) - (3.13 * Crescimento!#REF!*Crescimento!#REF!)</f>
        <v>#REF!</v>
      </c>
      <c r="AB55" s="6"/>
      <c r="AC55" s="16" t="e">
        <f>(AD54+(Crescimento!#REF!-(AD54*0.64))/0.8)/1000</f>
        <v>#REF!</v>
      </c>
      <c r="AD55" s="17" t="e">
        <f>-53.07 + (304.89 * (AC55)) + (90.79 *Crescimento!#REF!) - (3.13 * Crescimento!#REF!*Crescimento!#REF!)</f>
        <v>#REF!</v>
      </c>
      <c r="AE55" s="17"/>
      <c r="AF55" s="16" t="e">
        <f>(AG54+(Crescimento!#REF!-(AG54*0.64))/0.8)/1000</f>
        <v>#REF!</v>
      </c>
      <c r="AG55" s="17" t="e">
        <f>-53.07 + (304.89 * (AF55)) + (90.79 *Crescimento!#REF!) - (3.13 * Crescimento!#REF!*Crescimento!#REF!)</f>
        <v>#REF!</v>
      </c>
      <c r="AI55" s="16" t="e">
        <f>(AJ54+(Crescimento!#REF!-(AJ54*0.64))/0.8)/1000</f>
        <v>#REF!</v>
      </c>
      <c r="AJ55" s="17" t="e">
        <f>-53.07 + (304.89 * (AI55)) + (90.79 *Crescimento!#REF!) - (3.13 * Crescimento!#REF!*Crescimento!#REF!)</f>
        <v>#REF!</v>
      </c>
      <c r="AL55" s="16" t="e">
        <f>(AM54+(Crescimento!#REF!-(AM54*0.64))/0.8)/1000</f>
        <v>#REF!</v>
      </c>
      <c r="AM55" s="17" t="e">
        <f>-53.07 + (304.89 * (AL55)) + (90.79 *Crescimento!#REF!) - (3.13 * Crescimento!#REF!*Crescimento!#REF!)</f>
        <v>#REF!</v>
      </c>
      <c r="AO55" s="16" t="e">
        <f>(AP54+(Crescimento!#REF!-(AP54*0.64))/0.8)/1000</f>
        <v>#REF!</v>
      </c>
      <c r="AP55" s="17" t="e">
        <f>-53.07 + (304.89 * (AO55)) + (90.79 *Crescimento!#REF!) - (3.13 * Crescimento!#REF!*Crescimento!#REF!)</f>
        <v>#REF!</v>
      </c>
      <c r="AR55" s="16" t="e">
        <f>(AS54+(Crescimento!#REF!-(AS54*0.64))/0.8)/1000</f>
        <v>#REF!</v>
      </c>
      <c r="AS55" s="17" t="e">
        <f>-53.07 + (304.89 * (AR55)) + (90.79 *Crescimento!#REF!) - (3.13 * Crescimento!#REF!*Crescimento!#REF!)</f>
        <v>#REF!</v>
      </c>
      <c r="AU55" s="16" t="e">
        <f>(AV54+(Crescimento!#REF!-(AV54*0.64))/0.8)/1000</f>
        <v>#REF!</v>
      </c>
      <c r="AV55" s="17" t="e">
        <f>-53.07 + (304.89 * (AU55)) + (90.79 *Crescimento!#REF!) - (3.13 * Crescimento!#REF!*Crescimento!#REF!)</f>
        <v>#REF!</v>
      </c>
      <c r="AX55" s="16" t="e">
        <f>(AY54+(Crescimento!#REF!-(AY54*0.64))/0.8)/1000</f>
        <v>#REF!</v>
      </c>
      <c r="AY55" s="17" t="e">
        <f>-53.07 + (304.89 * (AX55)) + (90.79 *Crescimento!#REF!) - (3.13 * Crescimento!#REF!*Crescimento!#REF!)</f>
        <v>#REF!</v>
      </c>
      <c r="BA55" s="16" t="e">
        <f>(BB54+(Crescimento!#REF!-(BB54*0.64))/0.8)/1000</f>
        <v>#REF!</v>
      </c>
      <c r="BB55" s="17" t="e">
        <f>-53.07 + (304.89 * (BA55)) + (90.79 *Crescimento!#REF!) - (3.13 * Crescimento!#REF!*Crescimento!#REF!)</f>
        <v>#REF!</v>
      </c>
      <c r="BD55" s="16" t="e">
        <f>(BE54+(Crescimento!#REF!-(BE54*0.64))/0.8)/1000</f>
        <v>#REF!</v>
      </c>
      <c r="BE55" s="17" t="e">
        <f>-53.07 + (304.89 * (BD55)) + (90.79 *Crescimento!#REF!) - (3.13 * Crescimento!#REF!*Crescimento!#REF!)</f>
        <v>#REF!</v>
      </c>
      <c r="BG55" s="16" t="e">
        <f>(BH54+(Crescimento!#REF!-(BH54*0.64))/0.8)/1000</f>
        <v>#REF!</v>
      </c>
      <c r="BH55" s="17" t="e">
        <f>-53.07 + (304.89 * (BG55)) + (90.79 *Crescimento!#REF!) - (3.13 * Crescimento!#REF!*Crescimento!#REF!)</f>
        <v>#REF!</v>
      </c>
      <c r="BJ55" s="16" t="e">
        <f>(BK54+(Crescimento!#REF!-(BK54*0.64))/0.8)/1000</f>
        <v>#REF!</v>
      </c>
      <c r="BK55" s="17" t="e">
        <f>-53.07 + (304.89 * (BJ55)) + (90.79 *Crescimento!#REF!) - (3.13 * Crescimento!#REF!*Crescimento!#REF!)</f>
        <v>#REF!</v>
      </c>
      <c r="BM55" s="16" t="e">
        <f>(BN54+(Crescimento!#REF!-(BN54*0.64))/0.8)/1000</f>
        <v>#REF!</v>
      </c>
      <c r="BN55" s="17" t="e">
        <f>-53.07 + (304.89 * (BM55)) + (90.79 *Crescimento!#REF!) - (3.13 * Crescimento!#REF!*Crescimento!#REF!)</f>
        <v>#REF!</v>
      </c>
      <c r="BP55" s="16" t="e">
        <f>(BQ54+(Crescimento!#REF!-(BQ54*0.64))/0.8)/1000</f>
        <v>#REF!</v>
      </c>
      <c r="BQ55" s="17" t="e">
        <f>-53.07 + (304.89 * (BP55)) + (90.79 *Crescimento!#REF!) - (3.13 * Crescimento!#REF!*Crescimento!#REF!)</f>
        <v>#REF!</v>
      </c>
      <c r="BS55" s="16" t="e">
        <f>(BT54+(Crescimento!#REF!-(BT54*0.64))/0.8)/1000</f>
        <v>#REF!</v>
      </c>
      <c r="BT55" s="17" t="e">
        <f>-53.07 + (304.89 * (BS55)) + (90.79 *Crescimento!#REF!) - (3.13 * Crescimento!#REF!*Crescimento!#REF!)</f>
        <v>#REF!</v>
      </c>
      <c r="BV55" s="16" t="e">
        <f>(BW54+(Crescimento!#REF!-(BW54*0.64))/0.8)/1000</f>
        <v>#REF!</v>
      </c>
      <c r="BW55" s="17" t="e">
        <f>-53.07 + (304.89 * (BV55)) + (90.79 *Crescimento!#REF!) - (3.13 * Crescimento!#REF!*Crescimento!#REF!)</f>
        <v>#REF!</v>
      </c>
      <c r="BY55" s="16" t="e">
        <f>(BZ54+(Crescimento!#REF!-(BZ54*0.64))/0.8)/1000</f>
        <v>#REF!</v>
      </c>
      <c r="BZ55" s="17" t="e">
        <f>-53.07 + (304.89 * (BY55)) + (90.79 *Crescimento!#REF!) - (3.13 * Crescimento!#REF!*Crescimento!#REF!)</f>
        <v>#REF!</v>
      </c>
      <c r="CB55" s="16" t="e">
        <f>(CC54+(Crescimento!#REF!-(CC54*0.64))/0.8)/1000</f>
        <v>#REF!</v>
      </c>
      <c r="CC55" s="17" t="e">
        <f>-53.07 + (304.89 * (CB55)) + (90.79 *Crescimento!#REF!) - (3.13 * Crescimento!#REF!*Crescimento!#REF!)</f>
        <v>#REF!</v>
      </c>
      <c r="CE55" s="16" t="e">
        <f>(CF54+(Crescimento!#REF!-(CF54*0.64))/0.8)/1000</f>
        <v>#REF!</v>
      </c>
      <c r="CF55" s="17" t="e">
        <f>-53.07 + (304.89 * (CE55)) + (90.79 *Crescimento!#REF!) - (3.13 * Crescimento!#REF!*Crescimento!#REF!)</f>
        <v>#REF!</v>
      </c>
      <c r="CH55" s="16" t="e">
        <f>(CI54+(Crescimento!#REF!-(CI54*0.64))/0.8)/1000</f>
        <v>#REF!</v>
      </c>
      <c r="CI55" s="17" t="e">
        <f>-53.07 + (304.89 * (CH55)) + (90.79 *Crescimento!#REF!) - (3.13 * Crescimento!#REF!*Crescimento!#REF!)</f>
        <v>#REF!</v>
      </c>
      <c r="CK55" s="16" t="e">
        <f>(CL54+(Crescimento!#REF!-(CL54*0.64))/0.8)/1000</f>
        <v>#REF!</v>
      </c>
      <c r="CL55" s="17" t="e">
        <f>-53.07 + (304.89 * (CK55)) + (90.79 *Crescimento!#REF!) - (3.13 * Crescimento!#REF!*Crescimento!#REF!)</f>
        <v>#REF!</v>
      </c>
    </row>
    <row r="56" spans="2:90" x14ac:dyDescent="0.25">
      <c r="B56" s="16">
        <f>(C55+('Vacas e Bezerros'!$O$29-(C55*0.64))/0.8)/1000</f>
        <v>1.1219974776113528</v>
      </c>
      <c r="C56" s="17">
        <f>-53.07 + (304.89 * (B56)) + (90.79 *'Vacas e Bezerros'!$O$23) - (3.13 * 'Vacas e Bezerros'!$O$23*'Vacas e Bezerros'!$O$23)</f>
        <v>715.77733851110622</v>
      </c>
      <c r="E56" s="16" t="e">
        <f>(F55+(Crescimento!#REF!-(F55*0.64))/0.8)/1000</f>
        <v>#REF!</v>
      </c>
      <c r="F56" s="17" t="e">
        <f>-53.07 + (304.89 * (E56)) + (90.79 *Crescimento!#REF!) - (3.13 * Crescimento!#REF!*Crescimento!#REF!)</f>
        <v>#REF!</v>
      </c>
      <c r="G56" s="1"/>
      <c r="H56" s="16" t="e">
        <f>(I55+(Crescimento!#REF!-(I55*0.64))/0.8)/1000</f>
        <v>#REF!</v>
      </c>
      <c r="I56" s="17" t="e">
        <f>-53.07 + (304.89 * (H56)) + (90.79 *Crescimento!#REF!) - (3.13 * Crescimento!#REF!*Crescimento!#REF!)</f>
        <v>#REF!</v>
      </c>
      <c r="K56" s="16" t="e">
        <f>(L55+(Crescimento!#REF!-(L55*0.64))/0.8)/1000</f>
        <v>#REF!</v>
      </c>
      <c r="L56" s="17" t="e">
        <f>-53.07 + (304.89 * (K56)) + (90.79 *Crescimento!#REF!) - (3.13 * Crescimento!#REF!*Crescimento!#REF!)</f>
        <v>#REF!</v>
      </c>
      <c r="N56" s="16" t="e">
        <f>(O55+(Crescimento!#REF!-(O55*0.64))/0.8)/1000</f>
        <v>#REF!</v>
      </c>
      <c r="O56" s="17" t="e">
        <f>-53.07 + (304.89 * (N56)) + (90.79 *Crescimento!#REF!) - (3.13 * Crescimento!#REF!*Crescimento!#REF!)</f>
        <v>#REF!</v>
      </c>
      <c r="Q56" s="16" t="e">
        <f>(R55+(Crescimento!#REF!-(R55*0.64))/0.8)/1000</f>
        <v>#REF!</v>
      </c>
      <c r="R56" s="17" t="e">
        <f>-53.07 + (304.89 * (Q56)) + (90.79 *Crescimento!#REF!) - (3.13 * Crescimento!#REF!*Crescimento!#REF!)</f>
        <v>#REF!</v>
      </c>
      <c r="T56" s="16" t="e">
        <f>(U55+(Crescimento!#REF!-(U55*0.64))/0.8)/1000</f>
        <v>#REF!</v>
      </c>
      <c r="U56" s="17" t="e">
        <f>-53.07 + (304.89 * (T56)) + (90.79 *Crescimento!#REF!) - (3.13 * Crescimento!#REF!*Crescimento!#REF!)</f>
        <v>#REF!</v>
      </c>
      <c r="W56" s="16" t="e">
        <f>(X55+(Crescimento!#REF!-(X55*0.64))/0.8)/1000</f>
        <v>#REF!</v>
      </c>
      <c r="X56" s="17" t="e">
        <f>-53.07 + (304.89 * (W56)) + (90.79 *Crescimento!#REF!) - (3.13 * Crescimento!#REF!*Crescimento!#REF!)</f>
        <v>#REF!</v>
      </c>
      <c r="Y56" s="6"/>
      <c r="Z56" s="16" t="e">
        <f>(AA55+(Crescimento!#REF!-(AA55*0.64))/0.8)/1000</f>
        <v>#REF!</v>
      </c>
      <c r="AA56" s="17" t="e">
        <f>-53.07 + (304.89 * (Z56)) + (90.79 *Crescimento!#REF!) - (3.13 * Crescimento!#REF!*Crescimento!#REF!)</f>
        <v>#REF!</v>
      </c>
      <c r="AB56" s="6"/>
      <c r="AC56" s="16" t="e">
        <f>(AD55+(Crescimento!#REF!-(AD55*0.64))/0.8)/1000</f>
        <v>#REF!</v>
      </c>
      <c r="AD56" s="17" t="e">
        <f>-53.07 + (304.89 * (AC56)) + (90.79 *Crescimento!#REF!) - (3.13 * Crescimento!#REF!*Crescimento!#REF!)</f>
        <v>#REF!</v>
      </c>
      <c r="AE56" s="17"/>
      <c r="AF56" s="16" t="e">
        <f>(AG55+(Crescimento!#REF!-(AG55*0.64))/0.8)/1000</f>
        <v>#REF!</v>
      </c>
      <c r="AG56" s="17" t="e">
        <f>-53.07 + (304.89 * (AF56)) + (90.79 *Crescimento!#REF!) - (3.13 * Crescimento!#REF!*Crescimento!#REF!)</f>
        <v>#REF!</v>
      </c>
      <c r="AI56" s="16" t="e">
        <f>(AJ55+(Crescimento!#REF!-(AJ55*0.64))/0.8)/1000</f>
        <v>#REF!</v>
      </c>
      <c r="AJ56" s="17" t="e">
        <f>-53.07 + (304.89 * (AI56)) + (90.79 *Crescimento!#REF!) - (3.13 * Crescimento!#REF!*Crescimento!#REF!)</f>
        <v>#REF!</v>
      </c>
      <c r="AL56" s="16" t="e">
        <f>(AM55+(Crescimento!#REF!-(AM55*0.64))/0.8)/1000</f>
        <v>#REF!</v>
      </c>
      <c r="AM56" s="17" t="e">
        <f>-53.07 + (304.89 * (AL56)) + (90.79 *Crescimento!#REF!) - (3.13 * Crescimento!#REF!*Crescimento!#REF!)</f>
        <v>#REF!</v>
      </c>
      <c r="AO56" s="16" t="e">
        <f>(AP55+(Crescimento!#REF!-(AP55*0.64))/0.8)/1000</f>
        <v>#REF!</v>
      </c>
      <c r="AP56" s="17" t="e">
        <f>-53.07 + (304.89 * (AO56)) + (90.79 *Crescimento!#REF!) - (3.13 * Crescimento!#REF!*Crescimento!#REF!)</f>
        <v>#REF!</v>
      </c>
      <c r="AR56" s="16" t="e">
        <f>(AS55+(Crescimento!#REF!-(AS55*0.64))/0.8)/1000</f>
        <v>#REF!</v>
      </c>
      <c r="AS56" s="17" t="e">
        <f>-53.07 + (304.89 * (AR56)) + (90.79 *Crescimento!#REF!) - (3.13 * Crescimento!#REF!*Crescimento!#REF!)</f>
        <v>#REF!</v>
      </c>
      <c r="AU56" s="16" t="e">
        <f>(AV55+(Crescimento!#REF!-(AV55*0.64))/0.8)/1000</f>
        <v>#REF!</v>
      </c>
      <c r="AV56" s="17" t="e">
        <f>-53.07 + (304.89 * (AU56)) + (90.79 *Crescimento!#REF!) - (3.13 * Crescimento!#REF!*Crescimento!#REF!)</f>
        <v>#REF!</v>
      </c>
      <c r="AX56" s="16" t="e">
        <f>(AY55+(Crescimento!#REF!-(AY55*0.64))/0.8)/1000</f>
        <v>#REF!</v>
      </c>
      <c r="AY56" s="17" t="e">
        <f>-53.07 + (304.89 * (AX56)) + (90.79 *Crescimento!#REF!) - (3.13 * Crescimento!#REF!*Crescimento!#REF!)</f>
        <v>#REF!</v>
      </c>
      <c r="BA56" s="16" t="e">
        <f>(BB55+(Crescimento!#REF!-(BB55*0.64))/0.8)/1000</f>
        <v>#REF!</v>
      </c>
      <c r="BB56" s="17" t="e">
        <f>-53.07 + (304.89 * (BA56)) + (90.79 *Crescimento!#REF!) - (3.13 * Crescimento!#REF!*Crescimento!#REF!)</f>
        <v>#REF!</v>
      </c>
      <c r="BD56" s="16" t="e">
        <f>(BE55+(Crescimento!#REF!-(BE55*0.64))/0.8)/1000</f>
        <v>#REF!</v>
      </c>
      <c r="BE56" s="17" t="e">
        <f>-53.07 + (304.89 * (BD56)) + (90.79 *Crescimento!#REF!) - (3.13 * Crescimento!#REF!*Crescimento!#REF!)</f>
        <v>#REF!</v>
      </c>
      <c r="BG56" s="16" t="e">
        <f>(BH55+(Crescimento!#REF!-(BH55*0.64))/0.8)/1000</f>
        <v>#REF!</v>
      </c>
      <c r="BH56" s="17" t="e">
        <f>-53.07 + (304.89 * (BG56)) + (90.79 *Crescimento!#REF!) - (3.13 * Crescimento!#REF!*Crescimento!#REF!)</f>
        <v>#REF!</v>
      </c>
      <c r="BJ56" s="16" t="e">
        <f>(BK55+(Crescimento!#REF!-(BK55*0.64))/0.8)/1000</f>
        <v>#REF!</v>
      </c>
      <c r="BK56" s="17" t="e">
        <f>-53.07 + (304.89 * (BJ56)) + (90.79 *Crescimento!#REF!) - (3.13 * Crescimento!#REF!*Crescimento!#REF!)</f>
        <v>#REF!</v>
      </c>
      <c r="BM56" s="16" t="e">
        <f>(BN55+(Crescimento!#REF!-(BN55*0.64))/0.8)/1000</f>
        <v>#REF!</v>
      </c>
      <c r="BN56" s="17" t="e">
        <f>-53.07 + (304.89 * (BM56)) + (90.79 *Crescimento!#REF!) - (3.13 * Crescimento!#REF!*Crescimento!#REF!)</f>
        <v>#REF!</v>
      </c>
      <c r="BP56" s="16" t="e">
        <f>(BQ55+(Crescimento!#REF!-(BQ55*0.64))/0.8)/1000</f>
        <v>#REF!</v>
      </c>
      <c r="BQ56" s="17" t="e">
        <f>-53.07 + (304.89 * (BP56)) + (90.79 *Crescimento!#REF!) - (3.13 * Crescimento!#REF!*Crescimento!#REF!)</f>
        <v>#REF!</v>
      </c>
      <c r="BS56" s="16" t="e">
        <f>(BT55+(Crescimento!#REF!-(BT55*0.64))/0.8)/1000</f>
        <v>#REF!</v>
      </c>
      <c r="BT56" s="17" t="e">
        <f>-53.07 + (304.89 * (BS56)) + (90.79 *Crescimento!#REF!) - (3.13 * Crescimento!#REF!*Crescimento!#REF!)</f>
        <v>#REF!</v>
      </c>
      <c r="BV56" s="16" t="e">
        <f>(BW55+(Crescimento!#REF!-(BW55*0.64))/0.8)/1000</f>
        <v>#REF!</v>
      </c>
      <c r="BW56" s="17" t="e">
        <f>-53.07 + (304.89 * (BV56)) + (90.79 *Crescimento!#REF!) - (3.13 * Crescimento!#REF!*Crescimento!#REF!)</f>
        <v>#REF!</v>
      </c>
      <c r="BY56" s="16" t="e">
        <f>(BZ55+(Crescimento!#REF!-(BZ55*0.64))/0.8)/1000</f>
        <v>#REF!</v>
      </c>
      <c r="BZ56" s="17" t="e">
        <f>-53.07 + (304.89 * (BY56)) + (90.79 *Crescimento!#REF!) - (3.13 * Crescimento!#REF!*Crescimento!#REF!)</f>
        <v>#REF!</v>
      </c>
      <c r="CB56" s="16" t="e">
        <f>(CC55+(Crescimento!#REF!-(CC55*0.64))/0.8)/1000</f>
        <v>#REF!</v>
      </c>
      <c r="CC56" s="17" t="e">
        <f>-53.07 + (304.89 * (CB56)) + (90.79 *Crescimento!#REF!) - (3.13 * Crescimento!#REF!*Crescimento!#REF!)</f>
        <v>#REF!</v>
      </c>
      <c r="CE56" s="16" t="e">
        <f>(CF55+(Crescimento!#REF!-(CF55*0.64))/0.8)/1000</f>
        <v>#REF!</v>
      </c>
      <c r="CF56" s="17" t="e">
        <f>-53.07 + (304.89 * (CE56)) + (90.79 *Crescimento!#REF!) - (3.13 * Crescimento!#REF!*Crescimento!#REF!)</f>
        <v>#REF!</v>
      </c>
      <c r="CH56" s="16" t="e">
        <f>(CI55+(Crescimento!#REF!-(CI55*0.64))/0.8)/1000</f>
        <v>#REF!</v>
      </c>
      <c r="CI56" s="17" t="e">
        <f>-53.07 + (304.89 * (CH56)) + (90.79 *Crescimento!#REF!) - (3.13 * Crescimento!#REF!*Crescimento!#REF!)</f>
        <v>#REF!</v>
      </c>
      <c r="CK56" s="16" t="e">
        <f>(CL55+(Crescimento!#REF!-(CL55*0.64))/0.8)/1000</f>
        <v>#REF!</v>
      </c>
      <c r="CL56" s="17" t="e">
        <f>-53.07 + (304.89 * (CK56)) + (90.79 *Crescimento!#REF!) - (3.13 * Crescimento!#REF!*Crescimento!#REF!)</f>
        <v>#REF!</v>
      </c>
    </row>
    <row r="57" spans="2:90" x14ac:dyDescent="0.25">
      <c r="B57" s="16">
        <f>(C56+('Vacas e Bezerros'!$O$29-(C56*0.64))/0.8)/1000</f>
        <v>1.1219974776113528</v>
      </c>
      <c r="C57" s="17">
        <f>-53.07 + (304.89 * (B57)) + (90.79 *'Vacas e Bezerros'!$O$23) - (3.13 * 'Vacas e Bezerros'!$O$23*'Vacas e Bezerros'!$O$23)</f>
        <v>715.77733851110622</v>
      </c>
      <c r="E57" s="16" t="e">
        <f>(F56+(Crescimento!#REF!-(F56*0.64))/0.8)/1000</f>
        <v>#REF!</v>
      </c>
      <c r="F57" s="17" t="e">
        <f>-53.07 + (304.89 * (E57)) + (90.79 *Crescimento!#REF!) - (3.13 * Crescimento!#REF!*Crescimento!#REF!)</f>
        <v>#REF!</v>
      </c>
      <c r="G57" s="1"/>
      <c r="H57" s="16" t="e">
        <f>(I56+(Crescimento!#REF!-(I56*0.64))/0.8)/1000</f>
        <v>#REF!</v>
      </c>
      <c r="I57" s="17" t="e">
        <f>-53.07 + (304.89 * (H57)) + (90.79 *Crescimento!#REF!) - (3.13 * Crescimento!#REF!*Crescimento!#REF!)</f>
        <v>#REF!</v>
      </c>
      <c r="K57" s="16" t="e">
        <f>(L56+(Crescimento!#REF!-(L56*0.64))/0.8)/1000</f>
        <v>#REF!</v>
      </c>
      <c r="L57" s="17" t="e">
        <f>-53.07 + (304.89 * (K57)) + (90.79 *Crescimento!#REF!) - (3.13 * Crescimento!#REF!*Crescimento!#REF!)</f>
        <v>#REF!</v>
      </c>
      <c r="N57" s="16" t="e">
        <f>(O56+(Crescimento!#REF!-(O56*0.64))/0.8)/1000</f>
        <v>#REF!</v>
      </c>
      <c r="O57" s="17" t="e">
        <f>-53.07 + (304.89 * (N57)) + (90.79 *Crescimento!#REF!) - (3.13 * Crescimento!#REF!*Crescimento!#REF!)</f>
        <v>#REF!</v>
      </c>
      <c r="Q57" s="16" t="e">
        <f>(R56+(Crescimento!#REF!-(R56*0.64))/0.8)/1000</f>
        <v>#REF!</v>
      </c>
      <c r="R57" s="17" t="e">
        <f>-53.07 + (304.89 * (Q57)) + (90.79 *Crescimento!#REF!) - (3.13 * Crescimento!#REF!*Crescimento!#REF!)</f>
        <v>#REF!</v>
      </c>
      <c r="T57" s="16" t="e">
        <f>(U56+(Crescimento!#REF!-(U56*0.64))/0.8)/1000</f>
        <v>#REF!</v>
      </c>
      <c r="U57" s="17" t="e">
        <f>-53.07 + (304.89 * (T57)) + (90.79 *Crescimento!#REF!) - (3.13 * Crescimento!#REF!*Crescimento!#REF!)</f>
        <v>#REF!</v>
      </c>
      <c r="W57" s="16" t="e">
        <f>(X56+(Crescimento!#REF!-(X56*0.64))/0.8)/1000</f>
        <v>#REF!</v>
      </c>
      <c r="X57" s="17" t="e">
        <f>-53.07 + (304.89 * (W57)) + (90.79 *Crescimento!#REF!) - (3.13 * Crescimento!#REF!*Crescimento!#REF!)</f>
        <v>#REF!</v>
      </c>
      <c r="Y57" s="6"/>
      <c r="Z57" s="16" t="e">
        <f>(AA56+(Crescimento!#REF!-(AA56*0.64))/0.8)/1000</f>
        <v>#REF!</v>
      </c>
      <c r="AA57" s="17" t="e">
        <f>-53.07 + (304.89 * (Z57)) + (90.79 *Crescimento!#REF!) - (3.13 * Crescimento!#REF!*Crescimento!#REF!)</f>
        <v>#REF!</v>
      </c>
      <c r="AB57" s="6"/>
      <c r="AC57" s="16" t="e">
        <f>(AD56+(Crescimento!#REF!-(AD56*0.64))/0.8)/1000</f>
        <v>#REF!</v>
      </c>
      <c r="AD57" s="17" t="e">
        <f>-53.07 + (304.89 * (AC57)) + (90.79 *Crescimento!#REF!) - (3.13 * Crescimento!#REF!*Crescimento!#REF!)</f>
        <v>#REF!</v>
      </c>
      <c r="AE57" s="17"/>
      <c r="AF57" s="16" t="e">
        <f>(AG56+(Crescimento!#REF!-(AG56*0.64))/0.8)/1000</f>
        <v>#REF!</v>
      </c>
      <c r="AG57" s="17" t="e">
        <f>-53.07 + (304.89 * (AF57)) + (90.79 *Crescimento!#REF!) - (3.13 * Crescimento!#REF!*Crescimento!#REF!)</f>
        <v>#REF!</v>
      </c>
      <c r="AI57" s="16" t="e">
        <f>(AJ56+(Crescimento!#REF!-(AJ56*0.64))/0.8)/1000</f>
        <v>#REF!</v>
      </c>
      <c r="AJ57" s="17" t="e">
        <f>-53.07 + (304.89 * (AI57)) + (90.79 *Crescimento!#REF!) - (3.13 * Crescimento!#REF!*Crescimento!#REF!)</f>
        <v>#REF!</v>
      </c>
      <c r="AL57" s="16" t="e">
        <f>(AM56+(Crescimento!#REF!-(AM56*0.64))/0.8)/1000</f>
        <v>#REF!</v>
      </c>
      <c r="AM57" s="17" t="e">
        <f>-53.07 + (304.89 * (AL57)) + (90.79 *Crescimento!#REF!) - (3.13 * Crescimento!#REF!*Crescimento!#REF!)</f>
        <v>#REF!</v>
      </c>
      <c r="AO57" s="16" t="e">
        <f>(AP56+(Crescimento!#REF!-(AP56*0.64))/0.8)/1000</f>
        <v>#REF!</v>
      </c>
      <c r="AP57" s="17" t="e">
        <f>-53.07 + (304.89 * (AO57)) + (90.79 *Crescimento!#REF!) - (3.13 * Crescimento!#REF!*Crescimento!#REF!)</f>
        <v>#REF!</v>
      </c>
      <c r="AR57" s="16" t="e">
        <f>(AS56+(Crescimento!#REF!-(AS56*0.64))/0.8)/1000</f>
        <v>#REF!</v>
      </c>
      <c r="AS57" s="17" t="e">
        <f>-53.07 + (304.89 * (AR57)) + (90.79 *Crescimento!#REF!) - (3.13 * Crescimento!#REF!*Crescimento!#REF!)</f>
        <v>#REF!</v>
      </c>
      <c r="AU57" s="16" t="e">
        <f>(AV56+(Crescimento!#REF!-(AV56*0.64))/0.8)/1000</f>
        <v>#REF!</v>
      </c>
      <c r="AV57" s="17" t="e">
        <f>-53.07 + (304.89 * (AU57)) + (90.79 *Crescimento!#REF!) - (3.13 * Crescimento!#REF!*Crescimento!#REF!)</f>
        <v>#REF!</v>
      </c>
      <c r="AX57" s="16" t="e">
        <f>(AY56+(Crescimento!#REF!-(AY56*0.64))/0.8)/1000</f>
        <v>#REF!</v>
      </c>
      <c r="AY57" s="17" t="e">
        <f>-53.07 + (304.89 * (AX57)) + (90.79 *Crescimento!#REF!) - (3.13 * Crescimento!#REF!*Crescimento!#REF!)</f>
        <v>#REF!</v>
      </c>
      <c r="BA57" s="16" t="e">
        <f>(BB56+(Crescimento!#REF!-(BB56*0.64))/0.8)/1000</f>
        <v>#REF!</v>
      </c>
      <c r="BB57" s="17" t="e">
        <f>-53.07 + (304.89 * (BA57)) + (90.79 *Crescimento!#REF!) - (3.13 * Crescimento!#REF!*Crescimento!#REF!)</f>
        <v>#REF!</v>
      </c>
      <c r="BD57" s="16" t="e">
        <f>(BE56+(Crescimento!#REF!-(BE56*0.64))/0.8)/1000</f>
        <v>#REF!</v>
      </c>
      <c r="BE57" s="17" t="e">
        <f>-53.07 + (304.89 * (BD57)) + (90.79 *Crescimento!#REF!) - (3.13 * Crescimento!#REF!*Crescimento!#REF!)</f>
        <v>#REF!</v>
      </c>
      <c r="BG57" s="16" t="e">
        <f>(BH56+(Crescimento!#REF!-(BH56*0.64))/0.8)/1000</f>
        <v>#REF!</v>
      </c>
      <c r="BH57" s="17" t="e">
        <f>-53.07 + (304.89 * (BG57)) + (90.79 *Crescimento!#REF!) - (3.13 * Crescimento!#REF!*Crescimento!#REF!)</f>
        <v>#REF!</v>
      </c>
      <c r="BJ57" s="16" t="e">
        <f>(BK56+(Crescimento!#REF!-(BK56*0.64))/0.8)/1000</f>
        <v>#REF!</v>
      </c>
      <c r="BK57" s="17" t="e">
        <f>-53.07 + (304.89 * (BJ57)) + (90.79 *Crescimento!#REF!) - (3.13 * Crescimento!#REF!*Crescimento!#REF!)</f>
        <v>#REF!</v>
      </c>
      <c r="BM57" s="16" t="e">
        <f>(BN56+(Crescimento!#REF!-(BN56*0.64))/0.8)/1000</f>
        <v>#REF!</v>
      </c>
      <c r="BN57" s="17" t="e">
        <f>-53.07 + (304.89 * (BM57)) + (90.79 *Crescimento!#REF!) - (3.13 * Crescimento!#REF!*Crescimento!#REF!)</f>
        <v>#REF!</v>
      </c>
      <c r="BP57" s="16" t="e">
        <f>(BQ56+(Crescimento!#REF!-(BQ56*0.64))/0.8)/1000</f>
        <v>#REF!</v>
      </c>
      <c r="BQ57" s="17" t="e">
        <f>-53.07 + (304.89 * (BP57)) + (90.79 *Crescimento!#REF!) - (3.13 * Crescimento!#REF!*Crescimento!#REF!)</f>
        <v>#REF!</v>
      </c>
      <c r="BS57" s="16" t="e">
        <f>(BT56+(Crescimento!#REF!-(BT56*0.64))/0.8)/1000</f>
        <v>#REF!</v>
      </c>
      <c r="BT57" s="17" t="e">
        <f>-53.07 + (304.89 * (BS57)) + (90.79 *Crescimento!#REF!) - (3.13 * Crescimento!#REF!*Crescimento!#REF!)</f>
        <v>#REF!</v>
      </c>
      <c r="BV57" s="16" t="e">
        <f>(BW56+(Crescimento!#REF!-(BW56*0.64))/0.8)/1000</f>
        <v>#REF!</v>
      </c>
      <c r="BW57" s="17" t="e">
        <f>-53.07 + (304.89 * (BV57)) + (90.79 *Crescimento!#REF!) - (3.13 * Crescimento!#REF!*Crescimento!#REF!)</f>
        <v>#REF!</v>
      </c>
      <c r="BY57" s="16" t="e">
        <f>(BZ56+(Crescimento!#REF!-(BZ56*0.64))/0.8)/1000</f>
        <v>#REF!</v>
      </c>
      <c r="BZ57" s="17" t="e">
        <f>-53.07 + (304.89 * (BY57)) + (90.79 *Crescimento!#REF!) - (3.13 * Crescimento!#REF!*Crescimento!#REF!)</f>
        <v>#REF!</v>
      </c>
      <c r="CB57" s="16" t="e">
        <f>(CC56+(Crescimento!#REF!-(CC56*0.64))/0.8)/1000</f>
        <v>#REF!</v>
      </c>
      <c r="CC57" s="17" t="e">
        <f>-53.07 + (304.89 * (CB57)) + (90.79 *Crescimento!#REF!) - (3.13 * Crescimento!#REF!*Crescimento!#REF!)</f>
        <v>#REF!</v>
      </c>
      <c r="CE57" s="16" t="e">
        <f>(CF56+(Crescimento!#REF!-(CF56*0.64))/0.8)/1000</f>
        <v>#REF!</v>
      </c>
      <c r="CF57" s="17" t="e">
        <f>-53.07 + (304.89 * (CE57)) + (90.79 *Crescimento!#REF!) - (3.13 * Crescimento!#REF!*Crescimento!#REF!)</f>
        <v>#REF!</v>
      </c>
      <c r="CH57" s="16" t="e">
        <f>(CI56+(Crescimento!#REF!-(CI56*0.64))/0.8)/1000</f>
        <v>#REF!</v>
      </c>
      <c r="CI57" s="17" t="e">
        <f>-53.07 + (304.89 * (CH57)) + (90.79 *Crescimento!#REF!) - (3.13 * Crescimento!#REF!*Crescimento!#REF!)</f>
        <v>#REF!</v>
      </c>
      <c r="CK57" s="16" t="e">
        <f>(CL56+(Crescimento!#REF!-(CL56*0.64))/0.8)/1000</f>
        <v>#REF!</v>
      </c>
      <c r="CL57" s="17" t="e">
        <f>-53.07 + (304.89 * (CK57)) + (90.79 *Crescimento!#REF!) - (3.13 * Crescimento!#REF!*Crescimento!#REF!)</f>
        <v>#REF!</v>
      </c>
    </row>
    <row r="58" spans="2:90" x14ac:dyDescent="0.25">
      <c r="B58" s="16">
        <f>(C57+('Vacas e Bezerros'!$O$29-(C57*0.64))/0.8)/1000</f>
        <v>1.1219974776113528</v>
      </c>
      <c r="C58" s="17">
        <f>-53.07 + (304.89 * (B58)) + (90.79 *'Vacas e Bezerros'!$O$23) - (3.13 * 'Vacas e Bezerros'!$O$23*'Vacas e Bezerros'!$O$23)</f>
        <v>715.77733851110622</v>
      </c>
      <c r="E58" s="16" t="e">
        <f>(F57+(Crescimento!#REF!-(F57*0.64))/0.8)/1000</f>
        <v>#REF!</v>
      </c>
      <c r="F58" s="17" t="e">
        <f>-53.07 + (304.89 * (E58)) + (90.79 *Crescimento!#REF!) - (3.13 * Crescimento!#REF!*Crescimento!#REF!)</f>
        <v>#REF!</v>
      </c>
      <c r="G58" s="1"/>
      <c r="H58" s="16" t="e">
        <f>(I57+(Crescimento!#REF!-(I57*0.64))/0.8)/1000</f>
        <v>#REF!</v>
      </c>
      <c r="I58" s="17" t="e">
        <f>-53.07 + (304.89 * (H58)) + (90.79 *Crescimento!#REF!) - (3.13 * Crescimento!#REF!*Crescimento!#REF!)</f>
        <v>#REF!</v>
      </c>
      <c r="K58" s="16" t="e">
        <f>(L57+(Crescimento!#REF!-(L57*0.64))/0.8)/1000</f>
        <v>#REF!</v>
      </c>
      <c r="L58" s="17" t="e">
        <f>-53.07 + (304.89 * (K58)) + (90.79 *Crescimento!#REF!) - (3.13 * Crescimento!#REF!*Crescimento!#REF!)</f>
        <v>#REF!</v>
      </c>
      <c r="N58" s="16" t="e">
        <f>(O57+(Crescimento!#REF!-(O57*0.64))/0.8)/1000</f>
        <v>#REF!</v>
      </c>
      <c r="O58" s="17" t="e">
        <f>-53.07 + (304.89 * (N58)) + (90.79 *Crescimento!#REF!) - (3.13 * Crescimento!#REF!*Crescimento!#REF!)</f>
        <v>#REF!</v>
      </c>
      <c r="Q58" s="16" t="e">
        <f>(R57+(Crescimento!#REF!-(R57*0.64))/0.8)/1000</f>
        <v>#REF!</v>
      </c>
      <c r="R58" s="17" t="e">
        <f>-53.07 + (304.89 * (Q58)) + (90.79 *Crescimento!#REF!) - (3.13 * Crescimento!#REF!*Crescimento!#REF!)</f>
        <v>#REF!</v>
      </c>
      <c r="T58" s="16" t="e">
        <f>(U57+(Crescimento!#REF!-(U57*0.64))/0.8)/1000</f>
        <v>#REF!</v>
      </c>
      <c r="U58" s="17" t="e">
        <f>-53.07 + (304.89 * (T58)) + (90.79 *Crescimento!#REF!) - (3.13 * Crescimento!#REF!*Crescimento!#REF!)</f>
        <v>#REF!</v>
      </c>
      <c r="W58" s="16" t="e">
        <f>(X57+(Crescimento!#REF!-(X57*0.64))/0.8)/1000</f>
        <v>#REF!</v>
      </c>
      <c r="X58" s="17" t="e">
        <f>-53.07 + (304.89 * (W58)) + (90.79 *Crescimento!#REF!) - (3.13 * Crescimento!#REF!*Crescimento!#REF!)</f>
        <v>#REF!</v>
      </c>
      <c r="Y58" s="6"/>
      <c r="Z58" s="16" t="e">
        <f>(AA57+(Crescimento!#REF!-(AA57*0.64))/0.8)/1000</f>
        <v>#REF!</v>
      </c>
      <c r="AA58" s="17" t="e">
        <f>-53.07 + (304.89 * (Z58)) + (90.79 *Crescimento!#REF!) - (3.13 * Crescimento!#REF!*Crescimento!#REF!)</f>
        <v>#REF!</v>
      </c>
      <c r="AB58" s="6"/>
      <c r="AC58" s="16" t="e">
        <f>(AD57+(Crescimento!#REF!-(AD57*0.64))/0.8)/1000</f>
        <v>#REF!</v>
      </c>
      <c r="AD58" s="17" t="e">
        <f>-53.07 + (304.89 * (AC58)) + (90.79 *Crescimento!#REF!) - (3.13 * Crescimento!#REF!*Crescimento!#REF!)</f>
        <v>#REF!</v>
      </c>
      <c r="AE58" s="17"/>
      <c r="AF58" s="16" t="e">
        <f>(AG57+(Crescimento!#REF!-(AG57*0.64))/0.8)/1000</f>
        <v>#REF!</v>
      </c>
      <c r="AG58" s="17" t="e">
        <f>-53.07 + (304.89 * (AF58)) + (90.79 *Crescimento!#REF!) - (3.13 * Crescimento!#REF!*Crescimento!#REF!)</f>
        <v>#REF!</v>
      </c>
      <c r="AI58" s="16" t="e">
        <f>(AJ57+(Crescimento!#REF!-(AJ57*0.64))/0.8)/1000</f>
        <v>#REF!</v>
      </c>
      <c r="AJ58" s="17" t="e">
        <f>-53.07 + (304.89 * (AI58)) + (90.79 *Crescimento!#REF!) - (3.13 * Crescimento!#REF!*Crescimento!#REF!)</f>
        <v>#REF!</v>
      </c>
      <c r="AL58" s="16" t="e">
        <f>(AM57+(Crescimento!#REF!-(AM57*0.64))/0.8)/1000</f>
        <v>#REF!</v>
      </c>
      <c r="AM58" s="17" t="e">
        <f>-53.07 + (304.89 * (AL58)) + (90.79 *Crescimento!#REF!) - (3.13 * Crescimento!#REF!*Crescimento!#REF!)</f>
        <v>#REF!</v>
      </c>
      <c r="AO58" s="16" t="e">
        <f>(AP57+(Crescimento!#REF!-(AP57*0.64))/0.8)/1000</f>
        <v>#REF!</v>
      </c>
      <c r="AP58" s="17" t="e">
        <f>-53.07 + (304.89 * (AO58)) + (90.79 *Crescimento!#REF!) - (3.13 * Crescimento!#REF!*Crescimento!#REF!)</f>
        <v>#REF!</v>
      </c>
      <c r="AR58" s="16" t="e">
        <f>(AS57+(Crescimento!#REF!-(AS57*0.64))/0.8)/1000</f>
        <v>#REF!</v>
      </c>
      <c r="AS58" s="17" t="e">
        <f>-53.07 + (304.89 * (AR58)) + (90.79 *Crescimento!#REF!) - (3.13 * Crescimento!#REF!*Crescimento!#REF!)</f>
        <v>#REF!</v>
      </c>
      <c r="AU58" s="16" t="e">
        <f>(AV57+(Crescimento!#REF!-(AV57*0.64))/0.8)/1000</f>
        <v>#REF!</v>
      </c>
      <c r="AV58" s="17" t="e">
        <f>-53.07 + (304.89 * (AU58)) + (90.79 *Crescimento!#REF!) - (3.13 * Crescimento!#REF!*Crescimento!#REF!)</f>
        <v>#REF!</v>
      </c>
      <c r="AX58" s="16" t="e">
        <f>(AY57+(Crescimento!#REF!-(AY57*0.64))/0.8)/1000</f>
        <v>#REF!</v>
      </c>
      <c r="AY58" s="17" t="e">
        <f>-53.07 + (304.89 * (AX58)) + (90.79 *Crescimento!#REF!) - (3.13 * Crescimento!#REF!*Crescimento!#REF!)</f>
        <v>#REF!</v>
      </c>
      <c r="BA58" s="16" t="e">
        <f>(BB57+(Crescimento!#REF!-(BB57*0.64))/0.8)/1000</f>
        <v>#REF!</v>
      </c>
      <c r="BB58" s="17" t="e">
        <f>-53.07 + (304.89 * (BA58)) + (90.79 *Crescimento!#REF!) - (3.13 * Crescimento!#REF!*Crescimento!#REF!)</f>
        <v>#REF!</v>
      </c>
      <c r="BD58" s="16" t="e">
        <f>(BE57+(Crescimento!#REF!-(BE57*0.64))/0.8)/1000</f>
        <v>#REF!</v>
      </c>
      <c r="BE58" s="17" t="e">
        <f>-53.07 + (304.89 * (BD58)) + (90.79 *Crescimento!#REF!) - (3.13 * Crescimento!#REF!*Crescimento!#REF!)</f>
        <v>#REF!</v>
      </c>
      <c r="BG58" s="16" t="e">
        <f>(BH57+(Crescimento!#REF!-(BH57*0.64))/0.8)/1000</f>
        <v>#REF!</v>
      </c>
      <c r="BH58" s="17" t="e">
        <f>-53.07 + (304.89 * (BG58)) + (90.79 *Crescimento!#REF!) - (3.13 * Crescimento!#REF!*Crescimento!#REF!)</f>
        <v>#REF!</v>
      </c>
      <c r="BJ58" s="16" t="e">
        <f>(BK57+(Crescimento!#REF!-(BK57*0.64))/0.8)/1000</f>
        <v>#REF!</v>
      </c>
      <c r="BK58" s="17" t="e">
        <f>-53.07 + (304.89 * (BJ58)) + (90.79 *Crescimento!#REF!) - (3.13 * Crescimento!#REF!*Crescimento!#REF!)</f>
        <v>#REF!</v>
      </c>
      <c r="BM58" s="16" t="e">
        <f>(BN57+(Crescimento!#REF!-(BN57*0.64))/0.8)/1000</f>
        <v>#REF!</v>
      </c>
      <c r="BN58" s="17" t="e">
        <f>-53.07 + (304.89 * (BM58)) + (90.79 *Crescimento!#REF!) - (3.13 * Crescimento!#REF!*Crescimento!#REF!)</f>
        <v>#REF!</v>
      </c>
      <c r="BP58" s="16" t="e">
        <f>(BQ57+(Crescimento!#REF!-(BQ57*0.64))/0.8)/1000</f>
        <v>#REF!</v>
      </c>
      <c r="BQ58" s="17" t="e">
        <f>-53.07 + (304.89 * (BP58)) + (90.79 *Crescimento!#REF!) - (3.13 * Crescimento!#REF!*Crescimento!#REF!)</f>
        <v>#REF!</v>
      </c>
      <c r="BS58" s="16" t="e">
        <f>(BT57+(Crescimento!#REF!-(BT57*0.64))/0.8)/1000</f>
        <v>#REF!</v>
      </c>
      <c r="BT58" s="17" t="e">
        <f>-53.07 + (304.89 * (BS58)) + (90.79 *Crescimento!#REF!) - (3.13 * Crescimento!#REF!*Crescimento!#REF!)</f>
        <v>#REF!</v>
      </c>
      <c r="BV58" s="16" t="e">
        <f>(BW57+(Crescimento!#REF!-(BW57*0.64))/0.8)/1000</f>
        <v>#REF!</v>
      </c>
      <c r="BW58" s="17" t="e">
        <f>-53.07 + (304.89 * (BV58)) + (90.79 *Crescimento!#REF!) - (3.13 * Crescimento!#REF!*Crescimento!#REF!)</f>
        <v>#REF!</v>
      </c>
      <c r="BY58" s="16" t="e">
        <f>(BZ57+(Crescimento!#REF!-(BZ57*0.64))/0.8)/1000</f>
        <v>#REF!</v>
      </c>
      <c r="BZ58" s="17" t="e">
        <f>-53.07 + (304.89 * (BY58)) + (90.79 *Crescimento!#REF!) - (3.13 * Crescimento!#REF!*Crescimento!#REF!)</f>
        <v>#REF!</v>
      </c>
      <c r="CB58" s="16" t="e">
        <f>(CC57+(Crescimento!#REF!-(CC57*0.64))/0.8)/1000</f>
        <v>#REF!</v>
      </c>
      <c r="CC58" s="17" t="e">
        <f>-53.07 + (304.89 * (CB58)) + (90.79 *Crescimento!#REF!) - (3.13 * Crescimento!#REF!*Crescimento!#REF!)</f>
        <v>#REF!</v>
      </c>
      <c r="CE58" s="16" t="e">
        <f>(CF57+(Crescimento!#REF!-(CF57*0.64))/0.8)/1000</f>
        <v>#REF!</v>
      </c>
      <c r="CF58" s="17" t="e">
        <f>-53.07 + (304.89 * (CE58)) + (90.79 *Crescimento!#REF!) - (3.13 * Crescimento!#REF!*Crescimento!#REF!)</f>
        <v>#REF!</v>
      </c>
      <c r="CH58" s="16" t="e">
        <f>(CI57+(Crescimento!#REF!-(CI57*0.64))/0.8)/1000</f>
        <v>#REF!</v>
      </c>
      <c r="CI58" s="17" t="e">
        <f>-53.07 + (304.89 * (CH58)) + (90.79 *Crescimento!#REF!) - (3.13 * Crescimento!#REF!*Crescimento!#REF!)</f>
        <v>#REF!</v>
      </c>
      <c r="CK58" s="16" t="e">
        <f>(CL57+(Crescimento!#REF!-(CL57*0.64))/0.8)/1000</f>
        <v>#REF!</v>
      </c>
      <c r="CL58" s="17" t="e">
        <f>-53.07 + (304.89 * (CK58)) + (90.79 *Crescimento!#REF!) - (3.13 * Crescimento!#REF!*Crescimento!#REF!)</f>
        <v>#REF!</v>
      </c>
    </row>
    <row r="59" spans="2:90" x14ac:dyDescent="0.25">
      <c r="B59" s="16">
        <f>(C58+('Vacas e Bezerros'!$O$29-(C58*0.64))/0.8)/1000</f>
        <v>1.1219974776113528</v>
      </c>
      <c r="C59" s="17">
        <f>-53.07 + (304.89 * (B59)) + (90.79 *'Vacas e Bezerros'!$O$23) - (3.13 * 'Vacas e Bezerros'!$O$23*'Vacas e Bezerros'!$O$23)</f>
        <v>715.77733851110622</v>
      </c>
      <c r="E59" s="16" t="e">
        <f>(F58+(Crescimento!#REF!-(F58*0.64))/0.8)/1000</f>
        <v>#REF!</v>
      </c>
      <c r="F59" s="17" t="e">
        <f>-53.07 + (304.89 * (E59)) + (90.79 *Crescimento!#REF!) - (3.13 * Crescimento!#REF!*Crescimento!#REF!)</f>
        <v>#REF!</v>
      </c>
      <c r="G59" s="1"/>
      <c r="H59" s="16" t="e">
        <f>(I58+(Crescimento!#REF!-(I58*0.64))/0.8)/1000</f>
        <v>#REF!</v>
      </c>
      <c r="I59" s="17" t="e">
        <f>-53.07 + (304.89 * (H59)) + (90.79 *Crescimento!#REF!) - (3.13 * Crescimento!#REF!*Crescimento!#REF!)</f>
        <v>#REF!</v>
      </c>
      <c r="K59" s="16" t="e">
        <f>(L58+(Crescimento!#REF!-(L58*0.64))/0.8)/1000</f>
        <v>#REF!</v>
      </c>
      <c r="L59" s="17" t="e">
        <f>-53.07 + (304.89 * (K59)) + (90.79 *Crescimento!#REF!) - (3.13 * Crescimento!#REF!*Crescimento!#REF!)</f>
        <v>#REF!</v>
      </c>
      <c r="N59" s="16" t="e">
        <f>(O58+(Crescimento!#REF!-(O58*0.64))/0.8)/1000</f>
        <v>#REF!</v>
      </c>
      <c r="O59" s="17" t="e">
        <f>-53.07 + (304.89 * (N59)) + (90.79 *Crescimento!#REF!) - (3.13 * Crescimento!#REF!*Crescimento!#REF!)</f>
        <v>#REF!</v>
      </c>
      <c r="Q59" s="16" t="e">
        <f>(R58+(Crescimento!#REF!-(R58*0.64))/0.8)/1000</f>
        <v>#REF!</v>
      </c>
      <c r="R59" s="17" t="e">
        <f>-53.07 + (304.89 * (Q59)) + (90.79 *Crescimento!#REF!) - (3.13 * Crescimento!#REF!*Crescimento!#REF!)</f>
        <v>#REF!</v>
      </c>
      <c r="T59" s="16" t="e">
        <f>(U58+(Crescimento!#REF!-(U58*0.64))/0.8)/1000</f>
        <v>#REF!</v>
      </c>
      <c r="U59" s="17" t="e">
        <f>-53.07 + (304.89 * (T59)) + (90.79 *Crescimento!#REF!) - (3.13 * Crescimento!#REF!*Crescimento!#REF!)</f>
        <v>#REF!</v>
      </c>
      <c r="W59" s="16" t="e">
        <f>(X58+(Crescimento!#REF!-(X58*0.64))/0.8)/1000</f>
        <v>#REF!</v>
      </c>
      <c r="X59" s="17" t="e">
        <f>-53.07 + (304.89 * (W59)) + (90.79 *Crescimento!#REF!) - (3.13 * Crescimento!#REF!*Crescimento!#REF!)</f>
        <v>#REF!</v>
      </c>
      <c r="Y59" s="6"/>
      <c r="Z59" s="16" t="e">
        <f>(AA58+(Crescimento!#REF!-(AA58*0.64))/0.8)/1000</f>
        <v>#REF!</v>
      </c>
      <c r="AA59" s="17" t="e">
        <f>-53.07 + (304.89 * (Z59)) + (90.79 *Crescimento!#REF!) - (3.13 * Crescimento!#REF!*Crescimento!#REF!)</f>
        <v>#REF!</v>
      </c>
      <c r="AB59" s="6"/>
      <c r="AC59" s="16" t="e">
        <f>(AD58+(Crescimento!#REF!-(AD58*0.64))/0.8)/1000</f>
        <v>#REF!</v>
      </c>
      <c r="AD59" s="17" t="e">
        <f>-53.07 + (304.89 * (AC59)) + (90.79 *Crescimento!#REF!) - (3.13 * Crescimento!#REF!*Crescimento!#REF!)</f>
        <v>#REF!</v>
      </c>
      <c r="AE59" s="17"/>
      <c r="AF59" s="16" t="e">
        <f>(AG58+(Crescimento!#REF!-(AG58*0.64))/0.8)/1000</f>
        <v>#REF!</v>
      </c>
      <c r="AG59" s="17" t="e">
        <f>-53.07 + (304.89 * (AF59)) + (90.79 *Crescimento!#REF!) - (3.13 * Crescimento!#REF!*Crescimento!#REF!)</f>
        <v>#REF!</v>
      </c>
      <c r="AI59" s="16" t="e">
        <f>(AJ58+(Crescimento!#REF!-(AJ58*0.64))/0.8)/1000</f>
        <v>#REF!</v>
      </c>
      <c r="AJ59" s="17" t="e">
        <f>-53.07 + (304.89 * (AI59)) + (90.79 *Crescimento!#REF!) - (3.13 * Crescimento!#REF!*Crescimento!#REF!)</f>
        <v>#REF!</v>
      </c>
      <c r="AL59" s="16" t="e">
        <f>(AM58+(Crescimento!#REF!-(AM58*0.64))/0.8)/1000</f>
        <v>#REF!</v>
      </c>
      <c r="AM59" s="17" t="e">
        <f>-53.07 + (304.89 * (AL59)) + (90.79 *Crescimento!#REF!) - (3.13 * Crescimento!#REF!*Crescimento!#REF!)</f>
        <v>#REF!</v>
      </c>
      <c r="AO59" s="16" t="e">
        <f>(AP58+(Crescimento!#REF!-(AP58*0.64))/0.8)/1000</f>
        <v>#REF!</v>
      </c>
      <c r="AP59" s="17" t="e">
        <f>-53.07 + (304.89 * (AO59)) + (90.79 *Crescimento!#REF!) - (3.13 * Crescimento!#REF!*Crescimento!#REF!)</f>
        <v>#REF!</v>
      </c>
      <c r="AR59" s="16" t="e">
        <f>(AS58+(Crescimento!#REF!-(AS58*0.64))/0.8)/1000</f>
        <v>#REF!</v>
      </c>
      <c r="AS59" s="17" t="e">
        <f>-53.07 + (304.89 * (AR59)) + (90.79 *Crescimento!#REF!) - (3.13 * Crescimento!#REF!*Crescimento!#REF!)</f>
        <v>#REF!</v>
      </c>
      <c r="AU59" s="16" t="e">
        <f>(AV58+(Crescimento!#REF!-(AV58*0.64))/0.8)/1000</f>
        <v>#REF!</v>
      </c>
      <c r="AV59" s="17" t="e">
        <f>-53.07 + (304.89 * (AU59)) + (90.79 *Crescimento!#REF!) - (3.13 * Crescimento!#REF!*Crescimento!#REF!)</f>
        <v>#REF!</v>
      </c>
      <c r="AX59" s="16" t="e">
        <f>(AY58+(Crescimento!#REF!-(AY58*0.64))/0.8)/1000</f>
        <v>#REF!</v>
      </c>
      <c r="AY59" s="17" t="e">
        <f>-53.07 + (304.89 * (AX59)) + (90.79 *Crescimento!#REF!) - (3.13 * Crescimento!#REF!*Crescimento!#REF!)</f>
        <v>#REF!</v>
      </c>
      <c r="BA59" s="16" t="e">
        <f>(BB58+(Crescimento!#REF!-(BB58*0.64))/0.8)/1000</f>
        <v>#REF!</v>
      </c>
      <c r="BB59" s="17" t="e">
        <f>-53.07 + (304.89 * (BA59)) + (90.79 *Crescimento!#REF!) - (3.13 * Crescimento!#REF!*Crescimento!#REF!)</f>
        <v>#REF!</v>
      </c>
      <c r="BD59" s="16" t="e">
        <f>(BE58+(Crescimento!#REF!-(BE58*0.64))/0.8)/1000</f>
        <v>#REF!</v>
      </c>
      <c r="BE59" s="17" t="e">
        <f>-53.07 + (304.89 * (BD59)) + (90.79 *Crescimento!#REF!) - (3.13 * Crescimento!#REF!*Crescimento!#REF!)</f>
        <v>#REF!</v>
      </c>
      <c r="BG59" s="16" t="e">
        <f>(BH58+(Crescimento!#REF!-(BH58*0.64))/0.8)/1000</f>
        <v>#REF!</v>
      </c>
      <c r="BH59" s="17" t="e">
        <f>-53.07 + (304.89 * (BG59)) + (90.79 *Crescimento!#REF!) - (3.13 * Crescimento!#REF!*Crescimento!#REF!)</f>
        <v>#REF!</v>
      </c>
      <c r="BJ59" s="16" t="e">
        <f>(BK58+(Crescimento!#REF!-(BK58*0.64))/0.8)/1000</f>
        <v>#REF!</v>
      </c>
      <c r="BK59" s="17" t="e">
        <f>-53.07 + (304.89 * (BJ59)) + (90.79 *Crescimento!#REF!) - (3.13 * Crescimento!#REF!*Crescimento!#REF!)</f>
        <v>#REF!</v>
      </c>
      <c r="BM59" s="16" t="e">
        <f>(BN58+(Crescimento!#REF!-(BN58*0.64))/0.8)/1000</f>
        <v>#REF!</v>
      </c>
      <c r="BN59" s="17" t="e">
        <f>-53.07 + (304.89 * (BM59)) + (90.79 *Crescimento!#REF!) - (3.13 * Crescimento!#REF!*Crescimento!#REF!)</f>
        <v>#REF!</v>
      </c>
      <c r="BP59" s="16" t="e">
        <f>(BQ58+(Crescimento!#REF!-(BQ58*0.64))/0.8)/1000</f>
        <v>#REF!</v>
      </c>
      <c r="BQ59" s="17" t="e">
        <f>-53.07 + (304.89 * (BP59)) + (90.79 *Crescimento!#REF!) - (3.13 * Crescimento!#REF!*Crescimento!#REF!)</f>
        <v>#REF!</v>
      </c>
      <c r="BS59" s="16" t="e">
        <f>(BT58+(Crescimento!#REF!-(BT58*0.64))/0.8)/1000</f>
        <v>#REF!</v>
      </c>
      <c r="BT59" s="17" t="e">
        <f>-53.07 + (304.89 * (BS59)) + (90.79 *Crescimento!#REF!) - (3.13 * Crescimento!#REF!*Crescimento!#REF!)</f>
        <v>#REF!</v>
      </c>
      <c r="BV59" s="16" t="e">
        <f>(BW58+(Crescimento!#REF!-(BW58*0.64))/0.8)/1000</f>
        <v>#REF!</v>
      </c>
      <c r="BW59" s="17" t="e">
        <f>-53.07 + (304.89 * (BV59)) + (90.79 *Crescimento!#REF!) - (3.13 * Crescimento!#REF!*Crescimento!#REF!)</f>
        <v>#REF!</v>
      </c>
      <c r="BY59" s="16" t="e">
        <f>(BZ58+(Crescimento!#REF!-(BZ58*0.64))/0.8)/1000</f>
        <v>#REF!</v>
      </c>
      <c r="BZ59" s="17" t="e">
        <f>-53.07 + (304.89 * (BY59)) + (90.79 *Crescimento!#REF!) - (3.13 * Crescimento!#REF!*Crescimento!#REF!)</f>
        <v>#REF!</v>
      </c>
      <c r="CB59" s="16" t="e">
        <f>(CC58+(Crescimento!#REF!-(CC58*0.64))/0.8)/1000</f>
        <v>#REF!</v>
      </c>
      <c r="CC59" s="17" t="e">
        <f>-53.07 + (304.89 * (CB59)) + (90.79 *Crescimento!#REF!) - (3.13 * Crescimento!#REF!*Crescimento!#REF!)</f>
        <v>#REF!</v>
      </c>
      <c r="CE59" s="16" t="e">
        <f>(CF58+(Crescimento!#REF!-(CF58*0.64))/0.8)/1000</f>
        <v>#REF!</v>
      </c>
      <c r="CF59" s="17" t="e">
        <f>-53.07 + (304.89 * (CE59)) + (90.79 *Crescimento!#REF!) - (3.13 * Crescimento!#REF!*Crescimento!#REF!)</f>
        <v>#REF!</v>
      </c>
      <c r="CH59" s="16" t="e">
        <f>(CI58+(Crescimento!#REF!-(CI58*0.64))/0.8)/1000</f>
        <v>#REF!</v>
      </c>
      <c r="CI59" s="17" t="e">
        <f>-53.07 + (304.89 * (CH59)) + (90.79 *Crescimento!#REF!) - (3.13 * Crescimento!#REF!*Crescimento!#REF!)</f>
        <v>#REF!</v>
      </c>
      <c r="CK59" s="16" t="e">
        <f>(CL58+(Crescimento!#REF!-(CL58*0.64))/0.8)/1000</f>
        <v>#REF!</v>
      </c>
      <c r="CL59" s="17" t="e">
        <f>-53.07 + (304.89 * (CK59)) + (90.79 *Crescimento!#REF!) - (3.13 * Crescimento!#REF!*Crescimento!#REF!)</f>
        <v>#REF!</v>
      </c>
    </row>
    <row r="60" spans="2:90" x14ac:dyDescent="0.25">
      <c r="B60" s="16">
        <f>(C59+('Vacas e Bezerros'!$O$29-(C59*0.64))/0.8)/1000</f>
        <v>1.1219974776113528</v>
      </c>
      <c r="C60" s="17">
        <f>-53.07 + (304.89 * (B60)) + (90.79 *'Vacas e Bezerros'!$O$23) - (3.13 * 'Vacas e Bezerros'!$O$23*'Vacas e Bezerros'!$O$23)</f>
        <v>715.77733851110622</v>
      </c>
      <c r="E60" s="16" t="e">
        <f>(F59+(Crescimento!#REF!-(F59*0.64))/0.8)/1000</f>
        <v>#REF!</v>
      </c>
      <c r="F60" s="17" t="e">
        <f>-53.07 + (304.89 * (E60)) + (90.79 *Crescimento!#REF!) - (3.13 * Crescimento!#REF!*Crescimento!#REF!)</f>
        <v>#REF!</v>
      </c>
      <c r="G60" s="1"/>
      <c r="H60" s="16" t="e">
        <f>(I59+(Crescimento!#REF!-(I59*0.64))/0.8)/1000</f>
        <v>#REF!</v>
      </c>
      <c r="I60" s="17" t="e">
        <f>-53.07 + (304.89 * (H60)) + (90.79 *Crescimento!#REF!) - (3.13 * Crescimento!#REF!*Crescimento!#REF!)</f>
        <v>#REF!</v>
      </c>
      <c r="K60" s="16" t="e">
        <f>(L59+(Crescimento!#REF!-(L59*0.64))/0.8)/1000</f>
        <v>#REF!</v>
      </c>
      <c r="L60" s="17" t="e">
        <f>-53.07 + (304.89 * (K60)) + (90.79 *Crescimento!#REF!) - (3.13 * Crescimento!#REF!*Crescimento!#REF!)</f>
        <v>#REF!</v>
      </c>
      <c r="N60" s="16" t="e">
        <f>(O59+(Crescimento!#REF!-(O59*0.64))/0.8)/1000</f>
        <v>#REF!</v>
      </c>
      <c r="O60" s="17" t="e">
        <f>-53.07 + (304.89 * (N60)) + (90.79 *Crescimento!#REF!) - (3.13 * Crescimento!#REF!*Crescimento!#REF!)</f>
        <v>#REF!</v>
      </c>
      <c r="Q60" s="16" t="e">
        <f>(R59+(Crescimento!#REF!-(R59*0.64))/0.8)/1000</f>
        <v>#REF!</v>
      </c>
      <c r="R60" s="17" t="e">
        <f>-53.07 + (304.89 * (Q60)) + (90.79 *Crescimento!#REF!) - (3.13 * Crescimento!#REF!*Crescimento!#REF!)</f>
        <v>#REF!</v>
      </c>
      <c r="T60" s="16" t="e">
        <f>(U59+(Crescimento!#REF!-(U59*0.64))/0.8)/1000</f>
        <v>#REF!</v>
      </c>
      <c r="U60" s="17" t="e">
        <f>-53.07 + (304.89 * (T60)) + (90.79 *Crescimento!#REF!) - (3.13 * Crescimento!#REF!*Crescimento!#REF!)</f>
        <v>#REF!</v>
      </c>
      <c r="W60" s="16" t="e">
        <f>(X59+(Crescimento!#REF!-(X59*0.64))/0.8)/1000</f>
        <v>#REF!</v>
      </c>
      <c r="X60" s="17" t="e">
        <f>-53.07 + (304.89 * (W60)) + (90.79 *Crescimento!#REF!) - (3.13 * Crescimento!#REF!*Crescimento!#REF!)</f>
        <v>#REF!</v>
      </c>
      <c r="Y60" s="6"/>
      <c r="Z60" s="16" t="e">
        <f>(AA59+(Crescimento!#REF!-(AA59*0.64))/0.8)/1000</f>
        <v>#REF!</v>
      </c>
      <c r="AA60" s="17" t="e">
        <f>-53.07 + (304.89 * (Z60)) + (90.79 *Crescimento!#REF!) - (3.13 * Crescimento!#REF!*Crescimento!#REF!)</f>
        <v>#REF!</v>
      </c>
      <c r="AB60" s="6"/>
      <c r="AC60" s="16" t="e">
        <f>(AD59+(Crescimento!#REF!-(AD59*0.64))/0.8)/1000</f>
        <v>#REF!</v>
      </c>
      <c r="AD60" s="17" t="e">
        <f>-53.07 + (304.89 * (AC60)) + (90.79 *Crescimento!#REF!) - (3.13 * Crescimento!#REF!*Crescimento!#REF!)</f>
        <v>#REF!</v>
      </c>
      <c r="AE60" s="17"/>
      <c r="AF60" s="16" t="e">
        <f>(AG59+(Crescimento!#REF!-(AG59*0.64))/0.8)/1000</f>
        <v>#REF!</v>
      </c>
      <c r="AG60" s="17" t="e">
        <f>-53.07 + (304.89 * (AF60)) + (90.79 *Crescimento!#REF!) - (3.13 * Crescimento!#REF!*Crescimento!#REF!)</f>
        <v>#REF!</v>
      </c>
      <c r="AI60" s="16" t="e">
        <f>(AJ59+(Crescimento!#REF!-(AJ59*0.64))/0.8)/1000</f>
        <v>#REF!</v>
      </c>
      <c r="AJ60" s="17" t="e">
        <f>-53.07 + (304.89 * (AI60)) + (90.79 *Crescimento!#REF!) - (3.13 * Crescimento!#REF!*Crescimento!#REF!)</f>
        <v>#REF!</v>
      </c>
      <c r="AL60" s="16" t="e">
        <f>(AM59+(Crescimento!#REF!-(AM59*0.64))/0.8)/1000</f>
        <v>#REF!</v>
      </c>
      <c r="AM60" s="17" t="e">
        <f>-53.07 + (304.89 * (AL60)) + (90.79 *Crescimento!#REF!) - (3.13 * Crescimento!#REF!*Crescimento!#REF!)</f>
        <v>#REF!</v>
      </c>
      <c r="AO60" s="16" t="e">
        <f>(AP59+(Crescimento!#REF!-(AP59*0.64))/0.8)/1000</f>
        <v>#REF!</v>
      </c>
      <c r="AP60" s="17" t="e">
        <f>-53.07 + (304.89 * (AO60)) + (90.79 *Crescimento!#REF!) - (3.13 * Crescimento!#REF!*Crescimento!#REF!)</f>
        <v>#REF!</v>
      </c>
      <c r="AR60" s="16" t="e">
        <f>(AS59+(Crescimento!#REF!-(AS59*0.64))/0.8)/1000</f>
        <v>#REF!</v>
      </c>
      <c r="AS60" s="17" t="e">
        <f>-53.07 + (304.89 * (AR60)) + (90.79 *Crescimento!#REF!) - (3.13 * Crescimento!#REF!*Crescimento!#REF!)</f>
        <v>#REF!</v>
      </c>
      <c r="AU60" s="16" t="e">
        <f>(AV59+(Crescimento!#REF!-(AV59*0.64))/0.8)/1000</f>
        <v>#REF!</v>
      </c>
      <c r="AV60" s="17" t="e">
        <f>-53.07 + (304.89 * (AU60)) + (90.79 *Crescimento!#REF!) - (3.13 * Crescimento!#REF!*Crescimento!#REF!)</f>
        <v>#REF!</v>
      </c>
      <c r="AX60" s="16" t="e">
        <f>(AY59+(Crescimento!#REF!-(AY59*0.64))/0.8)/1000</f>
        <v>#REF!</v>
      </c>
      <c r="AY60" s="17" t="e">
        <f>-53.07 + (304.89 * (AX60)) + (90.79 *Crescimento!#REF!) - (3.13 * Crescimento!#REF!*Crescimento!#REF!)</f>
        <v>#REF!</v>
      </c>
      <c r="BA60" s="16" t="e">
        <f>(BB59+(Crescimento!#REF!-(BB59*0.64))/0.8)/1000</f>
        <v>#REF!</v>
      </c>
      <c r="BB60" s="17" t="e">
        <f>-53.07 + (304.89 * (BA60)) + (90.79 *Crescimento!#REF!) - (3.13 * Crescimento!#REF!*Crescimento!#REF!)</f>
        <v>#REF!</v>
      </c>
      <c r="BD60" s="16" t="e">
        <f>(BE59+(Crescimento!#REF!-(BE59*0.64))/0.8)/1000</f>
        <v>#REF!</v>
      </c>
      <c r="BE60" s="17" t="e">
        <f>-53.07 + (304.89 * (BD60)) + (90.79 *Crescimento!#REF!) - (3.13 * Crescimento!#REF!*Crescimento!#REF!)</f>
        <v>#REF!</v>
      </c>
      <c r="BG60" s="16" t="e">
        <f>(BH59+(Crescimento!#REF!-(BH59*0.64))/0.8)/1000</f>
        <v>#REF!</v>
      </c>
      <c r="BH60" s="17" t="e">
        <f>-53.07 + (304.89 * (BG60)) + (90.79 *Crescimento!#REF!) - (3.13 * Crescimento!#REF!*Crescimento!#REF!)</f>
        <v>#REF!</v>
      </c>
      <c r="BJ60" s="16" t="e">
        <f>(BK59+(Crescimento!#REF!-(BK59*0.64))/0.8)/1000</f>
        <v>#REF!</v>
      </c>
      <c r="BK60" s="17" t="e">
        <f>-53.07 + (304.89 * (BJ60)) + (90.79 *Crescimento!#REF!) - (3.13 * Crescimento!#REF!*Crescimento!#REF!)</f>
        <v>#REF!</v>
      </c>
      <c r="BM60" s="16" t="e">
        <f>(BN59+(Crescimento!#REF!-(BN59*0.64))/0.8)/1000</f>
        <v>#REF!</v>
      </c>
      <c r="BN60" s="17" t="e">
        <f>-53.07 + (304.89 * (BM60)) + (90.79 *Crescimento!#REF!) - (3.13 * Crescimento!#REF!*Crescimento!#REF!)</f>
        <v>#REF!</v>
      </c>
      <c r="BP60" s="16" t="e">
        <f>(BQ59+(Crescimento!#REF!-(BQ59*0.64))/0.8)/1000</f>
        <v>#REF!</v>
      </c>
      <c r="BQ60" s="17" t="e">
        <f>-53.07 + (304.89 * (BP60)) + (90.79 *Crescimento!#REF!) - (3.13 * Crescimento!#REF!*Crescimento!#REF!)</f>
        <v>#REF!</v>
      </c>
      <c r="BS60" s="16" t="e">
        <f>(BT59+(Crescimento!#REF!-(BT59*0.64))/0.8)/1000</f>
        <v>#REF!</v>
      </c>
      <c r="BT60" s="17" t="e">
        <f>-53.07 + (304.89 * (BS60)) + (90.79 *Crescimento!#REF!) - (3.13 * Crescimento!#REF!*Crescimento!#REF!)</f>
        <v>#REF!</v>
      </c>
      <c r="BV60" s="16" t="e">
        <f>(BW59+(Crescimento!#REF!-(BW59*0.64))/0.8)/1000</f>
        <v>#REF!</v>
      </c>
      <c r="BW60" s="17" t="e">
        <f>-53.07 + (304.89 * (BV60)) + (90.79 *Crescimento!#REF!) - (3.13 * Crescimento!#REF!*Crescimento!#REF!)</f>
        <v>#REF!</v>
      </c>
      <c r="BY60" s="16" t="e">
        <f>(BZ59+(Crescimento!#REF!-(BZ59*0.64))/0.8)/1000</f>
        <v>#REF!</v>
      </c>
      <c r="BZ60" s="17" t="e">
        <f>-53.07 + (304.89 * (BY60)) + (90.79 *Crescimento!#REF!) - (3.13 * Crescimento!#REF!*Crescimento!#REF!)</f>
        <v>#REF!</v>
      </c>
      <c r="CB60" s="16" t="e">
        <f>(CC59+(Crescimento!#REF!-(CC59*0.64))/0.8)/1000</f>
        <v>#REF!</v>
      </c>
      <c r="CC60" s="17" t="e">
        <f>-53.07 + (304.89 * (CB60)) + (90.79 *Crescimento!#REF!) - (3.13 * Crescimento!#REF!*Crescimento!#REF!)</f>
        <v>#REF!</v>
      </c>
      <c r="CE60" s="16" t="e">
        <f>(CF59+(Crescimento!#REF!-(CF59*0.64))/0.8)/1000</f>
        <v>#REF!</v>
      </c>
      <c r="CF60" s="17" t="e">
        <f>-53.07 + (304.89 * (CE60)) + (90.79 *Crescimento!#REF!) - (3.13 * Crescimento!#REF!*Crescimento!#REF!)</f>
        <v>#REF!</v>
      </c>
      <c r="CH60" s="16" t="e">
        <f>(CI59+(Crescimento!#REF!-(CI59*0.64))/0.8)/1000</f>
        <v>#REF!</v>
      </c>
      <c r="CI60" s="17" t="e">
        <f>-53.07 + (304.89 * (CH60)) + (90.79 *Crescimento!#REF!) - (3.13 * Crescimento!#REF!*Crescimento!#REF!)</f>
        <v>#REF!</v>
      </c>
      <c r="CK60" s="16" t="e">
        <f>(CL59+(Crescimento!#REF!-(CL59*0.64))/0.8)/1000</f>
        <v>#REF!</v>
      </c>
      <c r="CL60" s="17" t="e">
        <f>-53.07 + (304.89 * (CK60)) + (90.79 *Crescimento!#REF!) - (3.13 * Crescimento!#REF!*Crescimento!#REF!)</f>
        <v>#REF!</v>
      </c>
    </row>
    <row r="61" spans="2:90" x14ac:dyDescent="0.25">
      <c r="B61" s="16">
        <f>(C60+('Vacas e Bezerros'!$O$29-(C60*0.64))/0.8)/1000</f>
        <v>1.1219974776113528</v>
      </c>
      <c r="C61" s="17">
        <f>-53.07 + (304.89 * (B61)) + (90.79 *'Vacas e Bezerros'!$O$23) - (3.13 * 'Vacas e Bezerros'!$O$23*'Vacas e Bezerros'!$O$23)</f>
        <v>715.77733851110622</v>
      </c>
      <c r="E61" s="16" t="e">
        <f>(F60+(Crescimento!#REF!-(F60*0.64))/0.8)/1000</f>
        <v>#REF!</v>
      </c>
      <c r="F61" s="17" t="e">
        <f>-53.07 + (304.89 * (E61)) + (90.79 *Crescimento!#REF!) - (3.13 * Crescimento!#REF!*Crescimento!#REF!)</f>
        <v>#REF!</v>
      </c>
      <c r="G61" s="1"/>
      <c r="H61" s="16" t="e">
        <f>(I60+(Crescimento!#REF!-(I60*0.64))/0.8)/1000</f>
        <v>#REF!</v>
      </c>
      <c r="I61" s="17" t="e">
        <f>-53.07 + (304.89 * (H61)) + (90.79 *Crescimento!#REF!) - (3.13 * Crescimento!#REF!*Crescimento!#REF!)</f>
        <v>#REF!</v>
      </c>
      <c r="K61" s="16" t="e">
        <f>(L60+(Crescimento!#REF!-(L60*0.64))/0.8)/1000</f>
        <v>#REF!</v>
      </c>
      <c r="L61" s="17" t="e">
        <f>-53.07 + (304.89 * (K61)) + (90.79 *Crescimento!#REF!) - (3.13 * Crescimento!#REF!*Crescimento!#REF!)</f>
        <v>#REF!</v>
      </c>
      <c r="N61" s="16" t="e">
        <f>(O60+(Crescimento!#REF!-(O60*0.64))/0.8)/1000</f>
        <v>#REF!</v>
      </c>
      <c r="O61" s="17" t="e">
        <f>-53.07 + (304.89 * (N61)) + (90.79 *Crescimento!#REF!) - (3.13 * Crescimento!#REF!*Crescimento!#REF!)</f>
        <v>#REF!</v>
      </c>
      <c r="Q61" s="16" t="e">
        <f>(R60+(Crescimento!#REF!-(R60*0.64))/0.8)/1000</f>
        <v>#REF!</v>
      </c>
      <c r="R61" s="17" t="e">
        <f>-53.07 + (304.89 * (Q61)) + (90.79 *Crescimento!#REF!) - (3.13 * Crescimento!#REF!*Crescimento!#REF!)</f>
        <v>#REF!</v>
      </c>
      <c r="T61" s="16" t="e">
        <f>(U60+(Crescimento!#REF!-(U60*0.64))/0.8)/1000</f>
        <v>#REF!</v>
      </c>
      <c r="U61" s="17" t="e">
        <f>-53.07 + (304.89 * (T61)) + (90.79 *Crescimento!#REF!) - (3.13 * Crescimento!#REF!*Crescimento!#REF!)</f>
        <v>#REF!</v>
      </c>
      <c r="W61" s="16" t="e">
        <f>(X60+(Crescimento!#REF!-(X60*0.64))/0.8)/1000</f>
        <v>#REF!</v>
      </c>
      <c r="X61" s="17" t="e">
        <f>-53.07 + (304.89 * (W61)) + (90.79 *Crescimento!#REF!) - (3.13 * Crescimento!#REF!*Crescimento!#REF!)</f>
        <v>#REF!</v>
      </c>
      <c r="Y61" s="6"/>
      <c r="Z61" s="16" t="e">
        <f>(AA60+(Crescimento!#REF!-(AA60*0.64))/0.8)/1000</f>
        <v>#REF!</v>
      </c>
      <c r="AA61" s="17" t="e">
        <f>-53.07 + (304.89 * (Z61)) + (90.79 *Crescimento!#REF!) - (3.13 * Crescimento!#REF!*Crescimento!#REF!)</f>
        <v>#REF!</v>
      </c>
      <c r="AB61" s="6"/>
      <c r="AC61" s="16" t="e">
        <f>(AD60+(Crescimento!#REF!-(AD60*0.64))/0.8)/1000</f>
        <v>#REF!</v>
      </c>
      <c r="AD61" s="17" t="e">
        <f>-53.07 + (304.89 * (AC61)) + (90.79 *Crescimento!#REF!) - (3.13 * Crescimento!#REF!*Crescimento!#REF!)</f>
        <v>#REF!</v>
      </c>
      <c r="AE61" s="17"/>
      <c r="AF61" s="16" t="e">
        <f>(AG60+(Crescimento!#REF!-(AG60*0.64))/0.8)/1000</f>
        <v>#REF!</v>
      </c>
      <c r="AG61" s="17" t="e">
        <f>-53.07 + (304.89 * (AF61)) + (90.79 *Crescimento!#REF!) - (3.13 * Crescimento!#REF!*Crescimento!#REF!)</f>
        <v>#REF!</v>
      </c>
      <c r="AI61" s="16" t="e">
        <f>(AJ60+(Crescimento!#REF!-(AJ60*0.64))/0.8)/1000</f>
        <v>#REF!</v>
      </c>
      <c r="AJ61" s="17" t="e">
        <f>-53.07 + (304.89 * (AI61)) + (90.79 *Crescimento!#REF!) - (3.13 * Crescimento!#REF!*Crescimento!#REF!)</f>
        <v>#REF!</v>
      </c>
      <c r="AL61" s="16" t="e">
        <f>(AM60+(Crescimento!#REF!-(AM60*0.64))/0.8)/1000</f>
        <v>#REF!</v>
      </c>
      <c r="AM61" s="17" t="e">
        <f>-53.07 + (304.89 * (AL61)) + (90.79 *Crescimento!#REF!) - (3.13 * Crescimento!#REF!*Crescimento!#REF!)</f>
        <v>#REF!</v>
      </c>
      <c r="AO61" s="16" t="e">
        <f>(AP60+(Crescimento!#REF!-(AP60*0.64))/0.8)/1000</f>
        <v>#REF!</v>
      </c>
      <c r="AP61" s="17" t="e">
        <f>-53.07 + (304.89 * (AO61)) + (90.79 *Crescimento!#REF!) - (3.13 * Crescimento!#REF!*Crescimento!#REF!)</f>
        <v>#REF!</v>
      </c>
      <c r="AR61" s="16" t="e">
        <f>(AS60+(Crescimento!#REF!-(AS60*0.64))/0.8)/1000</f>
        <v>#REF!</v>
      </c>
      <c r="AS61" s="17" t="e">
        <f>-53.07 + (304.89 * (AR61)) + (90.79 *Crescimento!#REF!) - (3.13 * Crescimento!#REF!*Crescimento!#REF!)</f>
        <v>#REF!</v>
      </c>
      <c r="AU61" s="16" t="e">
        <f>(AV60+(Crescimento!#REF!-(AV60*0.64))/0.8)/1000</f>
        <v>#REF!</v>
      </c>
      <c r="AV61" s="17" t="e">
        <f>-53.07 + (304.89 * (AU61)) + (90.79 *Crescimento!#REF!) - (3.13 * Crescimento!#REF!*Crescimento!#REF!)</f>
        <v>#REF!</v>
      </c>
      <c r="AX61" s="16" t="e">
        <f>(AY60+(Crescimento!#REF!-(AY60*0.64))/0.8)/1000</f>
        <v>#REF!</v>
      </c>
      <c r="AY61" s="17" t="e">
        <f>-53.07 + (304.89 * (AX61)) + (90.79 *Crescimento!#REF!) - (3.13 * Crescimento!#REF!*Crescimento!#REF!)</f>
        <v>#REF!</v>
      </c>
      <c r="BA61" s="16" t="e">
        <f>(BB60+(Crescimento!#REF!-(BB60*0.64))/0.8)/1000</f>
        <v>#REF!</v>
      </c>
      <c r="BB61" s="17" t="e">
        <f>-53.07 + (304.89 * (BA61)) + (90.79 *Crescimento!#REF!) - (3.13 * Crescimento!#REF!*Crescimento!#REF!)</f>
        <v>#REF!</v>
      </c>
      <c r="BD61" s="16" t="e">
        <f>(BE60+(Crescimento!#REF!-(BE60*0.64))/0.8)/1000</f>
        <v>#REF!</v>
      </c>
      <c r="BE61" s="17" t="e">
        <f>-53.07 + (304.89 * (BD61)) + (90.79 *Crescimento!#REF!) - (3.13 * Crescimento!#REF!*Crescimento!#REF!)</f>
        <v>#REF!</v>
      </c>
      <c r="BG61" s="16" t="e">
        <f>(BH60+(Crescimento!#REF!-(BH60*0.64))/0.8)/1000</f>
        <v>#REF!</v>
      </c>
      <c r="BH61" s="17" t="e">
        <f>-53.07 + (304.89 * (BG61)) + (90.79 *Crescimento!#REF!) - (3.13 * Crescimento!#REF!*Crescimento!#REF!)</f>
        <v>#REF!</v>
      </c>
      <c r="BJ61" s="16" t="e">
        <f>(BK60+(Crescimento!#REF!-(BK60*0.64))/0.8)/1000</f>
        <v>#REF!</v>
      </c>
      <c r="BK61" s="17" t="e">
        <f>-53.07 + (304.89 * (BJ61)) + (90.79 *Crescimento!#REF!) - (3.13 * Crescimento!#REF!*Crescimento!#REF!)</f>
        <v>#REF!</v>
      </c>
      <c r="BM61" s="16" t="e">
        <f>(BN60+(Crescimento!#REF!-(BN60*0.64))/0.8)/1000</f>
        <v>#REF!</v>
      </c>
      <c r="BN61" s="17" t="e">
        <f>-53.07 + (304.89 * (BM61)) + (90.79 *Crescimento!#REF!) - (3.13 * Crescimento!#REF!*Crescimento!#REF!)</f>
        <v>#REF!</v>
      </c>
      <c r="BP61" s="16" t="e">
        <f>(BQ60+(Crescimento!#REF!-(BQ60*0.64))/0.8)/1000</f>
        <v>#REF!</v>
      </c>
      <c r="BQ61" s="17" t="e">
        <f>-53.07 + (304.89 * (BP61)) + (90.79 *Crescimento!#REF!) - (3.13 * Crescimento!#REF!*Crescimento!#REF!)</f>
        <v>#REF!</v>
      </c>
      <c r="BS61" s="16" t="e">
        <f>(BT60+(Crescimento!#REF!-(BT60*0.64))/0.8)/1000</f>
        <v>#REF!</v>
      </c>
      <c r="BT61" s="17" t="e">
        <f>-53.07 + (304.89 * (BS61)) + (90.79 *Crescimento!#REF!) - (3.13 * Crescimento!#REF!*Crescimento!#REF!)</f>
        <v>#REF!</v>
      </c>
      <c r="BV61" s="16" t="e">
        <f>(BW60+(Crescimento!#REF!-(BW60*0.64))/0.8)/1000</f>
        <v>#REF!</v>
      </c>
      <c r="BW61" s="17" t="e">
        <f>-53.07 + (304.89 * (BV61)) + (90.79 *Crescimento!#REF!) - (3.13 * Crescimento!#REF!*Crescimento!#REF!)</f>
        <v>#REF!</v>
      </c>
      <c r="BY61" s="16" t="e">
        <f>(BZ60+(Crescimento!#REF!-(BZ60*0.64))/0.8)/1000</f>
        <v>#REF!</v>
      </c>
      <c r="BZ61" s="17" t="e">
        <f>-53.07 + (304.89 * (BY61)) + (90.79 *Crescimento!#REF!) - (3.13 * Crescimento!#REF!*Crescimento!#REF!)</f>
        <v>#REF!</v>
      </c>
      <c r="CB61" s="16" t="e">
        <f>(CC60+(Crescimento!#REF!-(CC60*0.64))/0.8)/1000</f>
        <v>#REF!</v>
      </c>
      <c r="CC61" s="17" t="e">
        <f>-53.07 + (304.89 * (CB61)) + (90.79 *Crescimento!#REF!) - (3.13 * Crescimento!#REF!*Crescimento!#REF!)</f>
        <v>#REF!</v>
      </c>
      <c r="CE61" s="16" t="e">
        <f>(CF60+(Crescimento!#REF!-(CF60*0.64))/0.8)/1000</f>
        <v>#REF!</v>
      </c>
      <c r="CF61" s="17" t="e">
        <f>-53.07 + (304.89 * (CE61)) + (90.79 *Crescimento!#REF!) - (3.13 * Crescimento!#REF!*Crescimento!#REF!)</f>
        <v>#REF!</v>
      </c>
      <c r="CH61" s="16" t="e">
        <f>(CI60+(Crescimento!#REF!-(CI60*0.64))/0.8)/1000</f>
        <v>#REF!</v>
      </c>
      <c r="CI61" s="17" t="e">
        <f>-53.07 + (304.89 * (CH61)) + (90.79 *Crescimento!#REF!) - (3.13 * Crescimento!#REF!*Crescimento!#REF!)</f>
        <v>#REF!</v>
      </c>
      <c r="CK61" s="16" t="e">
        <f>(CL60+(Crescimento!#REF!-(CL60*0.64))/0.8)/1000</f>
        <v>#REF!</v>
      </c>
      <c r="CL61" s="17" t="e">
        <f>-53.07 + (304.89 * (CK61)) + (90.79 *Crescimento!#REF!) - (3.13 * Crescimento!#REF!*Crescimento!#REF!)</f>
        <v>#REF!</v>
      </c>
    </row>
    <row r="62" spans="2:90" x14ac:dyDescent="0.25">
      <c r="B62" s="16">
        <f>(C61+('Vacas e Bezerros'!$O$29-(C61*0.64))/0.8)/1000</f>
        <v>1.1219974776113528</v>
      </c>
      <c r="C62" s="17">
        <f>-53.07 + (304.89 * (B62)) + (90.79 *'Vacas e Bezerros'!$O$23) - (3.13 * 'Vacas e Bezerros'!$O$23*'Vacas e Bezerros'!$O$23)</f>
        <v>715.77733851110622</v>
      </c>
      <c r="E62" s="16" t="e">
        <f>(F61+(Crescimento!#REF!-(F61*0.64))/0.8)/1000</f>
        <v>#REF!</v>
      </c>
      <c r="F62" s="17" t="e">
        <f>-53.07 + (304.89 * (E62)) + (90.79 *Crescimento!#REF!) - (3.13 * Crescimento!#REF!*Crescimento!#REF!)</f>
        <v>#REF!</v>
      </c>
      <c r="G62" s="1"/>
      <c r="H62" s="16" t="e">
        <f>(I61+(Crescimento!#REF!-(I61*0.64))/0.8)/1000</f>
        <v>#REF!</v>
      </c>
      <c r="I62" s="17" t="e">
        <f>-53.07 + (304.89 * (H62)) + (90.79 *Crescimento!#REF!) - (3.13 * Crescimento!#REF!*Crescimento!#REF!)</f>
        <v>#REF!</v>
      </c>
      <c r="K62" s="16" t="e">
        <f>(L61+(Crescimento!#REF!-(L61*0.64))/0.8)/1000</f>
        <v>#REF!</v>
      </c>
      <c r="L62" s="17" t="e">
        <f>-53.07 + (304.89 * (K62)) + (90.79 *Crescimento!#REF!) - (3.13 * Crescimento!#REF!*Crescimento!#REF!)</f>
        <v>#REF!</v>
      </c>
      <c r="N62" s="16" t="e">
        <f>(O61+(Crescimento!#REF!-(O61*0.64))/0.8)/1000</f>
        <v>#REF!</v>
      </c>
      <c r="O62" s="17" t="e">
        <f>-53.07 + (304.89 * (N62)) + (90.79 *Crescimento!#REF!) - (3.13 * Crescimento!#REF!*Crescimento!#REF!)</f>
        <v>#REF!</v>
      </c>
      <c r="Q62" s="16" t="e">
        <f>(R61+(Crescimento!#REF!-(R61*0.64))/0.8)/1000</f>
        <v>#REF!</v>
      </c>
      <c r="R62" s="17" t="e">
        <f>-53.07 + (304.89 * (Q62)) + (90.79 *Crescimento!#REF!) - (3.13 * Crescimento!#REF!*Crescimento!#REF!)</f>
        <v>#REF!</v>
      </c>
      <c r="T62" s="16" t="e">
        <f>(U61+(Crescimento!#REF!-(U61*0.64))/0.8)/1000</f>
        <v>#REF!</v>
      </c>
      <c r="U62" s="17" t="e">
        <f>-53.07 + (304.89 * (T62)) + (90.79 *Crescimento!#REF!) - (3.13 * Crescimento!#REF!*Crescimento!#REF!)</f>
        <v>#REF!</v>
      </c>
      <c r="W62" s="16" t="e">
        <f>(X61+(Crescimento!#REF!-(X61*0.64))/0.8)/1000</f>
        <v>#REF!</v>
      </c>
      <c r="X62" s="17" t="e">
        <f>-53.07 + (304.89 * (W62)) + (90.79 *Crescimento!#REF!) - (3.13 * Crescimento!#REF!*Crescimento!#REF!)</f>
        <v>#REF!</v>
      </c>
      <c r="Y62" s="6"/>
      <c r="Z62" s="16" t="e">
        <f>(AA61+(Crescimento!#REF!-(AA61*0.64))/0.8)/1000</f>
        <v>#REF!</v>
      </c>
      <c r="AA62" s="17" t="e">
        <f>-53.07 + (304.89 * (Z62)) + (90.79 *Crescimento!#REF!) - (3.13 * Crescimento!#REF!*Crescimento!#REF!)</f>
        <v>#REF!</v>
      </c>
      <c r="AB62" s="6"/>
      <c r="AC62" s="16" t="e">
        <f>(AD61+(Crescimento!#REF!-(AD61*0.64))/0.8)/1000</f>
        <v>#REF!</v>
      </c>
      <c r="AD62" s="17" t="e">
        <f>-53.07 + (304.89 * (AC62)) + (90.79 *Crescimento!#REF!) - (3.13 * Crescimento!#REF!*Crescimento!#REF!)</f>
        <v>#REF!</v>
      </c>
      <c r="AE62" s="17"/>
      <c r="AF62" s="16" t="e">
        <f>(AG61+(Crescimento!#REF!-(AG61*0.64))/0.8)/1000</f>
        <v>#REF!</v>
      </c>
      <c r="AG62" s="17" t="e">
        <f>-53.07 + (304.89 * (AF62)) + (90.79 *Crescimento!#REF!) - (3.13 * Crescimento!#REF!*Crescimento!#REF!)</f>
        <v>#REF!</v>
      </c>
      <c r="AI62" s="16" t="e">
        <f>(AJ61+(Crescimento!#REF!-(AJ61*0.64))/0.8)/1000</f>
        <v>#REF!</v>
      </c>
      <c r="AJ62" s="17" t="e">
        <f>-53.07 + (304.89 * (AI62)) + (90.79 *Crescimento!#REF!) - (3.13 * Crescimento!#REF!*Crescimento!#REF!)</f>
        <v>#REF!</v>
      </c>
      <c r="AL62" s="16" t="e">
        <f>(AM61+(Crescimento!#REF!-(AM61*0.64))/0.8)/1000</f>
        <v>#REF!</v>
      </c>
      <c r="AM62" s="17" t="e">
        <f>-53.07 + (304.89 * (AL62)) + (90.79 *Crescimento!#REF!) - (3.13 * Crescimento!#REF!*Crescimento!#REF!)</f>
        <v>#REF!</v>
      </c>
      <c r="AO62" s="16" t="e">
        <f>(AP61+(Crescimento!#REF!-(AP61*0.64))/0.8)/1000</f>
        <v>#REF!</v>
      </c>
      <c r="AP62" s="17" t="e">
        <f>-53.07 + (304.89 * (AO62)) + (90.79 *Crescimento!#REF!) - (3.13 * Crescimento!#REF!*Crescimento!#REF!)</f>
        <v>#REF!</v>
      </c>
      <c r="AR62" s="16" t="e">
        <f>(AS61+(Crescimento!#REF!-(AS61*0.64))/0.8)/1000</f>
        <v>#REF!</v>
      </c>
      <c r="AS62" s="17" t="e">
        <f>-53.07 + (304.89 * (AR62)) + (90.79 *Crescimento!#REF!) - (3.13 * Crescimento!#REF!*Crescimento!#REF!)</f>
        <v>#REF!</v>
      </c>
      <c r="AU62" s="16" t="e">
        <f>(AV61+(Crescimento!#REF!-(AV61*0.64))/0.8)/1000</f>
        <v>#REF!</v>
      </c>
      <c r="AV62" s="17" t="e">
        <f>-53.07 + (304.89 * (AU62)) + (90.79 *Crescimento!#REF!) - (3.13 * Crescimento!#REF!*Crescimento!#REF!)</f>
        <v>#REF!</v>
      </c>
      <c r="AX62" s="16" t="e">
        <f>(AY61+(Crescimento!#REF!-(AY61*0.64))/0.8)/1000</f>
        <v>#REF!</v>
      </c>
      <c r="AY62" s="17" t="e">
        <f>-53.07 + (304.89 * (AX62)) + (90.79 *Crescimento!#REF!) - (3.13 * Crescimento!#REF!*Crescimento!#REF!)</f>
        <v>#REF!</v>
      </c>
      <c r="BA62" s="16" t="e">
        <f>(BB61+(Crescimento!#REF!-(BB61*0.64))/0.8)/1000</f>
        <v>#REF!</v>
      </c>
      <c r="BB62" s="17" t="e">
        <f>-53.07 + (304.89 * (BA62)) + (90.79 *Crescimento!#REF!) - (3.13 * Crescimento!#REF!*Crescimento!#REF!)</f>
        <v>#REF!</v>
      </c>
      <c r="BD62" s="16" t="e">
        <f>(BE61+(Crescimento!#REF!-(BE61*0.64))/0.8)/1000</f>
        <v>#REF!</v>
      </c>
      <c r="BE62" s="17" t="e">
        <f>-53.07 + (304.89 * (BD62)) + (90.79 *Crescimento!#REF!) - (3.13 * Crescimento!#REF!*Crescimento!#REF!)</f>
        <v>#REF!</v>
      </c>
      <c r="BG62" s="16" t="e">
        <f>(BH61+(Crescimento!#REF!-(BH61*0.64))/0.8)/1000</f>
        <v>#REF!</v>
      </c>
      <c r="BH62" s="17" t="e">
        <f>-53.07 + (304.89 * (BG62)) + (90.79 *Crescimento!#REF!) - (3.13 * Crescimento!#REF!*Crescimento!#REF!)</f>
        <v>#REF!</v>
      </c>
      <c r="BJ62" s="16" t="e">
        <f>(BK61+(Crescimento!#REF!-(BK61*0.64))/0.8)/1000</f>
        <v>#REF!</v>
      </c>
      <c r="BK62" s="17" t="e">
        <f>-53.07 + (304.89 * (BJ62)) + (90.79 *Crescimento!#REF!) - (3.13 * Crescimento!#REF!*Crescimento!#REF!)</f>
        <v>#REF!</v>
      </c>
      <c r="BM62" s="16" t="e">
        <f>(BN61+(Crescimento!#REF!-(BN61*0.64))/0.8)/1000</f>
        <v>#REF!</v>
      </c>
      <c r="BN62" s="17" t="e">
        <f>-53.07 + (304.89 * (BM62)) + (90.79 *Crescimento!#REF!) - (3.13 * Crescimento!#REF!*Crescimento!#REF!)</f>
        <v>#REF!</v>
      </c>
      <c r="BP62" s="16" t="e">
        <f>(BQ61+(Crescimento!#REF!-(BQ61*0.64))/0.8)/1000</f>
        <v>#REF!</v>
      </c>
      <c r="BQ62" s="17" t="e">
        <f>-53.07 + (304.89 * (BP62)) + (90.79 *Crescimento!#REF!) - (3.13 * Crescimento!#REF!*Crescimento!#REF!)</f>
        <v>#REF!</v>
      </c>
      <c r="BS62" s="16" t="e">
        <f>(BT61+(Crescimento!#REF!-(BT61*0.64))/0.8)/1000</f>
        <v>#REF!</v>
      </c>
      <c r="BT62" s="17" t="e">
        <f>-53.07 + (304.89 * (BS62)) + (90.79 *Crescimento!#REF!) - (3.13 * Crescimento!#REF!*Crescimento!#REF!)</f>
        <v>#REF!</v>
      </c>
      <c r="BV62" s="16" t="e">
        <f>(BW61+(Crescimento!#REF!-(BW61*0.64))/0.8)/1000</f>
        <v>#REF!</v>
      </c>
      <c r="BW62" s="17" t="e">
        <f>-53.07 + (304.89 * (BV62)) + (90.79 *Crescimento!#REF!) - (3.13 * Crescimento!#REF!*Crescimento!#REF!)</f>
        <v>#REF!</v>
      </c>
      <c r="BY62" s="16" t="e">
        <f>(BZ61+(Crescimento!#REF!-(BZ61*0.64))/0.8)/1000</f>
        <v>#REF!</v>
      </c>
      <c r="BZ62" s="17" t="e">
        <f>-53.07 + (304.89 * (BY62)) + (90.79 *Crescimento!#REF!) - (3.13 * Crescimento!#REF!*Crescimento!#REF!)</f>
        <v>#REF!</v>
      </c>
      <c r="CB62" s="16" t="e">
        <f>(CC61+(Crescimento!#REF!-(CC61*0.64))/0.8)/1000</f>
        <v>#REF!</v>
      </c>
      <c r="CC62" s="17" t="e">
        <f>-53.07 + (304.89 * (CB62)) + (90.79 *Crescimento!#REF!) - (3.13 * Crescimento!#REF!*Crescimento!#REF!)</f>
        <v>#REF!</v>
      </c>
      <c r="CE62" s="16" t="e">
        <f>(CF61+(Crescimento!#REF!-(CF61*0.64))/0.8)/1000</f>
        <v>#REF!</v>
      </c>
      <c r="CF62" s="17" t="e">
        <f>-53.07 + (304.89 * (CE62)) + (90.79 *Crescimento!#REF!) - (3.13 * Crescimento!#REF!*Crescimento!#REF!)</f>
        <v>#REF!</v>
      </c>
      <c r="CH62" s="16" t="e">
        <f>(CI61+(Crescimento!#REF!-(CI61*0.64))/0.8)/1000</f>
        <v>#REF!</v>
      </c>
      <c r="CI62" s="17" t="e">
        <f>-53.07 + (304.89 * (CH62)) + (90.79 *Crescimento!#REF!) - (3.13 * Crescimento!#REF!*Crescimento!#REF!)</f>
        <v>#REF!</v>
      </c>
      <c r="CK62" s="16" t="e">
        <f>(CL61+(Crescimento!#REF!-(CL61*0.64))/0.8)/1000</f>
        <v>#REF!</v>
      </c>
      <c r="CL62" s="17" t="e">
        <f>-53.07 + (304.89 * (CK62)) + (90.79 *Crescimento!#REF!) - (3.13 * Crescimento!#REF!*Crescimento!#REF!)</f>
        <v>#REF!</v>
      </c>
    </row>
    <row r="63" spans="2:90" x14ac:dyDescent="0.25">
      <c r="B63" s="16">
        <f>(C62+('Vacas e Bezerros'!$O$29-(C62*0.64))/0.8)/1000</f>
        <v>1.1219974776113528</v>
      </c>
      <c r="C63" s="17">
        <f>-53.07 + (304.89 * (B63)) + (90.79 *'Vacas e Bezerros'!$O$23) - (3.13 * 'Vacas e Bezerros'!$O$23*'Vacas e Bezerros'!$O$23)</f>
        <v>715.77733851110622</v>
      </c>
      <c r="E63" s="16" t="e">
        <f>(F62+(Crescimento!#REF!-(F62*0.64))/0.8)/1000</f>
        <v>#REF!</v>
      </c>
      <c r="F63" s="17" t="e">
        <f>-53.07 + (304.89 * (E63)) + (90.79 *Crescimento!#REF!) - (3.13 * Crescimento!#REF!*Crescimento!#REF!)</f>
        <v>#REF!</v>
      </c>
      <c r="G63" s="1"/>
      <c r="H63" s="16" t="e">
        <f>(I62+(Crescimento!#REF!-(I62*0.64))/0.8)/1000</f>
        <v>#REF!</v>
      </c>
      <c r="I63" s="17" t="e">
        <f>-53.07 + (304.89 * (H63)) + (90.79 *Crescimento!#REF!) - (3.13 * Crescimento!#REF!*Crescimento!#REF!)</f>
        <v>#REF!</v>
      </c>
      <c r="K63" s="16" t="e">
        <f>(L62+(Crescimento!#REF!-(L62*0.64))/0.8)/1000</f>
        <v>#REF!</v>
      </c>
      <c r="L63" s="17" t="e">
        <f>-53.07 + (304.89 * (K63)) + (90.79 *Crescimento!#REF!) - (3.13 * Crescimento!#REF!*Crescimento!#REF!)</f>
        <v>#REF!</v>
      </c>
      <c r="N63" s="16" t="e">
        <f>(O62+(Crescimento!#REF!-(O62*0.64))/0.8)/1000</f>
        <v>#REF!</v>
      </c>
      <c r="O63" s="17" t="e">
        <f>-53.07 + (304.89 * (N63)) + (90.79 *Crescimento!#REF!) - (3.13 * Crescimento!#REF!*Crescimento!#REF!)</f>
        <v>#REF!</v>
      </c>
      <c r="Q63" s="16" t="e">
        <f>(R62+(Crescimento!#REF!-(R62*0.64))/0.8)/1000</f>
        <v>#REF!</v>
      </c>
      <c r="R63" s="17" t="e">
        <f>-53.07 + (304.89 * (Q63)) + (90.79 *Crescimento!#REF!) - (3.13 * Crescimento!#REF!*Crescimento!#REF!)</f>
        <v>#REF!</v>
      </c>
      <c r="T63" s="16" t="e">
        <f>(U62+(Crescimento!#REF!-(U62*0.64))/0.8)/1000</f>
        <v>#REF!</v>
      </c>
      <c r="U63" s="17" t="e">
        <f>-53.07 + (304.89 * (T63)) + (90.79 *Crescimento!#REF!) - (3.13 * Crescimento!#REF!*Crescimento!#REF!)</f>
        <v>#REF!</v>
      </c>
      <c r="W63" s="16" t="e">
        <f>(X62+(Crescimento!#REF!-(X62*0.64))/0.8)/1000</f>
        <v>#REF!</v>
      </c>
      <c r="X63" s="17" t="e">
        <f>-53.07 + (304.89 * (W63)) + (90.79 *Crescimento!#REF!) - (3.13 * Crescimento!#REF!*Crescimento!#REF!)</f>
        <v>#REF!</v>
      </c>
      <c r="Y63" s="6"/>
      <c r="Z63" s="16" t="e">
        <f>(AA62+(Crescimento!#REF!-(AA62*0.64))/0.8)/1000</f>
        <v>#REF!</v>
      </c>
      <c r="AA63" s="17" t="e">
        <f>-53.07 + (304.89 * (Z63)) + (90.79 *Crescimento!#REF!) - (3.13 * Crescimento!#REF!*Crescimento!#REF!)</f>
        <v>#REF!</v>
      </c>
      <c r="AB63" s="6"/>
      <c r="AC63" s="16" t="e">
        <f>(AD62+(Crescimento!#REF!-(AD62*0.64))/0.8)/1000</f>
        <v>#REF!</v>
      </c>
      <c r="AD63" s="17" t="e">
        <f>-53.07 + (304.89 * (AC63)) + (90.79 *Crescimento!#REF!) - (3.13 * Crescimento!#REF!*Crescimento!#REF!)</f>
        <v>#REF!</v>
      </c>
      <c r="AE63" s="17"/>
      <c r="AF63" s="16" t="e">
        <f>(AG62+(Crescimento!#REF!-(AG62*0.64))/0.8)/1000</f>
        <v>#REF!</v>
      </c>
      <c r="AG63" s="17" t="e">
        <f>-53.07 + (304.89 * (AF63)) + (90.79 *Crescimento!#REF!) - (3.13 * Crescimento!#REF!*Crescimento!#REF!)</f>
        <v>#REF!</v>
      </c>
      <c r="AI63" s="16" t="e">
        <f>(AJ62+(Crescimento!#REF!-(AJ62*0.64))/0.8)/1000</f>
        <v>#REF!</v>
      </c>
      <c r="AJ63" s="17" t="e">
        <f>-53.07 + (304.89 * (AI63)) + (90.79 *Crescimento!#REF!) - (3.13 * Crescimento!#REF!*Crescimento!#REF!)</f>
        <v>#REF!</v>
      </c>
      <c r="AL63" s="16" t="e">
        <f>(AM62+(Crescimento!#REF!-(AM62*0.64))/0.8)/1000</f>
        <v>#REF!</v>
      </c>
      <c r="AM63" s="17" t="e">
        <f>-53.07 + (304.89 * (AL63)) + (90.79 *Crescimento!#REF!) - (3.13 * Crescimento!#REF!*Crescimento!#REF!)</f>
        <v>#REF!</v>
      </c>
      <c r="AO63" s="16" t="e">
        <f>(AP62+(Crescimento!#REF!-(AP62*0.64))/0.8)/1000</f>
        <v>#REF!</v>
      </c>
      <c r="AP63" s="17" t="e">
        <f>-53.07 + (304.89 * (AO63)) + (90.79 *Crescimento!#REF!) - (3.13 * Crescimento!#REF!*Crescimento!#REF!)</f>
        <v>#REF!</v>
      </c>
      <c r="AR63" s="16" t="e">
        <f>(AS62+(Crescimento!#REF!-(AS62*0.64))/0.8)/1000</f>
        <v>#REF!</v>
      </c>
      <c r="AS63" s="17" t="e">
        <f>-53.07 + (304.89 * (AR63)) + (90.79 *Crescimento!#REF!) - (3.13 * Crescimento!#REF!*Crescimento!#REF!)</f>
        <v>#REF!</v>
      </c>
      <c r="AU63" s="16" t="e">
        <f>(AV62+(Crescimento!#REF!-(AV62*0.64))/0.8)/1000</f>
        <v>#REF!</v>
      </c>
      <c r="AV63" s="17" t="e">
        <f>-53.07 + (304.89 * (AU63)) + (90.79 *Crescimento!#REF!) - (3.13 * Crescimento!#REF!*Crescimento!#REF!)</f>
        <v>#REF!</v>
      </c>
      <c r="AX63" s="16" t="e">
        <f>(AY62+(Crescimento!#REF!-(AY62*0.64))/0.8)/1000</f>
        <v>#REF!</v>
      </c>
      <c r="AY63" s="17" t="e">
        <f>-53.07 + (304.89 * (AX63)) + (90.79 *Crescimento!#REF!) - (3.13 * Crescimento!#REF!*Crescimento!#REF!)</f>
        <v>#REF!</v>
      </c>
      <c r="BA63" s="16" t="e">
        <f>(BB62+(Crescimento!#REF!-(BB62*0.64))/0.8)/1000</f>
        <v>#REF!</v>
      </c>
      <c r="BB63" s="17" t="e">
        <f>-53.07 + (304.89 * (BA63)) + (90.79 *Crescimento!#REF!) - (3.13 * Crescimento!#REF!*Crescimento!#REF!)</f>
        <v>#REF!</v>
      </c>
      <c r="BD63" s="16" t="e">
        <f>(BE62+(Crescimento!#REF!-(BE62*0.64))/0.8)/1000</f>
        <v>#REF!</v>
      </c>
      <c r="BE63" s="17" t="e">
        <f>-53.07 + (304.89 * (BD63)) + (90.79 *Crescimento!#REF!) - (3.13 * Crescimento!#REF!*Crescimento!#REF!)</f>
        <v>#REF!</v>
      </c>
      <c r="BG63" s="16" t="e">
        <f>(BH62+(Crescimento!#REF!-(BH62*0.64))/0.8)/1000</f>
        <v>#REF!</v>
      </c>
      <c r="BH63" s="17" t="e">
        <f>-53.07 + (304.89 * (BG63)) + (90.79 *Crescimento!#REF!) - (3.13 * Crescimento!#REF!*Crescimento!#REF!)</f>
        <v>#REF!</v>
      </c>
      <c r="BJ63" s="16" t="e">
        <f>(BK62+(Crescimento!#REF!-(BK62*0.64))/0.8)/1000</f>
        <v>#REF!</v>
      </c>
      <c r="BK63" s="17" t="e">
        <f>-53.07 + (304.89 * (BJ63)) + (90.79 *Crescimento!#REF!) - (3.13 * Crescimento!#REF!*Crescimento!#REF!)</f>
        <v>#REF!</v>
      </c>
      <c r="BM63" s="16" t="e">
        <f>(BN62+(Crescimento!#REF!-(BN62*0.64))/0.8)/1000</f>
        <v>#REF!</v>
      </c>
      <c r="BN63" s="17" t="e">
        <f>-53.07 + (304.89 * (BM63)) + (90.79 *Crescimento!#REF!) - (3.13 * Crescimento!#REF!*Crescimento!#REF!)</f>
        <v>#REF!</v>
      </c>
      <c r="BP63" s="16" t="e">
        <f>(BQ62+(Crescimento!#REF!-(BQ62*0.64))/0.8)/1000</f>
        <v>#REF!</v>
      </c>
      <c r="BQ63" s="17" t="e">
        <f>-53.07 + (304.89 * (BP63)) + (90.79 *Crescimento!#REF!) - (3.13 * Crescimento!#REF!*Crescimento!#REF!)</f>
        <v>#REF!</v>
      </c>
      <c r="BS63" s="16" t="e">
        <f>(BT62+(Crescimento!#REF!-(BT62*0.64))/0.8)/1000</f>
        <v>#REF!</v>
      </c>
      <c r="BT63" s="17" t="e">
        <f>-53.07 + (304.89 * (BS63)) + (90.79 *Crescimento!#REF!) - (3.13 * Crescimento!#REF!*Crescimento!#REF!)</f>
        <v>#REF!</v>
      </c>
      <c r="BV63" s="16" t="e">
        <f>(BW62+(Crescimento!#REF!-(BW62*0.64))/0.8)/1000</f>
        <v>#REF!</v>
      </c>
      <c r="BW63" s="17" t="e">
        <f>-53.07 + (304.89 * (BV63)) + (90.79 *Crescimento!#REF!) - (3.13 * Crescimento!#REF!*Crescimento!#REF!)</f>
        <v>#REF!</v>
      </c>
      <c r="BY63" s="16" t="e">
        <f>(BZ62+(Crescimento!#REF!-(BZ62*0.64))/0.8)/1000</f>
        <v>#REF!</v>
      </c>
      <c r="BZ63" s="17" t="e">
        <f>-53.07 + (304.89 * (BY63)) + (90.79 *Crescimento!#REF!) - (3.13 * Crescimento!#REF!*Crescimento!#REF!)</f>
        <v>#REF!</v>
      </c>
      <c r="CB63" s="16" t="e">
        <f>(CC62+(Crescimento!#REF!-(CC62*0.64))/0.8)/1000</f>
        <v>#REF!</v>
      </c>
      <c r="CC63" s="17" t="e">
        <f>-53.07 + (304.89 * (CB63)) + (90.79 *Crescimento!#REF!) - (3.13 * Crescimento!#REF!*Crescimento!#REF!)</f>
        <v>#REF!</v>
      </c>
      <c r="CE63" s="16" t="e">
        <f>(CF62+(Crescimento!#REF!-(CF62*0.64))/0.8)/1000</f>
        <v>#REF!</v>
      </c>
      <c r="CF63" s="17" t="e">
        <f>-53.07 + (304.89 * (CE63)) + (90.79 *Crescimento!#REF!) - (3.13 * Crescimento!#REF!*Crescimento!#REF!)</f>
        <v>#REF!</v>
      </c>
      <c r="CH63" s="16" t="e">
        <f>(CI62+(Crescimento!#REF!-(CI62*0.64))/0.8)/1000</f>
        <v>#REF!</v>
      </c>
      <c r="CI63" s="17" t="e">
        <f>-53.07 + (304.89 * (CH63)) + (90.79 *Crescimento!#REF!) - (3.13 * Crescimento!#REF!*Crescimento!#REF!)</f>
        <v>#REF!</v>
      </c>
      <c r="CK63" s="16" t="e">
        <f>(CL62+(Crescimento!#REF!-(CL62*0.64))/0.8)/1000</f>
        <v>#REF!</v>
      </c>
      <c r="CL63" s="17" t="e">
        <f>-53.07 + (304.89 * (CK63)) + (90.79 *Crescimento!#REF!) - (3.13 * Crescimento!#REF!*Crescimento!#REF!)</f>
        <v>#REF!</v>
      </c>
    </row>
    <row r="64" spans="2:90" x14ac:dyDescent="0.25">
      <c r="B64" s="16">
        <f>(C63+('Vacas e Bezerros'!$O$29-(C63*0.64))/0.8)/1000</f>
        <v>1.1219974776113528</v>
      </c>
      <c r="C64" s="17">
        <f>-53.07 + (304.89 * (B64)) + (90.79 *'Vacas e Bezerros'!$O$23) - (3.13 * 'Vacas e Bezerros'!$O$23*'Vacas e Bezerros'!$O$23)</f>
        <v>715.77733851110622</v>
      </c>
      <c r="E64" s="16" t="e">
        <f>(F63+(Crescimento!#REF!-(F63*0.64))/0.8)/1000</f>
        <v>#REF!</v>
      </c>
      <c r="F64" s="17" t="e">
        <f>-53.07 + (304.89 * (E64)) + (90.79 *Crescimento!#REF!) - (3.13 * Crescimento!#REF!*Crescimento!#REF!)</f>
        <v>#REF!</v>
      </c>
      <c r="G64" s="1"/>
      <c r="H64" s="16" t="e">
        <f>(I63+(Crescimento!#REF!-(I63*0.64))/0.8)/1000</f>
        <v>#REF!</v>
      </c>
      <c r="I64" s="17" t="e">
        <f>-53.07 + (304.89 * (H64)) + (90.79 *Crescimento!#REF!) - (3.13 * Crescimento!#REF!*Crescimento!#REF!)</f>
        <v>#REF!</v>
      </c>
      <c r="K64" s="16" t="e">
        <f>(L63+(Crescimento!#REF!-(L63*0.64))/0.8)/1000</f>
        <v>#REF!</v>
      </c>
      <c r="L64" s="17" t="e">
        <f>-53.07 + (304.89 * (K64)) + (90.79 *Crescimento!#REF!) - (3.13 * Crescimento!#REF!*Crescimento!#REF!)</f>
        <v>#REF!</v>
      </c>
      <c r="N64" s="16" t="e">
        <f>(O63+(Crescimento!#REF!-(O63*0.64))/0.8)/1000</f>
        <v>#REF!</v>
      </c>
      <c r="O64" s="17" t="e">
        <f>-53.07 + (304.89 * (N64)) + (90.79 *Crescimento!#REF!) - (3.13 * Crescimento!#REF!*Crescimento!#REF!)</f>
        <v>#REF!</v>
      </c>
      <c r="Q64" s="16" t="e">
        <f>(R63+(Crescimento!#REF!-(R63*0.64))/0.8)/1000</f>
        <v>#REF!</v>
      </c>
      <c r="R64" s="17" t="e">
        <f>-53.07 + (304.89 * (Q64)) + (90.79 *Crescimento!#REF!) - (3.13 * Crescimento!#REF!*Crescimento!#REF!)</f>
        <v>#REF!</v>
      </c>
      <c r="T64" s="16" t="e">
        <f>(U63+(Crescimento!#REF!-(U63*0.64))/0.8)/1000</f>
        <v>#REF!</v>
      </c>
      <c r="U64" s="17" t="e">
        <f>-53.07 + (304.89 * (T64)) + (90.79 *Crescimento!#REF!) - (3.13 * Crescimento!#REF!*Crescimento!#REF!)</f>
        <v>#REF!</v>
      </c>
      <c r="W64" s="16" t="e">
        <f>(X63+(Crescimento!#REF!-(X63*0.64))/0.8)/1000</f>
        <v>#REF!</v>
      </c>
      <c r="X64" s="17" t="e">
        <f>-53.07 + (304.89 * (W64)) + (90.79 *Crescimento!#REF!) - (3.13 * Crescimento!#REF!*Crescimento!#REF!)</f>
        <v>#REF!</v>
      </c>
      <c r="Y64" s="6"/>
      <c r="Z64" s="16" t="e">
        <f>(AA63+(Crescimento!#REF!-(AA63*0.64))/0.8)/1000</f>
        <v>#REF!</v>
      </c>
      <c r="AA64" s="17" t="e">
        <f>-53.07 + (304.89 * (Z64)) + (90.79 *Crescimento!#REF!) - (3.13 * Crescimento!#REF!*Crescimento!#REF!)</f>
        <v>#REF!</v>
      </c>
      <c r="AB64" s="6"/>
      <c r="AC64" s="16" t="e">
        <f>(AD63+(Crescimento!#REF!-(AD63*0.64))/0.8)/1000</f>
        <v>#REF!</v>
      </c>
      <c r="AD64" s="17" t="e">
        <f>-53.07 + (304.89 * (AC64)) + (90.79 *Crescimento!#REF!) - (3.13 * Crescimento!#REF!*Crescimento!#REF!)</f>
        <v>#REF!</v>
      </c>
      <c r="AE64" s="17"/>
      <c r="AF64" s="16" t="e">
        <f>(AG63+(Crescimento!#REF!-(AG63*0.64))/0.8)/1000</f>
        <v>#REF!</v>
      </c>
      <c r="AG64" s="17" t="e">
        <f>-53.07 + (304.89 * (AF64)) + (90.79 *Crescimento!#REF!) - (3.13 * Crescimento!#REF!*Crescimento!#REF!)</f>
        <v>#REF!</v>
      </c>
      <c r="AI64" s="16" t="e">
        <f>(AJ63+(Crescimento!#REF!-(AJ63*0.64))/0.8)/1000</f>
        <v>#REF!</v>
      </c>
      <c r="AJ64" s="17" t="e">
        <f>-53.07 + (304.89 * (AI64)) + (90.79 *Crescimento!#REF!) - (3.13 * Crescimento!#REF!*Crescimento!#REF!)</f>
        <v>#REF!</v>
      </c>
      <c r="AL64" s="16" t="e">
        <f>(AM63+(Crescimento!#REF!-(AM63*0.64))/0.8)/1000</f>
        <v>#REF!</v>
      </c>
      <c r="AM64" s="17" t="e">
        <f>-53.07 + (304.89 * (AL64)) + (90.79 *Crescimento!#REF!) - (3.13 * Crescimento!#REF!*Crescimento!#REF!)</f>
        <v>#REF!</v>
      </c>
      <c r="AO64" s="16" t="e">
        <f>(AP63+(Crescimento!#REF!-(AP63*0.64))/0.8)/1000</f>
        <v>#REF!</v>
      </c>
      <c r="AP64" s="17" t="e">
        <f>-53.07 + (304.89 * (AO64)) + (90.79 *Crescimento!#REF!) - (3.13 * Crescimento!#REF!*Crescimento!#REF!)</f>
        <v>#REF!</v>
      </c>
      <c r="AR64" s="16" t="e">
        <f>(AS63+(Crescimento!#REF!-(AS63*0.64))/0.8)/1000</f>
        <v>#REF!</v>
      </c>
      <c r="AS64" s="17" t="e">
        <f>-53.07 + (304.89 * (AR64)) + (90.79 *Crescimento!#REF!) - (3.13 * Crescimento!#REF!*Crescimento!#REF!)</f>
        <v>#REF!</v>
      </c>
      <c r="AU64" s="16" t="e">
        <f>(AV63+(Crescimento!#REF!-(AV63*0.64))/0.8)/1000</f>
        <v>#REF!</v>
      </c>
      <c r="AV64" s="17" t="e">
        <f>-53.07 + (304.89 * (AU64)) + (90.79 *Crescimento!#REF!) - (3.13 * Crescimento!#REF!*Crescimento!#REF!)</f>
        <v>#REF!</v>
      </c>
      <c r="AX64" s="16" t="e">
        <f>(AY63+(Crescimento!#REF!-(AY63*0.64))/0.8)/1000</f>
        <v>#REF!</v>
      </c>
      <c r="AY64" s="17" t="e">
        <f>-53.07 + (304.89 * (AX64)) + (90.79 *Crescimento!#REF!) - (3.13 * Crescimento!#REF!*Crescimento!#REF!)</f>
        <v>#REF!</v>
      </c>
      <c r="BA64" s="16" t="e">
        <f>(BB63+(Crescimento!#REF!-(BB63*0.64))/0.8)/1000</f>
        <v>#REF!</v>
      </c>
      <c r="BB64" s="17" t="e">
        <f>-53.07 + (304.89 * (BA64)) + (90.79 *Crescimento!#REF!) - (3.13 * Crescimento!#REF!*Crescimento!#REF!)</f>
        <v>#REF!</v>
      </c>
      <c r="BD64" s="16" t="e">
        <f>(BE63+(Crescimento!#REF!-(BE63*0.64))/0.8)/1000</f>
        <v>#REF!</v>
      </c>
      <c r="BE64" s="17" t="e">
        <f>-53.07 + (304.89 * (BD64)) + (90.79 *Crescimento!#REF!) - (3.13 * Crescimento!#REF!*Crescimento!#REF!)</f>
        <v>#REF!</v>
      </c>
      <c r="BG64" s="16" t="e">
        <f>(BH63+(Crescimento!#REF!-(BH63*0.64))/0.8)/1000</f>
        <v>#REF!</v>
      </c>
      <c r="BH64" s="17" t="e">
        <f>-53.07 + (304.89 * (BG64)) + (90.79 *Crescimento!#REF!) - (3.13 * Crescimento!#REF!*Crescimento!#REF!)</f>
        <v>#REF!</v>
      </c>
      <c r="BJ64" s="16" t="e">
        <f>(BK63+(Crescimento!#REF!-(BK63*0.64))/0.8)/1000</f>
        <v>#REF!</v>
      </c>
      <c r="BK64" s="17" t="e">
        <f>-53.07 + (304.89 * (BJ64)) + (90.79 *Crescimento!#REF!) - (3.13 * Crescimento!#REF!*Crescimento!#REF!)</f>
        <v>#REF!</v>
      </c>
      <c r="BM64" s="16" t="e">
        <f>(BN63+(Crescimento!#REF!-(BN63*0.64))/0.8)/1000</f>
        <v>#REF!</v>
      </c>
      <c r="BN64" s="17" t="e">
        <f>-53.07 + (304.89 * (BM64)) + (90.79 *Crescimento!#REF!) - (3.13 * Crescimento!#REF!*Crescimento!#REF!)</f>
        <v>#REF!</v>
      </c>
      <c r="BP64" s="16" t="e">
        <f>(BQ63+(Crescimento!#REF!-(BQ63*0.64))/0.8)/1000</f>
        <v>#REF!</v>
      </c>
      <c r="BQ64" s="17" t="e">
        <f>-53.07 + (304.89 * (BP64)) + (90.79 *Crescimento!#REF!) - (3.13 * Crescimento!#REF!*Crescimento!#REF!)</f>
        <v>#REF!</v>
      </c>
      <c r="BS64" s="16" t="e">
        <f>(BT63+(Crescimento!#REF!-(BT63*0.64))/0.8)/1000</f>
        <v>#REF!</v>
      </c>
      <c r="BT64" s="17" t="e">
        <f>-53.07 + (304.89 * (BS64)) + (90.79 *Crescimento!#REF!) - (3.13 * Crescimento!#REF!*Crescimento!#REF!)</f>
        <v>#REF!</v>
      </c>
      <c r="BV64" s="16" t="e">
        <f>(BW63+(Crescimento!#REF!-(BW63*0.64))/0.8)/1000</f>
        <v>#REF!</v>
      </c>
      <c r="BW64" s="17" t="e">
        <f>-53.07 + (304.89 * (BV64)) + (90.79 *Crescimento!#REF!) - (3.13 * Crescimento!#REF!*Crescimento!#REF!)</f>
        <v>#REF!</v>
      </c>
      <c r="BY64" s="16" t="e">
        <f>(BZ63+(Crescimento!#REF!-(BZ63*0.64))/0.8)/1000</f>
        <v>#REF!</v>
      </c>
      <c r="BZ64" s="17" t="e">
        <f>-53.07 + (304.89 * (BY64)) + (90.79 *Crescimento!#REF!) - (3.13 * Crescimento!#REF!*Crescimento!#REF!)</f>
        <v>#REF!</v>
      </c>
      <c r="CB64" s="16" t="e">
        <f>(CC63+(Crescimento!#REF!-(CC63*0.64))/0.8)/1000</f>
        <v>#REF!</v>
      </c>
      <c r="CC64" s="17" t="e">
        <f>-53.07 + (304.89 * (CB64)) + (90.79 *Crescimento!#REF!) - (3.13 * Crescimento!#REF!*Crescimento!#REF!)</f>
        <v>#REF!</v>
      </c>
      <c r="CE64" s="16" t="e">
        <f>(CF63+(Crescimento!#REF!-(CF63*0.64))/0.8)/1000</f>
        <v>#REF!</v>
      </c>
      <c r="CF64" s="17" t="e">
        <f>-53.07 + (304.89 * (CE64)) + (90.79 *Crescimento!#REF!) - (3.13 * Crescimento!#REF!*Crescimento!#REF!)</f>
        <v>#REF!</v>
      </c>
      <c r="CH64" s="16" t="e">
        <f>(CI63+(Crescimento!#REF!-(CI63*0.64))/0.8)/1000</f>
        <v>#REF!</v>
      </c>
      <c r="CI64" s="17" t="e">
        <f>-53.07 + (304.89 * (CH64)) + (90.79 *Crescimento!#REF!) - (3.13 * Crescimento!#REF!*Crescimento!#REF!)</f>
        <v>#REF!</v>
      </c>
      <c r="CK64" s="16" t="e">
        <f>(CL63+(Crescimento!#REF!-(CL63*0.64))/0.8)/1000</f>
        <v>#REF!</v>
      </c>
      <c r="CL64" s="17" t="e">
        <f>-53.07 + (304.89 * (CK64)) + (90.79 *Crescimento!#REF!) - (3.13 * Crescimento!#REF!*Crescimento!#REF!)</f>
        <v>#REF!</v>
      </c>
    </row>
    <row r="65" spans="2:90" x14ac:dyDescent="0.25">
      <c r="B65" s="16">
        <f>(C64+('Vacas e Bezerros'!$O$29-(C64*0.64))/0.8)/1000</f>
        <v>1.1219974776113528</v>
      </c>
      <c r="C65" s="17">
        <f>-53.07 + (304.89 * (B65)) + (90.79 *'Vacas e Bezerros'!$O$23) - (3.13 * 'Vacas e Bezerros'!$O$23*'Vacas e Bezerros'!$O$23)</f>
        <v>715.77733851110622</v>
      </c>
      <c r="E65" s="16" t="e">
        <f>(F64+(Crescimento!#REF!-(F64*0.64))/0.8)/1000</f>
        <v>#REF!</v>
      </c>
      <c r="F65" s="17" t="e">
        <f>-53.07 + (304.89 * (E65)) + (90.79 *Crescimento!#REF!) - (3.13 * Crescimento!#REF!*Crescimento!#REF!)</f>
        <v>#REF!</v>
      </c>
      <c r="G65" s="1"/>
      <c r="H65" s="16" t="e">
        <f>(I64+(Crescimento!#REF!-(I64*0.64))/0.8)/1000</f>
        <v>#REF!</v>
      </c>
      <c r="I65" s="17" t="e">
        <f>-53.07 + (304.89 * (H65)) + (90.79 *Crescimento!#REF!) - (3.13 * Crescimento!#REF!*Crescimento!#REF!)</f>
        <v>#REF!</v>
      </c>
      <c r="K65" s="16" t="e">
        <f>(L64+(Crescimento!#REF!-(L64*0.64))/0.8)/1000</f>
        <v>#REF!</v>
      </c>
      <c r="L65" s="17" t="e">
        <f>-53.07 + (304.89 * (K65)) + (90.79 *Crescimento!#REF!) - (3.13 * Crescimento!#REF!*Crescimento!#REF!)</f>
        <v>#REF!</v>
      </c>
      <c r="N65" s="16" t="e">
        <f>(O64+(Crescimento!#REF!-(O64*0.64))/0.8)/1000</f>
        <v>#REF!</v>
      </c>
      <c r="O65" s="17" t="e">
        <f>-53.07 + (304.89 * (N65)) + (90.79 *Crescimento!#REF!) - (3.13 * Crescimento!#REF!*Crescimento!#REF!)</f>
        <v>#REF!</v>
      </c>
      <c r="Q65" s="16" t="e">
        <f>(R64+(Crescimento!#REF!-(R64*0.64))/0.8)/1000</f>
        <v>#REF!</v>
      </c>
      <c r="R65" s="17" t="e">
        <f>-53.07 + (304.89 * (Q65)) + (90.79 *Crescimento!#REF!) - (3.13 * Crescimento!#REF!*Crescimento!#REF!)</f>
        <v>#REF!</v>
      </c>
      <c r="T65" s="16" t="e">
        <f>(U64+(Crescimento!#REF!-(U64*0.64))/0.8)/1000</f>
        <v>#REF!</v>
      </c>
      <c r="U65" s="17" t="e">
        <f>-53.07 + (304.89 * (T65)) + (90.79 *Crescimento!#REF!) - (3.13 * Crescimento!#REF!*Crescimento!#REF!)</f>
        <v>#REF!</v>
      </c>
      <c r="W65" s="16" t="e">
        <f>(X64+(Crescimento!#REF!-(X64*0.64))/0.8)/1000</f>
        <v>#REF!</v>
      </c>
      <c r="X65" s="17" t="e">
        <f>-53.07 + (304.89 * (W65)) + (90.79 *Crescimento!#REF!) - (3.13 * Crescimento!#REF!*Crescimento!#REF!)</f>
        <v>#REF!</v>
      </c>
      <c r="Y65" s="6"/>
      <c r="Z65" s="16" t="e">
        <f>(AA64+(Crescimento!#REF!-(AA64*0.64))/0.8)/1000</f>
        <v>#REF!</v>
      </c>
      <c r="AA65" s="17" t="e">
        <f>-53.07 + (304.89 * (Z65)) + (90.79 *Crescimento!#REF!) - (3.13 * Crescimento!#REF!*Crescimento!#REF!)</f>
        <v>#REF!</v>
      </c>
      <c r="AB65" s="6"/>
      <c r="AC65" s="16" t="e">
        <f>(AD64+(Crescimento!#REF!-(AD64*0.64))/0.8)/1000</f>
        <v>#REF!</v>
      </c>
      <c r="AD65" s="17" t="e">
        <f>-53.07 + (304.89 * (AC65)) + (90.79 *Crescimento!#REF!) - (3.13 * Crescimento!#REF!*Crescimento!#REF!)</f>
        <v>#REF!</v>
      </c>
      <c r="AE65" s="17"/>
      <c r="AF65" s="16" t="e">
        <f>(AG64+(Crescimento!#REF!-(AG64*0.64))/0.8)/1000</f>
        <v>#REF!</v>
      </c>
      <c r="AG65" s="17" t="e">
        <f>-53.07 + (304.89 * (AF65)) + (90.79 *Crescimento!#REF!) - (3.13 * Crescimento!#REF!*Crescimento!#REF!)</f>
        <v>#REF!</v>
      </c>
      <c r="AI65" s="16" t="e">
        <f>(AJ64+(Crescimento!#REF!-(AJ64*0.64))/0.8)/1000</f>
        <v>#REF!</v>
      </c>
      <c r="AJ65" s="17" t="e">
        <f>-53.07 + (304.89 * (AI65)) + (90.79 *Crescimento!#REF!) - (3.13 * Crescimento!#REF!*Crescimento!#REF!)</f>
        <v>#REF!</v>
      </c>
      <c r="AL65" s="16" t="e">
        <f>(AM64+(Crescimento!#REF!-(AM64*0.64))/0.8)/1000</f>
        <v>#REF!</v>
      </c>
      <c r="AM65" s="17" t="e">
        <f>-53.07 + (304.89 * (AL65)) + (90.79 *Crescimento!#REF!) - (3.13 * Crescimento!#REF!*Crescimento!#REF!)</f>
        <v>#REF!</v>
      </c>
      <c r="AO65" s="16" t="e">
        <f>(AP64+(Crescimento!#REF!-(AP64*0.64))/0.8)/1000</f>
        <v>#REF!</v>
      </c>
      <c r="AP65" s="17" t="e">
        <f>-53.07 + (304.89 * (AO65)) + (90.79 *Crescimento!#REF!) - (3.13 * Crescimento!#REF!*Crescimento!#REF!)</f>
        <v>#REF!</v>
      </c>
      <c r="AR65" s="16" t="e">
        <f>(AS64+(Crescimento!#REF!-(AS64*0.64))/0.8)/1000</f>
        <v>#REF!</v>
      </c>
      <c r="AS65" s="17" t="e">
        <f>-53.07 + (304.89 * (AR65)) + (90.79 *Crescimento!#REF!) - (3.13 * Crescimento!#REF!*Crescimento!#REF!)</f>
        <v>#REF!</v>
      </c>
      <c r="AU65" s="16" t="e">
        <f>(AV64+(Crescimento!#REF!-(AV64*0.64))/0.8)/1000</f>
        <v>#REF!</v>
      </c>
      <c r="AV65" s="17" t="e">
        <f>-53.07 + (304.89 * (AU65)) + (90.79 *Crescimento!#REF!) - (3.13 * Crescimento!#REF!*Crescimento!#REF!)</f>
        <v>#REF!</v>
      </c>
      <c r="AX65" s="16" t="e">
        <f>(AY64+(Crescimento!#REF!-(AY64*0.64))/0.8)/1000</f>
        <v>#REF!</v>
      </c>
      <c r="AY65" s="17" t="e">
        <f>-53.07 + (304.89 * (AX65)) + (90.79 *Crescimento!#REF!) - (3.13 * Crescimento!#REF!*Crescimento!#REF!)</f>
        <v>#REF!</v>
      </c>
      <c r="BA65" s="16" t="e">
        <f>(BB64+(Crescimento!#REF!-(BB64*0.64))/0.8)/1000</f>
        <v>#REF!</v>
      </c>
      <c r="BB65" s="17" t="e">
        <f>-53.07 + (304.89 * (BA65)) + (90.79 *Crescimento!#REF!) - (3.13 * Crescimento!#REF!*Crescimento!#REF!)</f>
        <v>#REF!</v>
      </c>
      <c r="BD65" s="16" t="e">
        <f>(BE64+(Crescimento!#REF!-(BE64*0.64))/0.8)/1000</f>
        <v>#REF!</v>
      </c>
      <c r="BE65" s="17" t="e">
        <f>-53.07 + (304.89 * (BD65)) + (90.79 *Crescimento!#REF!) - (3.13 * Crescimento!#REF!*Crescimento!#REF!)</f>
        <v>#REF!</v>
      </c>
      <c r="BG65" s="16" t="e">
        <f>(BH64+(Crescimento!#REF!-(BH64*0.64))/0.8)/1000</f>
        <v>#REF!</v>
      </c>
      <c r="BH65" s="17" t="e">
        <f>-53.07 + (304.89 * (BG65)) + (90.79 *Crescimento!#REF!) - (3.13 * Crescimento!#REF!*Crescimento!#REF!)</f>
        <v>#REF!</v>
      </c>
      <c r="BJ65" s="16" t="e">
        <f>(BK64+(Crescimento!#REF!-(BK64*0.64))/0.8)/1000</f>
        <v>#REF!</v>
      </c>
      <c r="BK65" s="17" t="e">
        <f>-53.07 + (304.89 * (BJ65)) + (90.79 *Crescimento!#REF!) - (3.13 * Crescimento!#REF!*Crescimento!#REF!)</f>
        <v>#REF!</v>
      </c>
      <c r="BM65" s="16" t="e">
        <f>(BN64+(Crescimento!#REF!-(BN64*0.64))/0.8)/1000</f>
        <v>#REF!</v>
      </c>
      <c r="BN65" s="17" t="e">
        <f>-53.07 + (304.89 * (BM65)) + (90.79 *Crescimento!#REF!) - (3.13 * Crescimento!#REF!*Crescimento!#REF!)</f>
        <v>#REF!</v>
      </c>
      <c r="BP65" s="16" t="e">
        <f>(BQ64+(Crescimento!#REF!-(BQ64*0.64))/0.8)/1000</f>
        <v>#REF!</v>
      </c>
      <c r="BQ65" s="17" t="e">
        <f>-53.07 + (304.89 * (BP65)) + (90.79 *Crescimento!#REF!) - (3.13 * Crescimento!#REF!*Crescimento!#REF!)</f>
        <v>#REF!</v>
      </c>
      <c r="BS65" s="16" t="e">
        <f>(BT64+(Crescimento!#REF!-(BT64*0.64))/0.8)/1000</f>
        <v>#REF!</v>
      </c>
      <c r="BT65" s="17" t="e">
        <f>-53.07 + (304.89 * (BS65)) + (90.79 *Crescimento!#REF!) - (3.13 * Crescimento!#REF!*Crescimento!#REF!)</f>
        <v>#REF!</v>
      </c>
      <c r="BV65" s="16" t="e">
        <f>(BW64+(Crescimento!#REF!-(BW64*0.64))/0.8)/1000</f>
        <v>#REF!</v>
      </c>
      <c r="BW65" s="17" t="e">
        <f>-53.07 + (304.89 * (BV65)) + (90.79 *Crescimento!#REF!) - (3.13 * Crescimento!#REF!*Crescimento!#REF!)</f>
        <v>#REF!</v>
      </c>
      <c r="BY65" s="16" t="e">
        <f>(BZ64+(Crescimento!#REF!-(BZ64*0.64))/0.8)/1000</f>
        <v>#REF!</v>
      </c>
      <c r="BZ65" s="17" t="e">
        <f>-53.07 + (304.89 * (BY65)) + (90.79 *Crescimento!#REF!) - (3.13 * Crescimento!#REF!*Crescimento!#REF!)</f>
        <v>#REF!</v>
      </c>
      <c r="CB65" s="16" t="e">
        <f>(CC64+(Crescimento!#REF!-(CC64*0.64))/0.8)/1000</f>
        <v>#REF!</v>
      </c>
      <c r="CC65" s="17" t="e">
        <f>-53.07 + (304.89 * (CB65)) + (90.79 *Crescimento!#REF!) - (3.13 * Crescimento!#REF!*Crescimento!#REF!)</f>
        <v>#REF!</v>
      </c>
      <c r="CE65" s="16" t="e">
        <f>(CF64+(Crescimento!#REF!-(CF64*0.64))/0.8)/1000</f>
        <v>#REF!</v>
      </c>
      <c r="CF65" s="17" t="e">
        <f>-53.07 + (304.89 * (CE65)) + (90.79 *Crescimento!#REF!) - (3.13 * Crescimento!#REF!*Crescimento!#REF!)</f>
        <v>#REF!</v>
      </c>
      <c r="CH65" s="16" t="e">
        <f>(CI64+(Crescimento!#REF!-(CI64*0.64))/0.8)/1000</f>
        <v>#REF!</v>
      </c>
      <c r="CI65" s="17" t="e">
        <f>-53.07 + (304.89 * (CH65)) + (90.79 *Crescimento!#REF!) - (3.13 * Crescimento!#REF!*Crescimento!#REF!)</f>
        <v>#REF!</v>
      </c>
      <c r="CK65" s="16" t="e">
        <f>(CL64+(Crescimento!#REF!-(CL64*0.64))/0.8)/1000</f>
        <v>#REF!</v>
      </c>
      <c r="CL65" s="17" t="e">
        <f>-53.07 + (304.89 * (CK65)) + (90.79 *Crescimento!#REF!) - (3.13 * Crescimento!#REF!*Crescimento!#REF!)</f>
        <v>#REF!</v>
      </c>
    </row>
    <row r="66" spans="2:90" x14ac:dyDescent="0.25">
      <c r="B66" s="16">
        <f>(C65+('Vacas e Bezerros'!$O$29-(C65*0.64))/0.8)/1000</f>
        <v>1.1219974776113528</v>
      </c>
      <c r="C66" s="17">
        <f>-53.07 + (304.89 * (B66)) + (90.79 *'Vacas e Bezerros'!$O$23) - (3.13 * 'Vacas e Bezerros'!$O$23*'Vacas e Bezerros'!$O$23)</f>
        <v>715.77733851110622</v>
      </c>
      <c r="E66" s="16" t="e">
        <f>(F65+(Crescimento!#REF!-(F65*0.64))/0.8)/1000</f>
        <v>#REF!</v>
      </c>
      <c r="F66" s="17" t="e">
        <f>-53.07 + (304.89 * (E66)) + (90.79 *Crescimento!#REF!) - (3.13 * Crescimento!#REF!*Crescimento!#REF!)</f>
        <v>#REF!</v>
      </c>
      <c r="G66" s="1"/>
      <c r="H66" s="16" t="e">
        <f>(I65+(Crescimento!#REF!-(I65*0.64))/0.8)/1000</f>
        <v>#REF!</v>
      </c>
      <c r="I66" s="17" t="e">
        <f>-53.07 + (304.89 * (H66)) + (90.79 *Crescimento!#REF!) - (3.13 * Crescimento!#REF!*Crescimento!#REF!)</f>
        <v>#REF!</v>
      </c>
      <c r="K66" s="16" t="e">
        <f>(L65+(Crescimento!#REF!-(L65*0.64))/0.8)/1000</f>
        <v>#REF!</v>
      </c>
      <c r="L66" s="17" t="e">
        <f>-53.07 + (304.89 * (K66)) + (90.79 *Crescimento!#REF!) - (3.13 * Crescimento!#REF!*Crescimento!#REF!)</f>
        <v>#REF!</v>
      </c>
      <c r="N66" s="16" t="e">
        <f>(O65+(Crescimento!#REF!-(O65*0.64))/0.8)/1000</f>
        <v>#REF!</v>
      </c>
      <c r="O66" s="17" t="e">
        <f>-53.07 + (304.89 * (N66)) + (90.79 *Crescimento!#REF!) - (3.13 * Crescimento!#REF!*Crescimento!#REF!)</f>
        <v>#REF!</v>
      </c>
      <c r="Q66" s="16" t="e">
        <f>(R65+(Crescimento!#REF!-(R65*0.64))/0.8)/1000</f>
        <v>#REF!</v>
      </c>
      <c r="R66" s="17" t="e">
        <f>-53.07 + (304.89 * (Q66)) + (90.79 *Crescimento!#REF!) - (3.13 * Crescimento!#REF!*Crescimento!#REF!)</f>
        <v>#REF!</v>
      </c>
      <c r="T66" s="16" t="e">
        <f>(U65+(Crescimento!#REF!-(U65*0.64))/0.8)/1000</f>
        <v>#REF!</v>
      </c>
      <c r="U66" s="17" t="e">
        <f>-53.07 + (304.89 * (T66)) + (90.79 *Crescimento!#REF!) - (3.13 * Crescimento!#REF!*Crescimento!#REF!)</f>
        <v>#REF!</v>
      </c>
      <c r="W66" s="16" t="e">
        <f>(X65+(Crescimento!#REF!-(X65*0.64))/0.8)/1000</f>
        <v>#REF!</v>
      </c>
      <c r="X66" s="17" t="e">
        <f>-53.07 + (304.89 * (W66)) + (90.79 *Crescimento!#REF!) - (3.13 * Crescimento!#REF!*Crescimento!#REF!)</f>
        <v>#REF!</v>
      </c>
      <c r="Y66" s="6"/>
      <c r="Z66" s="16" t="e">
        <f>(AA65+(Crescimento!#REF!-(AA65*0.64))/0.8)/1000</f>
        <v>#REF!</v>
      </c>
      <c r="AA66" s="17" t="e">
        <f>-53.07 + (304.89 * (Z66)) + (90.79 *Crescimento!#REF!) - (3.13 * Crescimento!#REF!*Crescimento!#REF!)</f>
        <v>#REF!</v>
      </c>
      <c r="AB66" s="6"/>
      <c r="AC66" s="16" t="e">
        <f>(AD65+(Crescimento!#REF!-(AD65*0.64))/0.8)/1000</f>
        <v>#REF!</v>
      </c>
      <c r="AD66" s="17" t="e">
        <f>-53.07 + (304.89 * (AC66)) + (90.79 *Crescimento!#REF!) - (3.13 * Crescimento!#REF!*Crescimento!#REF!)</f>
        <v>#REF!</v>
      </c>
      <c r="AE66" s="17"/>
      <c r="AF66" s="16" t="e">
        <f>(AG65+(Crescimento!#REF!-(AG65*0.64))/0.8)/1000</f>
        <v>#REF!</v>
      </c>
      <c r="AG66" s="17" t="e">
        <f>-53.07 + (304.89 * (AF66)) + (90.79 *Crescimento!#REF!) - (3.13 * Crescimento!#REF!*Crescimento!#REF!)</f>
        <v>#REF!</v>
      </c>
      <c r="AI66" s="16" t="e">
        <f>(AJ65+(Crescimento!#REF!-(AJ65*0.64))/0.8)/1000</f>
        <v>#REF!</v>
      </c>
      <c r="AJ66" s="17" t="e">
        <f>-53.07 + (304.89 * (AI66)) + (90.79 *Crescimento!#REF!) - (3.13 * Crescimento!#REF!*Crescimento!#REF!)</f>
        <v>#REF!</v>
      </c>
      <c r="AL66" s="16" t="e">
        <f>(AM65+(Crescimento!#REF!-(AM65*0.64))/0.8)/1000</f>
        <v>#REF!</v>
      </c>
      <c r="AM66" s="17" t="e">
        <f>-53.07 + (304.89 * (AL66)) + (90.79 *Crescimento!#REF!) - (3.13 * Crescimento!#REF!*Crescimento!#REF!)</f>
        <v>#REF!</v>
      </c>
      <c r="AO66" s="16" t="e">
        <f>(AP65+(Crescimento!#REF!-(AP65*0.64))/0.8)/1000</f>
        <v>#REF!</v>
      </c>
      <c r="AP66" s="17" t="e">
        <f>-53.07 + (304.89 * (AO66)) + (90.79 *Crescimento!#REF!) - (3.13 * Crescimento!#REF!*Crescimento!#REF!)</f>
        <v>#REF!</v>
      </c>
      <c r="AR66" s="16" t="e">
        <f>(AS65+(Crescimento!#REF!-(AS65*0.64))/0.8)/1000</f>
        <v>#REF!</v>
      </c>
      <c r="AS66" s="17" t="e">
        <f>-53.07 + (304.89 * (AR66)) + (90.79 *Crescimento!#REF!) - (3.13 * Crescimento!#REF!*Crescimento!#REF!)</f>
        <v>#REF!</v>
      </c>
      <c r="AU66" s="16" t="e">
        <f>(AV65+(Crescimento!#REF!-(AV65*0.64))/0.8)/1000</f>
        <v>#REF!</v>
      </c>
      <c r="AV66" s="17" t="e">
        <f>-53.07 + (304.89 * (AU66)) + (90.79 *Crescimento!#REF!) - (3.13 * Crescimento!#REF!*Crescimento!#REF!)</f>
        <v>#REF!</v>
      </c>
      <c r="AX66" s="16" t="e">
        <f>(AY65+(Crescimento!#REF!-(AY65*0.64))/0.8)/1000</f>
        <v>#REF!</v>
      </c>
      <c r="AY66" s="17" t="e">
        <f>-53.07 + (304.89 * (AX66)) + (90.79 *Crescimento!#REF!) - (3.13 * Crescimento!#REF!*Crescimento!#REF!)</f>
        <v>#REF!</v>
      </c>
      <c r="BA66" s="16" t="e">
        <f>(BB65+(Crescimento!#REF!-(BB65*0.64))/0.8)/1000</f>
        <v>#REF!</v>
      </c>
      <c r="BB66" s="17" t="e">
        <f>-53.07 + (304.89 * (BA66)) + (90.79 *Crescimento!#REF!) - (3.13 * Crescimento!#REF!*Crescimento!#REF!)</f>
        <v>#REF!</v>
      </c>
      <c r="BD66" s="16" t="e">
        <f>(BE65+(Crescimento!#REF!-(BE65*0.64))/0.8)/1000</f>
        <v>#REF!</v>
      </c>
      <c r="BE66" s="17" t="e">
        <f>-53.07 + (304.89 * (BD66)) + (90.79 *Crescimento!#REF!) - (3.13 * Crescimento!#REF!*Crescimento!#REF!)</f>
        <v>#REF!</v>
      </c>
      <c r="BG66" s="16" t="e">
        <f>(BH65+(Crescimento!#REF!-(BH65*0.64))/0.8)/1000</f>
        <v>#REF!</v>
      </c>
      <c r="BH66" s="17" t="e">
        <f>-53.07 + (304.89 * (BG66)) + (90.79 *Crescimento!#REF!) - (3.13 * Crescimento!#REF!*Crescimento!#REF!)</f>
        <v>#REF!</v>
      </c>
      <c r="BJ66" s="16" t="e">
        <f>(BK65+(Crescimento!#REF!-(BK65*0.64))/0.8)/1000</f>
        <v>#REF!</v>
      </c>
      <c r="BK66" s="17" t="e">
        <f>-53.07 + (304.89 * (BJ66)) + (90.79 *Crescimento!#REF!) - (3.13 * Crescimento!#REF!*Crescimento!#REF!)</f>
        <v>#REF!</v>
      </c>
      <c r="BM66" s="16" t="e">
        <f>(BN65+(Crescimento!#REF!-(BN65*0.64))/0.8)/1000</f>
        <v>#REF!</v>
      </c>
      <c r="BN66" s="17" t="e">
        <f>-53.07 + (304.89 * (BM66)) + (90.79 *Crescimento!#REF!) - (3.13 * Crescimento!#REF!*Crescimento!#REF!)</f>
        <v>#REF!</v>
      </c>
      <c r="BP66" s="16" t="e">
        <f>(BQ65+(Crescimento!#REF!-(BQ65*0.64))/0.8)/1000</f>
        <v>#REF!</v>
      </c>
      <c r="BQ66" s="17" t="e">
        <f>-53.07 + (304.89 * (BP66)) + (90.79 *Crescimento!#REF!) - (3.13 * Crescimento!#REF!*Crescimento!#REF!)</f>
        <v>#REF!</v>
      </c>
      <c r="BS66" s="16" t="e">
        <f>(BT65+(Crescimento!#REF!-(BT65*0.64))/0.8)/1000</f>
        <v>#REF!</v>
      </c>
      <c r="BT66" s="17" t="e">
        <f>-53.07 + (304.89 * (BS66)) + (90.79 *Crescimento!#REF!) - (3.13 * Crescimento!#REF!*Crescimento!#REF!)</f>
        <v>#REF!</v>
      </c>
      <c r="BV66" s="16" t="e">
        <f>(BW65+(Crescimento!#REF!-(BW65*0.64))/0.8)/1000</f>
        <v>#REF!</v>
      </c>
      <c r="BW66" s="17" t="e">
        <f>-53.07 + (304.89 * (BV66)) + (90.79 *Crescimento!#REF!) - (3.13 * Crescimento!#REF!*Crescimento!#REF!)</f>
        <v>#REF!</v>
      </c>
      <c r="BY66" s="16" t="e">
        <f>(BZ65+(Crescimento!#REF!-(BZ65*0.64))/0.8)/1000</f>
        <v>#REF!</v>
      </c>
      <c r="BZ66" s="17" t="e">
        <f>-53.07 + (304.89 * (BY66)) + (90.79 *Crescimento!#REF!) - (3.13 * Crescimento!#REF!*Crescimento!#REF!)</f>
        <v>#REF!</v>
      </c>
      <c r="CB66" s="16" t="e">
        <f>(CC65+(Crescimento!#REF!-(CC65*0.64))/0.8)/1000</f>
        <v>#REF!</v>
      </c>
      <c r="CC66" s="17" t="e">
        <f>-53.07 + (304.89 * (CB66)) + (90.79 *Crescimento!#REF!) - (3.13 * Crescimento!#REF!*Crescimento!#REF!)</f>
        <v>#REF!</v>
      </c>
      <c r="CE66" s="16" t="e">
        <f>(CF65+(Crescimento!#REF!-(CF65*0.64))/0.8)/1000</f>
        <v>#REF!</v>
      </c>
      <c r="CF66" s="17" t="e">
        <f>-53.07 + (304.89 * (CE66)) + (90.79 *Crescimento!#REF!) - (3.13 * Crescimento!#REF!*Crescimento!#REF!)</f>
        <v>#REF!</v>
      </c>
      <c r="CH66" s="16" t="e">
        <f>(CI65+(Crescimento!#REF!-(CI65*0.64))/0.8)/1000</f>
        <v>#REF!</v>
      </c>
      <c r="CI66" s="17" t="e">
        <f>-53.07 + (304.89 * (CH66)) + (90.79 *Crescimento!#REF!) - (3.13 * Crescimento!#REF!*Crescimento!#REF!)</f>
        <v>#REF!</v>
      </c>
      <c r="CK66" s="16" t="e">
        <f>(CL65+(Crescimento!#REF!-(CL65*0.64))/0.8)/1000</f>
        <v>#REF!</v>
      </c>
      <c r="CL66" s="17" t="e">
        <f>-53.07 + (304.89 * (CK66)) + (90.79 *Crescimento!#REF!) - (3.13 * Crescimento!#REF!*Crescimento!#REF!)</f>
        <v>#REF!</v>
      </c>
    </row>
    <row r="67" spans="2:90" x14ac:dyDescent="0.25">
      <c r="B67" s="16">
        <f>(C66+('Vacas e Bezerros'!$O$29-(C66*0.64))/0.8)/1000</f>
        <v>1.1219974776113528</v>
      </c>
      <c r="C67" s="17">
        <f>-53.07 + (304.89 * (B67)) + (90.79 *'Vacas e Bezerros'!$O$23) - (3.13 * 'Vacas e Bezerros'!$O$23*'Vacas e Bezerros'!$O$23)</f>
        <v>715.77733851110622</v>
      </c>
      <c r="E67" s="16" t="e">
        <f>(F66+(Crescimento!#REF!-(F66*0.64))/0.8)/1000</f>
        <v>#REF!</v>
      </c>
      <c r="F67" s="17" t="e">
        <f>-53.07 + (304.89 * (E67)) + (90.79 *Crescimento!#REF!) - (3.13 * Crescimento!#REF!*Crescimento!#REF!)</f>
        <v>#REF!</v>
      </c>
      <c r="G67" s="1"/>
      <c r="H67" s="16" t="e">
        <f>(I66+(Crescimento!#REF!-(I66*0.64))/0.8)/1000</f>
        <v>#REF!</v>
      </c>
      <c r="I67" s="17" t="e">
        <f>-53.07 + (304.89 * (H67)) + (90.79 *Crescimento!#REF!) - (3.13 * Crescimento!#REF!*Crescimento!#REF!)</f>
        <v>#REF!</v>
      </c>
      <c r="K67" s="16" t="e">
        <f>(L66+(Crescimento!#REF!-(L66*0.64))/0.8)/1000</f>
        <v>#REF!</v>
      </c>
      <c r="L67" s="17" t="e">
        <f>-53.07 + (304.89 * (K67)) + (90.79 *Crescimento!#REF!) - (3.13 * Crescimento!#REF!*Crescimento!#REF!)</f>
        <v>#REF!</v>
      </c>
      <c r="N67" s="16" t="e">
        <f>(O66+(Crescimento!#REF!-(O66*0.64))/0.8)/1000</f>
        <v>#REF!</v>
      </c>
      <c r="O67" s="17" t="e">
        <f>-53.07 + (304.89 * (N67)) + (90.79 *Crescimento!#REF!) - (3.13 * Crescimento!#REF!*Crescimento!#REF!)</f>
        <v>#REF!</v>
      </c>
      <c r="Q67" s="16" t="e">
        <f>(R66+(Crescimento!#REF!-(R66*0.64))/0.8)/1000</f>
        <v>#REF!</v>
      </c>
      <c r="R67" s="17" t="e">
        <f>-53.07 + (304.89 * (Q67)) + (90.79 *Crescimento!#REF!) - (3.13 * Crescimento!#REF!*Crescimento!#REF!)</f>
        <v>#REF!</v>
      </c>
      <c r="T67" s="16" t="e">
        <f>(U66+(Crescimento!#REF!-(U66*0.64))/0.8)/1000</f>
        <v>#REF!</v>
      </c>
      <c r="U67" s="17" t="e">
        <f>-53.07 + (304.89 * (T67)) + (90.79 *Crescimento!#REF!) - (3.13 * Crescimento!#REF!*Crescimento!#REF!)</f>
        <v>#REF!</v>
      </c>
      <c r="W67" s="16" t="e">
        <f>(X66+(Crescimento!#REF!-(X66*0.64))/0.8)/1000</f>
        <v>#REF!</v>
      </c>
      <c r="X67" s="17" t="e">
        <f>-53.07 + (304.89 * (W67)) + (90.79 *Crescimento!#REF!) - (3.13 * Crescimento!#REF!*Crescimento!#REF!)</f>
        <v>#REF!</v>
      </c>
      <c r="Y67" s="6"/>
      <c r="Z67" s="16" t="e">
        <f>(AA66+(Crescimento!#REF!-(AA66*0.64))/0.8)/1000</f>
        <v>#REF!</v>
      </c>
      <c r="AA67" s="17" t="e">
        <f>-53.07 + (304.89 * (Z67)) + (90.79 *Crescimento!#REF!) - (3.13 * Crescimento!#REF!*Crescimento!#REF!)</f>
        <v>#REF!</v>
      </c>
      <c r="AB67" s="6"/>
      <c r="AC67" s="16" t="e">
        <f>(AD66+(Crescimento!#REF!-(AD66*0.64))/0.8)/1000</f>
        <v>#REF!</v>
      </c>
      <c r="AD67" s="17" t="e">
        <f>-53.07 + (304.89 * (AC67)) + (90.79 *Crescimento!#REF!) - (3.13 * Crescimento!#REF!*Crescimento!#REF!)</f>
        <v>#REF!</v>
      </c>
      <c r="AE67" s="17"/>
      <c r="AF67" s="16" t="e">
        <f>(AG66+(Crescimento!#REF!-(AG66*0.64))/0.8)/1000</f>
        <v>#REF!</v>
      </c>
      <c r="AG67" s="17" t="e">
        <f>-53.07 + (304.89 * (AF67)) + (90.79 *Crescimento!#REF!) - (3.13 * Crescimento!#REF!*Crescimento!#REF!)</f>
        <v>#REF!</v>
      </c>
      <c r="AI67" s="16" t="e">
        <f>(AJ66+(Crescimento!#REF!-(AJ66*0.64))/0.8)/1000</f>
        <v>#REF!</v>
      </c>
      <c r="AJ67" s="17" t="e">
        <f>-53.07 + (304.89 * (AI67)) + (90.79 *Crescimento!#REF!) - (3.13 * Crescimento!#REF!*Crescimento!#REF!)</f>
        <v>#REF!</v>
      </c>
      <c r="AL67" s="16" t="e">
        <f>(AM66+(Crescimento!#REF!-(AM66*0.64))/0.8)/1000</f>
        <v>#REF!</v>
      </c>
      <c r="AM67" s="17" t="e">
        <f>-53.07 + (304.89 * (AL67)) + (90.79 *Crescimento!#REF!) - (3.13 * Crescimento!#REF!*Crescimento!#REF!)</f>
        <v>#REF!</v>
      </c>
      <c r="AO67" s="16" t="e">
        <f>(AP66+(Crescimento!#REF!-(AP66*0.64))/0.8)/1000</f>
        <v>#REF!</v>
      </c>
      <c r="AP67" s="17" t="e">
        <f>-53.07 + (304.89 * (AO67)) + (90.79 *Crescimento!#REF!) - (3.13 * Crescimento!#REF!*Crescimento!#REF!)</f>
        <v>#REF!</v>
      </c>
      <c r="AR67" s="16" t="e">
        <f>(AS66+(Crescimento!#REF!-(AS66*0.64))/0.8)/1000</f>
        <v>#REF!</v>
      </c>
      <c r="AS67" s="17" t="e">
        <f>-53.07 + (304.89 * (AR67)) + (90.79 *Crescimento!#REF!) - (3.13 * Crescimento!#REF!*Crescimento!#REF!)</f>
        <v>#REF!</v>
      </c>
      <c r="AU67" s="16" t="e">
        <f>(AV66+(Crescimento!#REF!-(AV66*0.64))/0.8)/1000</f>
        <v>#REF!</v>
      </c>
      <c r="AV67" s="17" t="e">
        <f>-53.07 + (304.89 * (AU67)) + (90.79 *Crescimento!#REF!) - (3.13 * Crescimento!#REF!*Crescimento!#REF!)</f>
        <v>#REF!</v>
      </c>
      <c r="AX67" s="16" t="e">
        <f>(AY66+(Crescimento!#REF!-(AY66*0.64))/0.8)/1000</f>
        <v>#REF!</v>
      </c>
      <c r="AY67" s="17" t="e">
        <f>-53.07 + (304.89 * (AX67)) + (90.79 *Crescimento!#REF!) - (3.13 * Crescimento!#REF!*Crescimento!#REF!)</f>
        <v>#REF!</v>
      </c>
      <c r="BA67" s="16" t="e">
        <f>(BB66+(Crescimento!#REF!-(BB66*0.64))/0.8)/1000</f>
        <v>#REF!</v>
      </c>
      <c r="BB67" s="17" t="e">
        <f>-53.07 + (304.89 * (BA67)) + (90.79 *Crescimento!#REF!) - (3.13 * Crescimento!#REF!*Crescimento!#REF!)</f>
        <v>#REF!</v>
      </c>
      <c r="BD67" s="16" t="e">
        <f>(BE66+(Crescimento!#REF!-(BE66*0.64))/0.8)/1000</f>
        <v>#REF!</v>
      </c>
      <c r="BE67" s="17" t="e">
        <f>-53.07 + (304.89 * (BD67)) + (90.79 *Crescimento!#REF!) - (3.13 * Crescimento!#REF!*Crescimento!#REF!)</f>
        <v>#REF!</v>
      </c>
      <c r="BG67" s="16" t="e">
        <f>(BH66+(Crescimento!#REF!-(BH66*0.64))/0.8)/1000</f>
        <v>#REF!</v>
      </c>
      <c r="BH67" s="17" t="e">
        <f>-53.07 + (304.89 * (BG67)) + (90.79 *Crescimento!#REF!) - (3.13 * Crescimento!#REF!*Crescimento!#REF!)</f>
        <v>#REF!</v>
      </c>
      <c r="BJ67" s="16" t="e">
        <f>(BK66+(Crescimento!#REF!-(BK66*0.64))/0.8)/1000</f>
        <v>#REF!</v>
      </c>
      <c r="BK67" s="17" t="e">
        <f>-53.07 + (304.89 * (BJ67)) + (90.79 *Crescimento!#REF!) - (3.13 * Crescimento!#REF!*Crescimento!#REF!)</f>
        <v>#REF!</v>
      </c>
      <c r="BM67" s="16" t="e">
        <f>(BN66+(Crescimento!#REF!-(BN66*0.64))/0.8)/1000</f>
        <v>#REF!</v>
      </c>
      <c r="BN67" s="17" t="e">
        <f>-53.07 + (304.89 * (BM67)) + (90.79 *Crescimento!#REF!) - (3.13 * Crescimento!#REF!*Crescimento!#REF!)</f>
        <v>#REF!</v>
      </c>
      <c r="BP67" s="16" t="e">
        <f>(BQ66+(Crescimento!#REF!-(BQ66*0.64))/0.8)/1000</f>
        <v>#REF!</v>
      </c>
      <c r="BQ67" s="17" t="e">
        <f>-53.07 + (304.89 * (BP67)) + (90.79 *Crescimento!#REF!) - (3.13 * Crescimento!#REF!*Crescimento!#REF!)</f>
        <v>#REF!</v>
      </c>
      <c r="BS67" s="16" t="e">
        <f>(BT66+(Crescimento!#REF!-(BT66*0.64))/0.8)/1000</f>
        <v>#REF!</v>
      </c>
      <c r="BT67" s="17" t="e">
        <f>-53.07 + (304.89 * (BS67)) + (90.79 *Crescimento!#REF!) - (3.13 * Crescimento!#REF!*Crescimento!#REF!)</f>
        <v>#REF!</v>
      </c>
      <c r="BV67" s="16" t="e">
        <f>(BW66+(Crescimento!#REF!-(BW66*0.64))/0.8)/1000</f>
        <v>#REF!</v>
      </c>
      <c r="BW67" s="17" t="e">
        <f>-53.07 + (304.89 * (BV67)) + (90.79 *Crescimento!#REF!) - (3.13 * Crescimento!#REF!*Crescimento!#REF!)</f>
        <v>#REF!</v>
      </c>
      <c r="BY67" s="16" t="e">
        <f>(BZ66+(Crescimento!#REF!-(BZ66*0.64))/0.8)/1000</f>
        <v>#REF!</v>
      </c>
      <c r="BZ67" s="17" t="e">
        <f>-53.07 + (304.89 * (BY67)) + (90.79 *Crescimento!#REF!) - (3.13 * Crescimento!#REF!*Crescimento!#REF!)</f>
        <v>#REF!</v>
      </c>
      <c r="CB67" s="16" t="e">
        <f>(CC66+(Crescimento!#REF!-(CC66*0.64))/0.8)/1000</f>
        <v>#REF!</v>
      </c>
      <c r="CC67" s="17" t="e">
        <f>-53.07 + (304.89 * (CB67)) + (90.79 *Crescimento!#REF!) - (3.13 * Crescimento!#REF!*Crescimento!#REF!)</f>
        <v>#REF!</v>
      </c>
      <c r="CE67" s="16" t="e">
        <f>(CF66+(Crescimento!#REF!-(CF66*0.64))/0.8)/1000</f>
        <v>#REF!</v>
      </c>
      <c r="CF67" s="17" t="e">
        <f>-53.07 + (304.89 * (CE67)) + (90.79 *Crescimento!#REF!) - (3.13 * Crescimento!#REF!*Crescimento!#REF!)</f>
        <v>#REF!</v>
      </c>
      <c r="CH67" s="16" t="e">
        <f>(CI66+(Crescimento!#REF!-(CI66*0.64))/0.8)/1000</f>
        <v>#REF!</v>
      </c>
      <c r="CI67" s="17" t="e">
        <f>-53.07 + (304.89 * (CH67)) + (90.79 *Crescimento!#REF!) - (3.13 * Crescimento!#REF!*Crescimento!#REF!)</f>
        <v>#REF!</v>
      </c>
      <c r="CK67" s="16" t="e">
        <f>(CL66+(Crescimento!#REF!-(CL66*0.64))/0.8)/1000</f>
        <v>#REF!</v>
      </c>
      <c r="CL67" s="17" t="e">
        <f>-53.07 + (304.89 * (CK67)) + (90.79 *Crescimento!#REF!) - (3.13 * Crescimento!#REF!*Crescimento!#REF!)</f>
        <v>#REF!</v>
      </c>
    </row>
    <row r="68" spans="2:90" x14ac:dyDescent="0.25">
      <c r="B68" s="16">
        <f>(C67+('Vacas e Bezerros'!$O$29-(C67*0.64))/0.8)/1000</f>
        <v>1.1219974776113528</v>
      </c>
      <c r="C68" s="17">
        <f>-53.07 + (304.89 * (B68)) + (90.79 *'Vacas e Bezerros'!$O$23) - (3.13 * 'Vacas e Bezerros'!$O$23*'Vacas e Bezerros'!$O$23)</f>
        <v>715.77733851110622</v>
      </c>
      <c r="E68" s="16" t="e">
        <f>(F67+(Crescimento!#REF!-(F67*0.64))/0.8)/1000</f>
        <v>#REF!</v>
      </c>
      <c r="F68" s="17" t="e">
        <f>-53.07 + (304.89 * (E68)) + (90.79 *Crescimento!#REF!) - (3.13 * Crescimento!#REF!*Crescimento!#REF!)</f>
        <v>#REF!</v>
      </c>
      <c r="G68" s="1"/>
      <c r="H68" s="16" t="e">
        <f>(I67+(Crescimento!#REF!-(I67*0.64))/0.8)/1000</f>
        <v>#REF!</v>
      </c>
      <c r="I68" s="17" t="e">
        <f>-53.07 + (304.89 * (H68)) + (90.79 *Crescimento!#REF!) - (3.13 * Crescimento!#REF!*Crescimento!#REF!)</f>
        <v>#REF!</v>
      </c>
      <c r="K68" s="16" t="e">
        <f>(L67+(Crescimento!#REF!-(L67*0.64))/0.8)/1000</f>
        <v>#REF!</v>
      </c>
      <c r="L68" s="17" t="e">
        <f>-53.07 + (304.89 * (K68)) + (90.79 *Crescimento!#REF!) - (3.13 * Crescimento!#REF!*Crescimento!#REF!)</f>
        <v>#REF!</v>
      </c>
      <c r="N68" s="16" t="e">
        <f>(O67+(Crescimento!#REF!-(O67*0.64))/0.8)/1000</f>
        <v>#REF!</v>
      </c>
      <c r="O68" s="17" t="e">
        <f>-53.07 + (304.89 * (N68)) + (90.79 *Crescimento!#REF!) - (3.13 * Crescimento!#REF!*Crescimento!#REF!)</f>
        <v>#REF!</v>
      </c>
      <c r="Q68" s="16" t="e">
        <f>(R67+(Crescimento!#REF!-(R67*0.64))/0.8)/1000</f>
        <v>#REF!</v>
      </c>
      <c r="R68" s="17" t="e">
        <f>-53.07 + (304.89 * (Q68)) + (90.79 *Crescimento!#REF!) - (3.13 * Crescimento!#REF!*Crescimento!#REF!)</f>
        <v>#REF!</v>
      </c>
      <c r="T68" s="16" t="e">
        <f>(U67+(Crescimento!#REF!-(U67*0.64))/0.8)/1000</f>
        <v>#REF!</v>
      </c>
      <c r="U68" s="17" t="e">
        <f>-53.07 + (304.89 * (T68)) + (90.79 *Crescimento!#REF!) - (3.13 * Crescimento!#REF!*Crescimento!#REF!)</f>
        <v>#REF!</v>
      </c>
      <c r="W68" s="16" t="e">
        <f>(X67+(Crescimento!#REF!-(X67*0.64))/0.8)/1000</f>
        <v>#REF!</v>
      </c>
      <c r="X68" s="17" t="e">
        <f>-53.07 + (304.89 * (W68)) + (90.79 *Crescimento!#REF!) - (3.13 * Crescimento!#REF!*Crescimento!#REF!)</f>
        <v>#REF!</v>
      </c>
      <c r="Y68" s="6"/>
      <c r="Z68" s="16" t="e">
        <f>(AA67+(Crescimento!#REF!-(AA67*0.64))/0.8)/1000</f>
        <v>#REF!</v>
      </c>
      <c r="AA68" s="17" t="e">
        <f>-53.07 + (304.89 * (Z68)) + (90.79 *Crescimento!#REF!) - (3.13 * Crescimento!#REF!*Crescimento!#REF!)</f>
        <v>#REF!</v>
      </c>
      <c r="AB68" s="6"/>
      <c r="AC68" s="16" t="e">
        <f>(AD67+(Crescimento!#REF!-(AD67*0.64))/0.8)/1000</f>
        <v>#REF!</v>
      </c>
      <c r="AD68" s="17" t="e">
        <f>-53.07 + (304.89 * (AC68)) + (90.79 *Crescimento!#REF!) - (3.13 * Crescimento!#REF!*Crescimento!#REF!)</f>
        <v>#REF!</v>
      </c>
      <c r="AE68" s="17"/>
      <c r="AF68" s="16" t="e">
        <f>(AG67+(Crescimento!#REF!-(AG67*0.64))/0.8)/1000</f>
        <v>#REF!</v>
      </c>
      <c r="AG68" s="17" t="e">
        <f>-53.07 + (304.89 * (AF68)) + (90.79 *Crescimento!#REF!) - (3.13 * Crescimento!#REF!*Crescimento!#REF!)</f>
        <v>#REF!</v>
      </c>
      <c r="AI68" s="16" t="e">
        <f>(AJ67+(Crescimento!#REF!-(AJ67*0.64))/0.8)/1000</f>
        <v>#REF!</v>
      </c>
      <c r="AJ68" s="17" t="e">
        <f>-53.07 + (304.89 * (AI68)) + (90.79 *Crescimento!#REF!) - (3.13 * Crescimento!#REF!*Crescimento!#REF!)</f>
        <v>#REF!</v>
      </c>
      <c r="AL68" s="16" t="e">
        <f>(AM67+(Crescimento!#REF!-(AM67*0.64))/0.8)/1000</f>
        <v>#REF!</v>
      </c>
      <c r="AM68" s="17" t="e">
        <f>-53.07 + (304.89 * (AL68)) + (90.79 *Crescimento!#REF!) - (3.13 * Crescimento!#REF!*Crescimento!#REF!)</f>
        <v>#REF!</v>
      </c>
      <c r="AO68" s="16" t="e">
        <f>(AP67+(Crescimento!#REF!-(AP67*0.64))/0.8)/1000</f>
        <v>#REF!</v>
      </c>
      <c r="AP68" s="17" t="e">
        <f>-53.07 + (304.89 * (AO68)) + (90.79 *Crescimento!#REF!) - (3.13 * Crescimento!#REF!*Crescimento!#REF!)</f>
        <v>#REF!</v>
      </c>
      <c r="AR68" s="16" t="e">
        <f>(AS67+(Crescimento!#REF!-(AS67*0.64))/0.8)/1000</f>
        <v>#REF!</v>
      </c>
      <c r="AS68" s="17" t="e">
        <f>-53.07 + (304.89 * (AR68)) + (90.79 *Crescimento!#REF!) - (3.13 * Crescimento!#REF!*Crescimento!#REF!)</f>
        <v>#REF!</v>
      </c>
      <c r="AU68" s="16" t="e">
        <f>(AV67+(Crescimento!#REF!-(AV67*0.64))/0.8)/1000</f>
        <v>#REF!</v>
      </c>
      <c r="AV68" s="17" t="e">
        <f>-53.07 + (304.89 * (AU68)) + (90.79 *Crescimento!#REF!) - (3.13 * Crescimento!#REF!*Crescimento!#REF!)</f>
        <v>#REF!</v>
      </c>
      <c r="AX68" s="16" t="e">
        <f>(AY67+(Crescimento!#REF!-(AY67*0.64))/0.8)/1000</f>
        <v>#REF!</v>
      </c>
      <c r="AY68" s="17" t="e">
        <f>-53.07 + (304.89 * (AX68)) + (90.79 *Crescimento!#REF!) - (3.13 * Crescimento!#REF!*Crescimento!#REF!)</f>
        <v>#REF!</v>
      </c>
      <c r="BA68" s="16" t="e">
        <f>(BB67+(Crescimento!#REF!-(BB67*0.64))/0.8)/1000</f>
        <v>#REF!</v>
      </c>
      <c r="BB68" s="17" t="e">
        <f>-53.07 + (304.89 * (BA68)) + (90.79 *Crescimento!#REF!) - (3.13 * Crescimento!#REF!*Crescimento!#REF!)</f>
        <v>#REF!</v>
      </c>
      <c r="BD68" s="16" t="e">
        <f>(BE67+(Crescimento!#REF!-(BE67*0.64))/0.8)/1000</f>
        <v>#REF!</v>
      </c>
      <c r="BE68" s="17" t="e">
        <f>-53.07 + (304.89 * (BD68)) + (90.79 *Crescimento!#REF!) - (3.13 * Crescimento!#REF!*Crescimento!#REF!)</f>
        <v>#REF!</v>
      </c>
      <c r="BG68" s="16" t="e">
        <f>(BH67+(Crescimento!#REF!-(BH67*0.64))/0.8)/1000</f>
        <v>#REF!</v>
      </c>
      <c r="BH68" s="17" t="e">
        <f>-53.07 + (304.89 * (BG68)) + (90.79 *Crescimento!#REF!) - (3.13 * Crescimento!#REF!*Crescimento!#REF!)</f>
        <v>#REF!</v>
      </c>
      <c r="BJ68" s="16" t="e">
        <f>(BK67+(Crescimento!#REF!-(BK67*0.64))/0.8)/1000</f>
        <v>#REF!</v>
      </c>
      <c r="BK68" s="17" t="e">
        <f>-53.07 + (304.89 * (BJ68)) + (90.79 *Crescimento!#REF!) - (3.13 * Crescimento!#REF!*Crescimento!#REF!)</f>
        <v>#REF!</v>
      </c>
      <c r="BM68" s="16" t="e">
        <f>(BN67+(Crescimento!#REF!-(BN67*0.64))/0.8)/1000</f>
        <v>#REF!</v>
      </c>
      <c r="BN68" s="17" t="e">
        <f>-53.07 + (304.89 * (BM68)) + (90.79 *Crescimento!#REF!) - (3.13 * Crescimento!#REF!*Crescimento!#REF!)</f>
        <v>#REF!</v>
      </c>
      <c r="BP68" s="16" t="e">
        <f>(BQ67+(Crescimento!#REF!-(BQ67*0.64))/0.8)/1000</f>
        <v>#REF!</v>
      </c>
      <c r="BQ68" s="17" t="e">
        <f>-53.07 + (304.89 * (BP68)) + (90.79 *Crescimento!#REF!) - (3.13 * Crescimento!#REF!*Crescimento!#REF!)</f>
        <v>#REF!</v>
      </c>
      <c r="BS68" s="16" t="e">
        <f>(BT67+(Crescimento!#REF!-(BT67*0.64))/0.8)/1000</f>
        <v>#REF!</v>
      </c>
      <c r="BT68" s="17" t="e">
        <f>-53.07 + (304.89 * (BS68)) + (90.79 *Crescimento!#REF!) - (3.13 * Crescimento!#REF!*Crescimento!#REF!)</f>
        <v>#REF!</v>
      </c>
      <c r="BV68" s="16" t="e">
        <f>(BW67+(Crescimento!#REF!-(BW67*0.64))/0.8)/1000</f>
        <v>#REF!</v>
      </c>
      <c r="BW68" s="17" t="e">
        <f>-53.07 + (304.89 * (BV68)) + (90.79 *Crescimento!#REF!) - (3.13 * Crescimento!#REF!*Crescimento!#REF!)</f>
        <v>#REF!</v>
      </c>
      <c r="BY68" s="16" t="e">
        <f>(BZ67+(Crescimento!#REF!-(BZ67*0.64))/0.8)/1000</f>
        <v>#REF!</v>
      </c>
      <c r="BZ68" s="17" t="e">
        <f>-53.07 + (304.89 * (BY68)) + (90.79 *Crescimento!#REF!) - (3.13 * Crescimento!#REF!*Crescimento!#REF!)</f>
        <v>#REF!</v>
      </c>
      <c r="CB68" s="16" t="e">
        <f>(CC67+(Crescimento!#REF!-(CC67*0.64))/0.8)/1000</f>
        <v>#REF!</v>
      </c>
      <c r="CC68" s="17" t="e">
        <f>-53.07 + (304.89 * (CB68)) + (90.79 *Crescimento!#REF!) - (3.13 * Crescimento!#REF!*Crescimento!#REF!)</f>
        <v>#REF!</v>
      </c>
      <c r="CE68" s="16" t="e">
        <f>(CF67+(Crescimento!#REF!-(CF67*0.64))/0.8)/1000</f>
        <v>#REF!</v>
      </c>
      <c r="CF68" s="17" t="e">
        <f>-53.07 + (304.89 * (CE68)) + (90.79 *Crescimento!#REF!) - (3.13 * Crescimento!#REF!*Crescimento!#REF!)</f>
        <v>#REF!</v>
      </c>
      <c r="CH68" s="16" t="e">
        <f>(CI67+(Crescimento!#REF!-(CI67*0.64))/0.8)/1000</f>
        <v>#REF!</v>
      </c>
      <c r="CI68" s="17" t="e">
        <f>-53.07 + (304.89 * (CH68)) + (90.79 *Crescimento!#REF!) - (3.13 * Crescimento!#REF!*Crescimento!#REF!)</f>
        <v>#REF!</v>
      </c>
      <c r="CK68" s="16" t="e">
        <f>(CL67+(Crescimento!#REF!-(CL67*0.64))/0.8)/1000</f>
        <v>#REF!</v>
      </c>
      <c r="CL68" s="17" t="e">
        <f>-53.07 + (304.89 * (CK68)) + (90.79 *Crescimento!#REF!) - (3.13 * Crescimento!#REF!*Crescimento!#REF!)</f>
        <v>#REF!</v>
      </c>
    </row>
    <row r="69" spans="2:90" x14ac:dyDescent="0.25">
      <c r="B69" s="16">
        <f>(C68+('Vacas e Bezerros'!$O$29-(C68*0.64))/0.8)/1000</f>
        <v>1.1219974776113528</v>
      </c>
      <c r="C69" s="17">
        <f>-53.07 + (304.89 * (B69)) + (90.79 *'Vacas e Bezerros'!$O$23) - (3.13 * 'Vacas e Bezerros'!$O$23*'Vacas e Bezerros'!$O$23)</f>
        <v>715.77733851110622</v>
      </c>
      <c r="E69" s="16" t="e">
        <f>(F68+(Crescimento!#REF!-(F68*0.64))/0.8)/1000</f>
        <v>#REF!</v>
      </c>
      <c r="F69" s="17" t="e">
        <f>-53.07 + (304.89 * (E69)) + (90.79 *Crescimento!#REF!) - (3.13 * Crescimento!#REF!*Crescimento!#REF!)</f>
        <v>#REF!</v>
      </c>
      <c r="G69" s="1"/>
      <c r="H69" s="16" t="e">
        <f>(I68+(Crescimento!#REF!-(I68*0.64))/0.8)/1000</f>
        <v>#REF!</v>
      </c>
      <c r="I69" s="17" t="e">
        <f>-53.07 + (304.89 * (H69)) + (90.79 *Crescimento!#REF!) - (3.13 * Crescimento!#REF!*Crescimento!#REF!)</f>
        <v>#REF!</v>
      </c>
      <c r="K69" s="16" t="e">
        <f>(L68+(Crescimento!#REF!-(L68*0.64))/0.8)/1000</f>
        <v>#REF!</v>
      </c>
      <c r="L69" s="17" t="e">
        <f>-53.07 + (304.89 * (K69)) + (90.79 *Crescimento!#REF!) - (3.13 * Crescimento!#REF!*Crescimento!#REF!)</f>
        <v>#REF!</v>
      </c>
      <c r="N69" s="16" t="e">
        <f>(O68+(Crescimento!#REF!-(O68*0.64))/0.8)/1000</f>
        <v>#REF!</v>
      </c>
      <c r="O69" s="17" t="e">
        <f>-53.07 + (304.89 * (N69)) + (90.79 *Crescimento!#REF!) - (3.13 * Crescimento!#REF!*Crescimento!#REF!)</f>
        <v>#REF!</v>
      </c>
      <c r="Q69" s="16" t="e">
        <f>(R68+(Crescimento!#REF!-(R68*0.64))/0.8)/1000</f>
        <v>#REF!</v>
      </c>
      <c r="R69" s="17" t="e">
        <f>-53.07 + (304.89 * (Q69)) + (90.79 *Crescimento!#REF!) - (3.13 * Crescimento!#REF!*Crescimento!#REF!)</f>
        <v>#REF!</v>
      </c>
      <c r="T69" s="16" t="e">
        <f>(U68+(Crescimento!#REF!-(U68*0.64))/0.8)/1000</f>
        <v>#REF!</v>
      </c>
      <c r="U69" s="17" t="e">
        <f>-53.07 + (304.89 * (T69)) + (90.79 *Crescimento!#REF!) - (3.13 * Crescimento!#REF!*Crescimento!#REF!)</f>
        <v>#REF!</v>
      </c>
      <c r="W69" s="16" t="e">
        <f>(X68+(Crescimento!#REF!-(X68*0.64))/0.8)/1000</f>
        <v>#REF!</v>
      </c>
      <c r="X69" s="17" t="e">
        <f>-53.07 + (304.89 * (W69)) + (90.79 *Crescimento!#REF!) - (3.13 * Crescimento!#REF!*Crescimento!#REF!)</f>
        <v>#REF!</v>
      </c>
      <c r="Y69" s="6"/>
      <c r="Z69" s="16" t="e">
        <f>(AA68+(Crescimento!#REF!-(AA68*0.64))/0.8)/1000</f>
        <v>#REF!</v>
      </c>
      <c r="AA69" s="17" t="e">
        <f>-53.07 + (304.89 * (Z69)) + (90.79 *Crescimento!#REF!) - (3.13 * Crescimento!#REF!*Crescimento!#REF!)</f>
        <v>#REF!</v>
      </c>
      <c r="AB69" s="6"/>
      <c r="AC69" s="16" t="e">
        <f>(AD68+(Crescimento!#REF!-(AD68*0.64))/0.8)/1000</f>
        <v>#REF!</v>
      </c>
      <c r="AD69" s="17" t="e">
        <f>-53.07 + (304.89 * (AC69)) + (90.79 *Crescimento!#REF!) - (3.13 * Crescimento!#REF!*Crescimento!#REF!)</f>
        <v>#REF!</v>
      </c>
      <c r="AE69" s="17"/>
      <c r="AF69" s="16" t="e">
        <f>(AG68+(Crescimento!#REF!-(AG68*0.64))/0.8)/1000</f>
        <v>#REF!</v>
      </c>
      <c r="AG69" s="17" t="e">
        <f>-53.07 + (304.89 * (AF69)) + (90.79 *Crescimento!#REF!) - (3.13 * Crescimento!#REF!*Crescimento!#REF!)</f>
        <v>#REF!</v>
      </c>
      <c r="AI69" s="16" t="e">
        <f>(AJ68+(Crescimento!#REF!-(AJ68*0.64))/0.8)/1000</f>
        <v>#REF!</v>
      </c>
      <c r="AJ69" s="17" t="e">
        <f>-53.07 + (304.89 * (AI69)) + (90.79 *Crescimento!#REF!) - (3.13 * Crescimento!#REF!*Crescimento!#REF!)</f>
        <v>#REF!</v>
      </c>
      <c r="AL69" s="16" t="e">
        <f>(AM68+(Crescimento!#REF!-(AM68*0.64))/0.8)/1000</f>
        <v>#REF!</v>
      </c>
      <c r="AM69" s="17" t="e">
        <f>-53.07 + (304.89 * (AL69)) + (90.79 *Crescimento!#REF!) - (3.13 * Crescimento!#REF!*Crescimento!#REF!)</f>
        <v>#REF!</v>
      </c>
      <c r="AO69" s="16" t="e">
        <f>(AP68+(Crescimento!#REF!-(AP68*0.64))/0.8)/1000</f>
        <v>#REF!</v>
      </c>
      <c r="AP69" s="17" t="e">
        <f>-53.07 + (304.89 * (AO69)) + (90.79 *Crescimento!#REF!) - (3.13 * Crescimento!#REF!*Crescimento!#REF!)</f>
        <v>#REF!</v>
      </c>
      <c r="AR69" s="16" t="e">
        <f>(AS68+(Crescimento!#REF!-(AS68*0.64))/0.8)/1000</f>
        <v>#REF!</v>
      </c>
      <c r="AS69" s="17" t="e">
        <f>-53.07 + (304.89 * (AR69)) + (90.79 *Crescimento!#REF!) - (3.13 * Crescimento!#REF!*Crescimento!#REF!)</f>
        <v>#REF!</v>
      </c>
      <c r="AU69" s="16" t="e">
        <f>(AV68+(Crescimento!#REF!-(AV68*0.64))/0.8)/1000</f>
        <v>#REF!</v>
      </c>
      <c r="AV69" s="17" t="e">
        <f>-53.07 + (304.89 * (AU69)) + (90.79 *Crescimento!#REF!) - (3.13 * Crescimento!#REF!*Crescimento!#REF!)</f>
        <v>#REF!</v>
      </c>
      <c r="AX69" s="16" t="e">
        <f>(AY68+(Crescimento!#REF!-(AY68*0.64))/0.8)/1000</f>
        <v>#REF!</v>
      </c>
      <c r="AY69" s="17" t="e">
        <f>-53.07 + (304.89 * (AX69)) + (90.79 *Crescimento!#REF!) - (3.13 * Crescimento!#REF!*Crescimento!#REF!)</f>
        <v>#REF!</v>
      </c>
      <c r="BA69" s="16" t="e">
        <f>(BB68+(Crescimento!#REF!-(BB68*0.64))/0.8)/1000</f>
        <v>#REF!</v>
      </c>
      <c r="BB69" s="17" t="e">
        <f>-53.07 + (304.89 * (BA69)) + (90.79 *Crescimento!#REF!) - (3.13 * Crescimento!#REF!*Crescimento!#REF!)</f>
        <v>#REF!</v>
      </c>
      <c r="BD69" s="16" t="e">
        <f>(BE68+(Crescimento!#REF!-(BE68*0.64))/0.8)/1000</f>
        <v>#REF!</v>
      </c>
      <c r="BE69" s="17" t="e">
        <f>-53.07 + (304.89 * (BD69)) + (90.79 *Crescimento!#REF!) - (3.13 * Crescimento!#REF!*Crescimento!#REF!)</f>
        <v>#REF!</v>
      </c>
      <c r="BG69" s="16" t="e">
        <f>(BH68+(Crescimento!#REF!-(BH68*0.64))/0.8)/1000</f>
        <v>#REF!</v>
      </c>
      <c r="BH69" s="17" t="e">
        <f>-53.07 + (304.89 * (BG69)) + (90.79 *Crescimento!#REF!) - (3.13 * Crescimento!#REF!*Crescimento!#REF!)</f>
        <v>#REF!</v>
      </c>
      <c r="BJ69" s="16" t="e">
        <f>(BK68+(Crescimento!#REF!-(BK68*0.64))/0.8)/1000</f>
        <v>#REF!</v>
      </c>
      <c r="BK69" s="17" t="e">
        <f>-53.07 + (304.89 * (BJ69)) + (90.79 *Crescimento!#REF!) - (3.13 * Crescimento!#REF!*Crescimento!#REF!)</f>
        <v>#REF!</v>
      </c>
      <c r="BM69" s="16" t="e">
        <f>(BN68+(Crescimento!#REF!-(BN68*0.64))/0.8)/1000</f>
        <v>#REF!</v>
      </c>
      <c r="BN69" s="17" t="e">
        <f>-53.07 + (304.89 * (BM69)) + (90.79 *Crescimento!#REF!) - (3.13 * Crescimento!#REF!*Crescimento!#REF!)</f>
        <v>#REF!</v>
      </c>
      <c r="BP69" s="16" t="e">
        <f>(BQ68+(Crescimento!#REF!-(BQ68*0.64))/0.8)/1000</f>
        <v>#REF!</v>
      </c>
      <c r="BQ69" s="17" t="e">
        <f>-53.07 + (304.89 * (BP69)) + (90.79 *Crescimento!#REF!) - (3.13 * Crescimento!#REF!*Crescimento!#REF!)</f>
        <v>#REF!</v>
      </c>
      <c r="BS69" s="16" t="e">
        <f>(BT68+(Crescimento!#REF!-(BT68*0.64))/0.8)/1000</f>
        <v>#REF!</v>
      </c>
      <c r="BT69" s="17" t="e">
        <f>-53.07 + (304.89 * (BS69)) + (90.79 *Crescimento!#REF!) - (3.13 * Crescimento!#REF!*Crescimento!#REF!)</f>
        <v>#REF!</v>
      </c>
      <c r="BV69" s="16" t="e">
        <f>(BW68+(Crescimento!#REF!-(BW68*0.64))/0.8)/1000</f>
        <v>#REF!</v>
      </c>
      <c r="BW69" s="17" t="e">
        <f>-53.07 + (304.89 * (BV69)) + (90.79 *Crescimento!#REF!) - (3.13 * Crescimento!#REF!*Crescimento!#REF!)</f>
        <v>#REF!</v>
      </c>
      <c r="BY69" s="16" t="e">
        <f>(BZ68+(Crescimento!#REF!-(BZ68*0.64))/0.8)/1000</f>
        <v>#REF!</v>
      </c>
      <c r="BZ69" s="17" t="e">
        <f>-53.07 + (304.89 * (BY69)) + (90.79 *Crescimento!#REF!) - (3.13 * Crescimento!#REF!*Crescimento!#REF!)</f>
        <v>#REF!</v>
      </c>
      <c r="CB69" s="16" t="e">
        <f>(CC68+(Crescimento!#REF!-(CC68*0.64))/0.8)/1000</f>
        <v>#REF!</v>
      </c>
      <c r="CC69" s="17" t="e">
        <f>-53.07 + (304.89 * (CB69)) + (90.79 *Crescimento!#REF!) - (3.13 * Crescimento!#REF!*Crescimento!#REF!)</f>
        <v>#REF!</v>
      </c>
      <c r="CE69" s="16" t="e">
        <f>(CF68+(Crescimento!#REF!-(CF68*0.64))/0.8)/1000</f>
        <v>#REF!</v>
      </c>
      <c r="CF69" s="17" t="e">
        <f>-53.07 + (304.89 * (CE69)) + (90.79 *Crescimento!#REF!) - (3.13 * Crescimento!#REF!*Crescimento!#REF!)</f>
        <v>#REF!</v>
      </c>
      <c r="CH69" s="16" t="e">
        <f>(CI68+(Crescimento!#REF!-(CI68*0.64))/0.8)/1000</f>
        <v>#REF!</v>
      </c>
      <c r="CI69" s="17" t="e">
        <f>-53.07 + (304.89 * (CH69)) + (90.79 *Crescimento!#REF!) - (3.13 * Crescimento!#REF!*Crescimento!#REF!)</f>
        <v>#REF!</v>
      </c>
      <c r="CK69" s="16" t="e">
        <f>(CL68+(Crescimento!#REF!-(CL68*0.64))/0.8)/1000</f>
        <v>#REF!</v>
      </c>
      <c r="CL69" s="17" t="e">
        <f>-53.07 + (304.89 * (CK69)) + (90.79 *Crescimento!#REF!) - (3.13 * Crescimento!#REF!*Crescimento!#REF!)</f>
        <v>#REF!</v>
      </c>
    </row>
    <row r="70" spans="2:90" x14ac:dyDescent="0.25">
      <c r="B70" s="16">
        <f>(C69+('Vacas e Bezerros'!$O$29-(C69*0.64))/0.8)/1000</f>
        <v>1.1219974776113528</v>
      </c>
      <c r="C70" s="17">
        <f>-53.07 + (304.89 * (B70)) + (90.79 *'Vacas e Bezerros'!$O$23) - (3.13 * 'Vacas e Bezerros'!$O$23*'Vacas e Bezerros'!$O$23)</f>
        <v>715.77733851110622</v>
      </c>
      <c r="E70" s="16" t="e">
        <f>(F69+(Crescimento!#REF!-(F69*0.64))/0.8)/1000</f>
        <v>#REF!</v>
      </c>
      <c r="F70" s="17" t="e">
        <f>-53.07 + (304.89 * (E70)) + (90.79 *Crescimento!#REF!) - (3.13 * Crescimento!#REF!*Crescimento!#REF!)</f>
        <v>#REF!</v>
      </c>
      <c r="G70" s="1"/>
      <c r="H70" s="16" t="e">
        <f>(I69+(Crescimento!#REF!-(I69*0.64))/0.8)/1000</f>
        <v>#REF!</v>
      </c>
      <c r="I70" s="17" t="e">
        <f>-53.07 + (304.89 * (H70)) + (90.79 *Crescimento!#REF!) - (3.13 * Crescimento!#REF!*Crescimento!#REF!)</f>
        <v>#REF!</v>
      </c>
      <c r="K70" s="16" t="e">
        <f>(L69+(Crescimento!#REF!-(L69*0.64))/0.8)/1000</f>
        <v>#REF!</v>
      </c>
      <c r="L70" s="17" t="e">
        <f>-53.07 + (304.89 * (K70)) + (90.79 *Crescimento!#REF!) - (3.13 * Crescimento!#REF!*Crescimento!#REF!)</f>
        <v>#REF!</v>
      </c>
      <c r="N70" s="16" t="e">
        <f>(O69+(Crescimento!#REF!-(O69*0.64))/0.8)/1000</f>
        <v>#REF!</v>
      </c>
      <c r="O70" s="17" t="e">
        <f>-53.07 + (304.89 * (N70)) + (90.79 *Crescimento!#REF!) - (3.13 * Crescimento!#REF!*Crescimento!#REF!)</f>
        <v>#REF!</v>
      </c>
      <c r="Q70" s="16" t="e">
        <f>(R69+(Crescimento!#REF!-(R69*0.64))/0.8)/1000</f>
        <v>#REF!</v>
      </c>
      <c r="R70" s="17" t="e">
        <f>-53.07 + (304.89 * (Q70)) + (90.79 *Crescimento!#REF!) - (3.13 * Crescimento!#REF!*Crescimento!#REF!)</f>
        <v>#REF!</v>
      </c>
      <c r="T70" s="16" t="e">
        <f>(U69+(Crescimento!#REF!-(U69*0.64))/0.8)/1000</f>
        <v>#REF!</v>
      </c>
      <c r="U70" s="17" t="e">
        <f>-53.07 + (304.89 * (T70)) + (90.79 *Crescimento!#REF!) - (3.13 * Crescimento!#REF!*Crescimento!#REF!)</f>
        <v>#REF!</v>
      </c>
      <c r="W70" s="16" t="e">
        <f>(X69+(Crescimento!#REF!-(X69*0.64))/0.8)/1000</f>
        <v>#REF!</v>
      </c>
      <c r="X70" s="17" t="e">
        <f>-53.07 + (304.89 * (W70)) + (90.79 *Crescimento!#REF!) - (3.13 * Crescimento!#REF!*Crescimento!#REF!)</f>
        <v>#REF!</v>
      </c>
      <c r="Y70" s="6"/>
      <c r="Z70" s="16" t="e">
        <f>(AA69+(Crescimento!#REF!-(AA69*0.64))/0.8)/1000</f>
        <v>#REF!</v>
      </c>
      <c r="AA70" s="17" t="e">
        <f>-53.07 + (304.89 * (Z70)) + (90.79 *Crescimento!#REF!) - (3.13 * Crescimento!#REF!*Crescimento!#REF!)</f>
        <v>#REF!</v>
      </c>
      <c r="AB70" s="6"/>
      <c r="AC70" s="16" t="e">
        <f>(AD69+(Crescimento!#REF!-(AD69*0.64))/0.8)/1000</f>
        <v>#REF!</v>
      </c>
      <c r="AD70" s="17" t="e">
        <f>-53.07 + (304.89 * (AC70)) + (90.79 *Crescimento!#REF!) - (3.13 * Crescimento!#REF!*Crescimento!#REF!)</f>
        <v>#REF!</v>
      </c>
      <c r="AE70" s="17"/>
      <c r="AF70" s="16" t="e">
        <f>(AG69+(Crescimento!#REF!-(AG69*0.64))/0.8)/1000</f>
        <v>#REF!</v>
      </c>
      <c r="AG70" s="17" t="e">
        <f>-53.07 + (304.89 * (AF70)) + (90.79 *Crescimento!#REF!) - (3.13 * Crescimento!#REF!*Crescimento!#REF!)</f>
        <v>#REF!</v>
      </c>
      <c r="AI70" s="16" t="e">
        <f>(AJ69+(Crescimento!#REF!-(AJ69*0.64))/0.8)/1000</f>
        <v>#REF!</v>
      </c>
      <c r="AJ70" s="17" t="e">
        <f>-53.07 + (304.89 * (AI70)) + (90.79 *Crescimento!#REF!) - (3.13 * Crescimento!#REF!*Crescimento!#REF!)</f>
        <v>#REF!</v>
      </c>
      <c r="AL70" s="16" t="e">
        <f>(AM69+(Crescimento!#REF!-(AM69*0.64))/0.8)/1000</f>
        <v>#REF!</v>
      </c>
      <c r="AM70" s="17" t="e">
        <f>-53.07 + (304.89 * (AL70)) + (90.79 *Crescimento!#REF!) - (3.13 * Crescimento!#REF!*Crescimento!#REF!)</f>
        <v>#REF!</v>
      </c>
      <c r="AO70" s="16" t="e">
        <f>(AP69+(Crescimento!#REF!-(AP69*0.64))/0.8)/1000</f>
        <v>#REF!</v>
      </c>
      <c r="AP70" s="17" t="e">
        <f>-53.07 + (304.89 * (AO70)) + (90.79 *Crescimento!#REF!) - (3.13 * Crescimento!#REF!*Crescimento!#REF!)</f>
        <v>#REF!</v>
      </c>
      <c r="AR70" s="16" t="e">
        <f>(AS69+(Crescimento!#REF!-(AS69*0.64))/0.8)/1000</f>
        <v>#REF!</v>
      </c>
      <c r="AS70" s="17" t="e">
        <f>-53.07 + (304.89 * (AR70)) + (90.79 *Crescimento!#REF!) - (3.13 * Crescimento!#REF!*Crescimento!#REF!)</f>
        <v>#REF!</v>
      </c>
      <c r="AU70" s="16" t="e">
        <f>(AV69+(Crescimento!#REF!-(AV69*0.64))/0.8)/1000</f>
        <v>#REF!</v>
      </c>
      <c r="AV70" s="17" t="e">
        <f>-53.07 + (304.89 * (AU70)) + (90.79 *Crescimento!#REF!) - (3.13 * Crescimento!#REF!*Crescimento!#REF!)</f>
        <v>#REF!</v>
      </c>
      <c r="AX70" s="16" t="e">
        <f>(AY69+(Crescimento!#REF!-(AY69*0.64))/0.8)/1000</f>
        <v>#REF!</v>
      </c>
      <c r="AY70" s="17" t="e">
        <f>-53.07 + (304.89 * (AX70)) + (90.79 *Crescimento!#REF!) - (3.13 * Crescimento!#REF!*Crescimento!#REF!)</f>
        <v>#REF!</v>
      </c>
      <c r="BA70" s="16" t="e">
        <f>(BB69+(Crescimento!#REF!-(BB69*0.64))/0.8)/1000</f>
        <v>#REF!</v>
      </c>
      <c r="BB70" s="17" t="e">
        <f>-53.07 + (304.89 * (BA70)) + (90.79 *Crescimento!#REF!) - (3.13 * Crescimento!#REF!*Crescimento!#REF!)</f>
        <v>#REF!</v>
      </c>
      <c r="BD70" s="16" t="e">
        <f>(BE69+(Crescimento!#REF!-(BE69*0.64))/0.8)/1000</f>
        <v>#REF!</v>
      </c>
      <c r="BE70" s="17" t="e">
        <f>-53.07 + (304.89 * (BD70)) + (90.79 *Crescimento!#REF!) - (3.13 * Crescimento!#REF!*Crescimento!#REF!)</f>
        <v>#REF!</v>
      </c>
      <c r="BG70" s="16" t="e">
        <f>(BH69+(Crescimento!#REF!-(BH69*0.64))/0.8)/1000</f>
        <v>#REF!</v>
      </c>
      <c r="BH70" s="17" t="e">
        <f>-53.07 + (304.89 * (BG70)) + (90.79 *Crescimento!#REF!) - (3.13 * Crescimento!#REF!*Crescimento!#REF!)</f>
        <v>#REF!</v>
      </c>
      <c r="BJ70" s="16" t="e">
        <f>(BK69+(Crescimento!#REF!-(BK69*0.64))/0.8)/1000</f>
        <v>#REF!</v>
      </c>
      <c r="BK70" s="17" t="e">
        <f>-53.07 + (304.89 * (BJ70)) + (90.79 *Crescimento!#REF!) - (3.13 * Crescimento!#REF!*Crescimento!#REF!)</f>
        <v>#REF!</v>
      </c>
      <c r="BM70" s="16" t="e">
        <f>(BN69+(Crescimento!#REF!-(BN69*0.64))/0.8)/1000</f>
        <v>#REF!</v>
      </c>
      <c r="BN70" s="17" t="e">
        <f>-53.07 + (304.89 * (BM70)) + (90.79 *Crescimento!#REF!) - (3.13 * Crescimento!#REF!*Crescimento!#REF!)</f>
        <v>#REF!</v>
      </c>
      <c r="BP70" s="16" t="e">
        <f>(BQ69+(Crescimento!#REF!-(BQ69*0.64))/0.8)/1000</f>
        <v>#REF!</v>
      </c>
      <c r="BQ70" s="17" t="e">
        <f>-53.07 + (304.89 * (BP70)) + (90.79 *Crescimento!#REF!) - (3.13 * Crescimento!#REF!*Crescimento!#REF!)</f>
        <v>#REF!</v>
      </c>
      <c r="BS70" s="16" t="e">
        <f>(BT69+(Crescimento!#REF!-(BT69*0.64))/0.8)/1000</f>
        <v>#REF!</v>
      </c>
      <c r="BT70" s="17" t="e">
        <f>-53.07 + (304.89 * (BS70)) + (90.79 *Crescimento!#REF!) - (3.13 * Crescimento!#REF!*Crescimento!#REF!)</f>
        <v>#REF!</v>
      </c>
      <c r="BV70" s="16" t="e">
        <f>(BW69+(Crescimento!#REF!-(BW69*0.64))/0.8)/1000</f>
        <v>#REF!</v>
      </c>
      <c r="BW70" s="17" t="e">
        <f>-53.07 + (304.89 * (BV70)) + (90.79 *Crescimento!#REF!) - (3.13 * Crescimento!#REF!*Crescimento!#REF!)</f>
        <v>#REF!</v>
      </c>
      <c r="BY70" s="16" t="e">
        <f>(BZ69+(Crescimento!#REF!-(BZ69*0.64))/0.8)/1000</f>
        <v>#REF!</v>
      </c>
      <c r="BZ70" s="17" t="e">
        <f>-53.07 + (304.89 * (BY70)) + (90.79 *Crescimento!#REF!) - (3.13 * Crescimento!#REF!*Crescimento!#REF!)</f>
        <v>#REF!</v>
      </c>
      <c r="CB70" s="16" t="e">
        <f>(CC69+(Crescimento!#REF!-(CC69*0.64))/0.8)/1000</f>
        <v>#REF!</v>
      </c>
      <c r="CC70" s="17" t="e">
        <f>-53.07 + (304.89 * (CB70)) + (90.79 *Crescimento!#REF!) - (3.13 * Crescimento!#REF!*Crescimento!#REF!)</f>
        <v>#REF!</v>
      </c>
      <c r="CE70" s="16" t="e">
        <f>(CF69+(Crescimento!#REF!-(CF69*0.64))/0.8)/1000</f>
        <v>#REF!</v>
      </c>
      <c r="CF70" s="17" t="e">
        <f>-53.07 + (304.89 * (CE70)) + (90.79 *Crescimento!#REF!) - (3.13 * Crescimento!#REF!*Crescimento!#REF!)</f>
        <v>#REF!</v>
      </c>
      <c r="CH70" s="16" t="e">
        <f>(CI69+(Crescimento!#REF!-(CI69*0.64))/0.8)/1000</f>
        <v>#REF!</v>
      </c>
      <c r="CI70" s="17" t="e">
        <f>-53.07 + (304.89 * (CH70)) + (90.79 *Crescimento!#REF!) - (3.13 * Crescimento!#REF!*Crescimento!#REF!)</f>
        <v>#REF!</v>
      </c>
      <c r="CK70" s="16" t="e">
        <f>(CL69+(Crescimento!#REF!-(CL69*0.64))/0.8)/1000</f>
        <v>#REF!</v>
      </c>
      <c r="CL70" s="17" t="e">
        <f>-53.07 + (304.89 * (CK70)) + (90.79 *Crescimento!#REF!) - (3.13 * Crescimento!#REF!*Crescimento!#REF!)</f>
        <v>#REF!</v>
      </c>
    </row>
    <row r="71" spans="2:90" x14ac:dyDescent="0.25">
      <c r="B71" s="16">
        <f>(C70+('Vacas e Bezerros'!$O$29-(C70*0.64))/0.8)/1000</f>
        <v>1.1219974776113528</v>
      </c>
      <c r="C71" s="17">
        <f>-53.07 + (304.89 * (B71)) + (90.79 *'Vacas e Bezerros'!$O$23) - (3.13 * 'Vacas e Bezerros'!$O$23*'Vacas e Bezerros'!$O$23)</f>
        <v>715.77733851110622</v>
      </c>
      <c r="E71" s="16" t="e">
        <f>(F70+(Crescimento!#REF!-(F70*0.64))/0.8)/1000</f>
        <v>#REF!</v>
      </c>
      <c r="F71" s="17" t="e">
        <f>-53.07 + (304.89 * (E71)) + (90.79 *Crescimento!#REF!) - (3.13 * Crescimento!#REF!*Crescimento!#REF!)</f>
        <v>#REF!</v>
      </c>
      <c r="G71" s="1"/>
      <c r="H71" s="16" t="e">
        <f>(I70+(Crescimento!#REF!-(I70*0.64))/0.8)/1000</f>
        <v>#REF!</v>
      </c>
      <c r="I71" s="17" t="e">
        <f>-53.07 + (304.89 * (H71)) + (90.79 *Crescimento!#REF!) - (3.13 * Crescimento!#REF!*Crescimento!#REF!)</f>
        <v>#REF!</v>
      </c>
      <c r="K71" s="16" t="e">
        <f>(L70+(Crescimento!#REF!-(L70*0.64))/0.8)/1000</f>
        <v>#REF!</v>
      </c>
      <c r="L71" s="17" t="e">
        <f>-53.07 + (304.89 * (K71)) + (90.79 *Crescimento!#REF!) - (3.13 * Crescimento!#REF!*Crescimento!#REF!)</f>
        <v>#REF!</v>
      </c>
      <c r="N71" s="16" t="e">
        <f>(O70+(Crescimento!#REF!-(O70*0.64))/0.8)/1000</f>
        <v>#REF!</v>
      </c>
      <c r="O71" s="17" t="e">
        <f>-53.07 + (304.89 * (N71)) + (90.79 *Crescimento!#REF!) - (3.13 * Crescimento!#REF!*Crescimento!#REF!)</f>
        <v>#REF!</v>
      </c>
      <c r="Q71" s="16" t="e">
        <f>(R70+(Crescimento!#REF!-(R70*0.64))/0.8)/1000</f>
        <v>#REF!</v>
      </c>
      <c r="R71" s="17" t="e">
        <f>-53.07 + (304.89 * (Q71)) + (90.79 *Crescimento!#REF!) - (3.13 * Crescimento!#REF!*Crescimento!#REF!)</f>
        <v>#REF!</v>
      </c>
      <c r="T71" s="16" t="e">
        <f>(U70+(Crescimento!#REF!-(U70*0.64))/0.8)/1000</f>
        <v>#REF!</v>
      </c>
      <c r="U71" s="17" t="e">
        <f>-53.07 + (304.89 * (T71)) + (90.79 *Crescimento!#REF!) - (3.13 * Crescimento!#REF!*Crescimento!#REF!)</f>
        <v>#REF!</v>
      </c>
      <c r="W71" s="16" t="e">
        <f>(X70+(Crescimento!#REF!-(X70*0.64))/0.8)/1000</f>
        <v>#REF!</v>
      </c>
      <c r="X71" s="17" t="e">
        <f>-53.07 + (304.89 * (W71)) + (90.79 *Crescimento!#REF!) - (3.13 * Crescimento!#REF!*Crescimento!#REF!)</f>
        <v>#REF!</v>
      </c>
      <c r="Y71" s="6"/>
      <c r="Z71" s="16" t="e">
        <f>(AA70+(Crescimento!#REF!-(AA70*0.64))/0.8)/1000</f>
        <v>#REF!</v>
      </c>
      <c r="AA71" s="17" t="e">
        <f>-53.07 + (304.89 * (Z71)) + (90.79 *Crescimento!#REF!) - (3.13 * Crescimento!#REF!*Crescimento!#REF!)</f>
        <v>#REF!</v>
      </c>
      <c r="AB71" s="6"/>
      <c r="AC71" s="16" t="e">
        <f>(AD70+(Crescimento!#REF!-(AD70*0.64))/0.8)/1000</f>
        <v>#REF!</v>
      </c>
      <c r="AD71" s="17" t="e">
        <f>-53.07 + (304.89 * (AC71)) + (90.79 *Crescimento!#REF!) - (3.13 * Crescimento!#REF!*Crescimento!#REF!)</f>
        <v>#REF!</v>
      </c>
      <c r="AE71" s="17"/>
      <c r="AF71" s="16" t="e">
        <f>(AG70+(Crescimento!#REF!-(AG70*0.64))/0.8)/1000</f>
        <v>#REF!</v>
      </c>
      <c r="AG71" s="17" t="e">
        <f>-53.07 + (304.89 * (AF71)) + (90.79 *Crescimento!#REF!) - (3.13 * Crescimento!#REF!*Crescimento!#REF!)</f>
        <v>#REF!</v>
      </c>
      <c r="AI71" s="16" t="e">
        <f>(AJ70+(Crescimento!#REF!-(AJ70*0.64))/0.8)/1000</f>
        <v>#REF!</v>
      </c>
      <c r="AJ71" s="17" t="e">
        <f>-53.07 + (304.89 * (AI71)) + (90.79 *Crescimento!#REF!) - (3.13 * Crescimento!#REF!*Crescimento!#REF!)</f>
        <v>#REF!</v>
      </c>
      <c r="AL71" s="16" t="e">
        <f>(AM70+(Crescimento!#REF!-(AM70*0.64))/0.8)/1000</f>
        <v>#REF!</v>
      </c>
      <c r="AM71" s="17" t="e">
        <f>-53.07 + (304.89 * (AL71)) + (90.79 *Crescimento!#REF!) - (3.13 * Crescimento!#REF!*Crescimento!#REF!)</f>
        <v>#REF!</v>
      </c>
      <c r="AO71" s="16" t="e">
        <f>(AP70+(Crescimento!#REF!-(AP70*0.64))/0.8)/1000</f>
        <v>#REF!</v>
      </c>
      <c r="AP71" s="17" t="e">
        <f>-53.07 + (304.89 * (AO71)) + (90.79 *Crescimento!#REF!) - (3.13 * Crescimento!#REF!*Crescimento!#REF!)</f>
        <v>#REF!</v>
      </c>
      <c r="AR71" s="16" t="e">
        <f>(AS70+(Crescimento!#REF!-(AS70*0.64))/0.8)/1000</f>
        <v>#REF!</v>
      </c>
      <c r="AS71" s="17" t="e">
        <f>-53.07 + (304.89 * (AR71)) + (90.79 *Crescimento!#REF!) - (3.13 * Crescimento!#REF!*Crescimento!#REF!)</f>
        <v>#REF!</v>
      </c>
      <c r="AU71" s="16" t="e">
        <f>(AV70+(Crescimento!#REF!-(AV70*0.64))/0.8)/1000</f>
        <v>#REF!</v>
      </c>
      <c r="AV71" s="17" t="e">
        <f>-53.07 + (304.89 * (AU71)) + (90.79 *Crescimento!#REF!) - (3.13 * Crescimento!#REF!*Crescimento!#REF!)</f>
        <v>#REF!</v>
      </c>
      <c r="AX71" s="16" t="e">
        <f>(AY70+(Crescimento!#REF!-(AY70*0.64))/0.8)/1000</f>
        <v>#REF!</v>
      </c>
      <c r="AY71" s="17" t="e">
        <f>-53.07 + (304.89 * (AX71)) + (90.79 *Crescimento!#REF!) - (3.13 * Crescimento!#REF!*Crescimento!#REF!)</f>
        <v>#REF!</v>
      </c>
      <c r="BA71" s="16" t="e">
        <f>(BB70+(Crescimento!#REF!-(BB70*0.64))/0.8)/1000</f>
        <v>#REF!</v>
      </c>
      <c r="BB71" s="17" t="e">
        <f>-53.07 + (304.89 * (BA71)) + (90.79 *Crescimento!#REF!) - (3.13 * Crescimento!#REF!*Crescimento!#REF!)</f>
        <v>#REF!</v>
      </c>
      <c r="BD71" s="16" t="e">
        <f>(BE70+(Crescimento!#REF!-(BE70*0.64))/0.8)/1000</f>
        <v>#REF!</v>
      </c>
      <c r="BE71" s="17" t="e">
        <f>-53.07 + (304.89 * (BD71)) + (90.79 *Crescimento!#REF!) - (3.13 * Crescimento!#REF!*Crescimento!#REF!)</f>
        <v>#REF!</v>
      </c>
      <c r="BG71" s="16" t="e">
        <f>(BH70+(Crescimento!#REF!-(BH70*0.64))/0.8)/1000</f>
        <v>#REF!</v>
      </c>
      <c r="BH71" s="17" t="e">
        <f>-53.07 + (304.89 * (BG71)) + (90.79 *Crescimento!#REF!) - (3.13 * Crescimento!#REF!*Crescimento!#REF!)</f>
        <v>#REF!</v>
      </c>
      <c r="BJ71" s="16" t="e">
        <f>(BK70+(Crescimento!#REF!-(BK70*0.64))/0.8)/1000</f>
        <v>#REF!</v>
      </c>
      <c r="BK71" s="17" t="e">
        <f>-53.07 + (304.89 * (BJ71)) + (90.79 *Crescimento!#REF!) - (3.13 * Crescimento!#REF!*Crescimento!#REF!)</f>
        <v>#REF!</v>
      </c>
      <c r="BM71" s="16" t="e">
        <f>(BN70+(Crescimento!#REF!-(BN70*0.64))/0.8)/1000</f>
        <v>#REF!</v>
      </c>
      <c r="BN71" s="17" t="e">
        <f>-53.07 + (304.89 * (BM71)) + (90.79 *Crescimento!#REF!) - (3.13 * Crescimento!#REF!*Crescimento!#REF!)</f>
        <v>#REF!</v>
      </c>
      <c r="BP71" s="16" t="e">
        <f>(BQ70+(Crescimento!#REF!-(BQ70*0.64))/0.8)/1000</f>
        <v>#REF!</v>
      </c>
      <c r="BQ71" s="17" t="e">
        <f>-53.07 + (304.89 * (BP71)) + (90.79 *Crescimento!#REF!) - (3.13 * Crescimento!#REF!*Crescimento!#REF!)</f>
        <v>#REF!</v>
      </c>
      <c r="BS71" s="16" t="e">
        <f>(BT70+(Crescimento!#REF!-(BT70*0.64))/0.8)/1000</f>
        <v>#REF!</v>
      </c>
      <c r="BT71" s="17" t="e">
        <f>-53.07 + (304.89 * (BS71)) + (90.79 *Crescimento!#REF!) - (3.13 * Crescimento!#REF!*Crescimento!#REF!)</f>
        <v>#REF!</v>
      </c>
      <c r="BV71" s="16" t="e">
        <f>(BW70+(Crescimento!#REF!-(BW70*0.64))/0.8)/1000</f>
        <v>#REF!</v>
      </c>
      <c r="BW71" s="17" t="e">
        <f>-53.07 + (304.89 * (BV71)) + (90.79 *Crescimento!#REF!) - (3.13 * Crescimento!#REF!*Crescimento!#REF!)</f>
        <v>#REF!</v>
      </c>
      <c r="BY71" s="16" t="e">
        <f>(BZ70+(Crescimento!#REF!-(BZ70*0.64))/0.8)/1000</f>
        <v>#REF!</v>
      </c>
      <c r="BZ71" s="17" t="e">
        <f>-53.07 + (304.89 * (BY71)) + (90.79 *Crescimento!#REF!) - (3.13 * Crescimento!#REF!*Crescimento!#REF!)</f>
        <v>#REF!</v>
      </c>
      <c r="CB71" s="16" t="e">
        <f>(CC70+(Crescimento!#REF!-(CC70*0.64))/0.8)/1000</f>
        <v>#REF!</v>
      </c>
      <c r="CC71" s="17" t="e">
        <f>-53.07 + (304.89 * (CB71)) + (90.79 *Crescimento!#REF!) - (3.13 * Crescimento!#REF!*Crescimento!#REF!)</f>
        <v>#REF!</v>
      </c>
      <c r="CE71" s="16" t="e">
        <f>(CF70+(Crescimento!#REF!-(CF70*0.64))/0.8)/1000</f>
        <v>#REF!</v>
      </c>
      <c r="CF71" s="17" t="e">
        <f>-53.07 + (304.89 * (CE71)) + (90.79 *Crescimento!#REF!) - (3.13 * Crescimento!#REF!*Crescimento!#REF!)</f>
        <v>#REF!</v>
      </c>
      <c r="CH71" s="16" t="e">
        <f>(CI70+(Crescimento!#REF!-(CI70*0.64))/0.8)/1000</f>
        <v>#REF!</v>
      </c>
      <c r="CI71" s="17" t="e">
        <f>-53.07 + (304.89 * (CH71)) + (90.79 *Crescimento!#REF!) - (3.13 * Crescimento!#REF!*Crescimento!#REF!)</f>
        <v>#REF!</v>
      </c>
      <c r="CK71" s="16" t="e">
        <f>(CL70+(Crescimento!#REF!-(CL70*0.64))/0.8)/1000</f>
        <v>#REF!</v>
      </c>
      <c r="CL71" s="17" t="e">
        <f>-53.07 + (304.89 * (CK71)) + (90.79 *Crescimento!#REF!) - (3.13 * Crescimento!#REF!*Crescimento!#REF!)</f>
        <v>#REF!</v>
      </c>
    </row>
    <row r="72" spans="2:90" x14ac:dyDescent="0.25">
      <c r="B72" s="16">
        <f>(C71+('Vacas e Bezerros'!$O$29-(C71*0.64))/0.8)/1000</f>
        <v>1.1219974776113528</v>
      </c>
      <c r="C72" s="17">
        <f>-53.07 + (304.89 * (B72)) + (90.79 *'Vacas e Bezerros'!$O$23) - (3.13 * 'Vacas e Bezerros'!$O$23*'Vacas e Bezerros'!$O$23)</f>
        <v>715.77733851110622</v>
      </c>
      <c r="E72" s="16" t="e">
        <f>(F71+(Crescimento!#REF!-(F71*0.64))/0.8)/1000</f>
        <v>#REF!</v>
      </c>
      <c r="F72" s="17" t="e">
        <f>-53.07 + (304.89 * (E72)) + (90.79 *Crescimento!#REF!) - (3.13 * Crescimento!#REF!*Crescimento!#REF!)</f>
        <v>#REF!</v>
      </c>
      <c r="G72" s="1"/>
      <c r="H72" s="16" t="e">
        <f>(I71+(Crescimento!#REF!-(I71*0.64))/0.8)/1000</f>
        <v>#REF!</v>
      </c>
      <c r="I72" s="17" t="e">
        <f>-53.07 + (304.89 * (H72)) + (90.79 *Crescimento!#REF!) - (3.13 * Crescimento!#REF!*Crescimento!#REF!)</f>
        <v>#REF!</v>
      </c>
      <c r="K72" s="16" t="e">
        <f>(L71+(Crescimento!#REF!-(L71*0.64))/0.8)/1000</f>
        <v>#REF!</v>
      </c>
      <c r="L72" s="17" t="e">
        <f>-53.07 + (304.89 * (K72)) + (90.79 *Crescimento!#REF!) - (3.13 * Crescimento!#REF!*Crescimento!#REF!)</f>
        <v>#REF!</v>
      </c>
      <c r="N72" s="16" t="e">
        <f>(O71+(Crescimento!#REF!-(O71*0.64))/0.8)/1000</f>
        <v>#REF!</v>
      </c>
      <c r="O72" s="17" t="e">
        <f>-53.07 + (304.89 * (N72)) + (90.79 *Crescimento!#REF!) - (3.13 * Crescimento!#REF!*Crescimento!#REF!)</f>
        <v>#REF!</v>
      </c>
      <c r="Q72" s="16" t="e">
        <f>(R71+(Crescimento!#REF!-(R71*0.64))/0.8)/1000</f>
        <v>#REF!</v>
      </c>
      <c r="R72" s="17" t="e">
        <f>-53.07 + (304.89 * (Q72)) + (90.79 *Crescimento!#REF!) - (3.13 * Crescimento!#REF!*Crescimento!#REF!)</f>
        <v>#REF!</v>
      </c>
      <c r="T72" s="16" t="e">
        <f>(U71+(Crescimento!#REF!-(U71*0.64))/0.8)/1000</f>
        <v>#REF!</v>
      </c>
      <c r="U72" s="17" t="e">
        <f>-53.07 + (304.89 * (T72)) + (90.79 *Crescimento!#REF!) - (3.13 * Crescimento!#REF!*Crescimento!#REF!)</f>
        <v>#REF!</v>
      </c>
      <c r="W72" s="16" t="e">
        <f>(X71+(Crescimento!#REF!-(X71*0.64))/0.8)/1000</f>
        <v>#REF!</v>
      </c>
      <c r="X72" s="17" t="e">
        <f>-53.07 + (304.89 * (W72)) + (90.79 *Crescimento!#REF!) - (3.13 * Crescimento!#REF!*Crescimento!#REF!)</f>
        <v>#REF!</v>
      </c>
      <c r="Y72" s="6"/>
      <c r="Z72" s="16" t="e">
        <f>(AA71+(Crescimento!#REF!-(AA71*0.64))/0.8)/1000</f>
        <v>#REF!</v>
      </c>
      <c r="AA72" s="17" t="e">
        <f>-53.07 + (304.89 * (Z72)) + (90.79 *Crescimento!#REF!) - (3.13 * Crescimento!#REF!*Crescimento!#REF!)</f>
        <v>#REF!</v>
      </c>
      <c r="AB72" s="6"/>
      <c r="AC72" s="16" t="e">
        <f>(AD71+(Crescimento!#REF!-(AD71*0.64))/0.8)/1000</f>
        <v>#REF!</v>
      </c>
      <c r="AD72" s="17" t="e">
        <f>-53.07 + (304.89 * (AC72)) + (90.79 *Crescimento!#REF!) - (3.13 * Crescimento!#REF!*Crescimento!#REF!)</f>
        <v>#REF!</v>
      </c>
      <c r="AE72" s="17"/>
      <c r="AF72" s="16" t="e">
        <f>(AG71+(Crescimento!#REF!-(AG71*0.64))/0.8)/1000</f>
        <v>#REF!</v>
      </c>
      <c r="AG72" s="17" t="e">
        <f>-53.07 + (304.89 * (AF72)) + (90.79 *Crescimento!#REF!) - (3.13 * Crescimento!#REF!*Crescimento!#REF!)</f>
        <v>#REF!</v>
      </c>
      <c r="AI72" s="16" t="e">
        <f>(AJ71+(Crescimento!#REF!-(AJ71*0.64))/0.8)/1000</f>
        <v>#REF!</v>
      </c>
      <c r="AJ72" s="17" t="e">
        <f>-53.07 + (304.89 * (AI72)) + (90.79 *Crescimento!#REF!) - (3.13 * Crescimento!#REF!*Crescimento!#REF!)</f>
        <v>#REF!</v>
      </c>
      <c r="AL72" s="16" t="e">
        <f>(AM71+(Crescimento!#REF!-(AM71*0.64))/0.8)/1000</f>
        <v>#REF!</v>
      </c>
      <c r="AM72" s="17" t="e">
        <f>-53.07 + (304.89 * (AL72)) + (90.79 *Crescimento!#REF!) - (3.13 * Crescimento!#REF!*Crescimento!#REF!)</f>
        <v>#REF!</v>
      </c>
      <c r="AO72" s="16" t="e">
        <f>(AP71+(Crescimento!#REF!-(AP71*0.64))/0.8)/1000</f>
        <v>#REF!</v>
      </c>
      <c r="AP72" s="17" t="e">
        <f>-53.07 + (304.89 * (AO72)) + (90.79 *Crescimento!#REF!) - (3.13 * Crescimento!#REF!*Crescimento!#REF!)</f>
        <v>#REF!</v>
      </c>
      <c r="AR72" s="16" t="e">
        <f>(AS71+(Crescimento!#REF!-(AS71*0.64))/0.8)/1000</f>
        <v>#REF!</v>
      </c>
      <c r="AS72" s="17" t="e">
        <f>-53.07 + (304.89 * (AR72)) + (90.79 *Crescimento!#REF!) - (3.13 * Crescimento!#REF!*Crescimento!#REF!)</f>
        <v>#REF!</v>
      </c>
      <c r="AU72" s="16" t="e">
        <f>(AV71+(Crescimento!#REF!-(AV71*0.64))/0.8)/1000</f>
        <v>#REF!</v>
      </c>
      <c r="AV72" s="17" t="e">
        <f>-53.07 + (304.89 * (AU72)) + (90.79 *Crescimento!#REF!) - (3.13 * Crescimento!#REF!*Crescimento!#REF!)</f>
        <v>#REF!</v>
      </c>
      <c r="AX72" s="16" t="e">
        <f>(AY71+(Crescimento!#REF!-(AY71*0.64))/0.8)/1000</f>
        <v>#REF!</v>
      </c>
      <c r="AY72" s="17" t="e">
        <f>-53.07 + (304.89 * (AX72)) + (90.79 *Crescimento!#REF!) - (3.13 * Crescimento!#REF!*Crescimento!#REF!)</f>
        <v>#REF!</v>
      </c>
      <c r="BA72" s="16" t="e">
        <f>(BB71+(Crescimento!#REF!-(BB71*0.64))/0.8)/1000</f>
        <v>#REF!</v>
      </c>
      <c r="BB72" s="17" t="e">
        <f>-53.07 + (304.89 * (BA72)) + (90.79 *Crescimento!#REF!) - (3.13 * Crescimento!#REF!*Crescimento!#REF!)</f>
        <v>#REF!</v>
      </c>
      <c r="BD72" s="16" t="e">
        <f>(BE71+(Crescimento!#REF!-(BE71*0.64))/0.8)/1000</f>
        <v>#REF!</v>
      </c>
      <c r="BE72" s="17" t="e">
        <f>-53.07 + (304.89 * (BD72)) + (90.79 *Crescimento!#REF!) - (3.13 * Crescimento!#REF!*Crescimento!#REF!)</f>
        <v>#REF!</v>
      </c>
      <c r="BG72" s="16" t="e">
        <f>(BH71+(Crescimento!#REF!-(BH71*0.64))/0.8)/1000</f>
        <v>#REF!</v>
      </c>
      <c r="BH72" s="17" t="e">
        <f>-53.07 + (304.89 * (BG72)) + (90.79 *Crescimento!#REF!) - (3.13 * Crescimento!#REF!*Crescimento!#REF!)</f>
        <v>#REF!</v>
      </c>
      <c r="BJ72" s="16" t="e">
        <f>(BK71+(Crescimento!#REF!-(BK71*0.64))/0.8)/1000</f>
        <v>#REF!</v>
      </c>
      <c r="BK72" s="17" t="e">
        <f>-53.07 + (304.89 * (BJ72)) + (90.79 *Crescimento!#REF!) - (3.13 * Crescimento!#REF!*Crescimento!#REF!)</f>
        <v>#REF!</v>
      </c>
      <c r="BM72" s="16" t="e">
        <f>(BN71+(Crescimento!#REF!-(BN71*0.64))/0.8)/1000</f>
        <v>#REF!</v>
      </c>
      <c r="BN72" s="17" t="e">
        <f>-53.07 + (304.89 * (BM72)) + (90.79 *Crescimento!#REF!) - (3.13 * Crescimento!#REF!*Crescimento!#REF!)</f>
        <v>#REF!</v>
      </c>
      <c r="BP72" s="16" t="e">
        <f>(BQ71+(Crescimento!#REF!-(BQ71*0.64))/0.8)/1000</f>
        <v>#REF!</v>
      </c>
      <c r="BQ72" s="17" t="e">
        <f>-53.07 + (304.89 * (BP72)) + (90.79 *Crescimento!#REF!) - (3.13 * Crescimento!#REF!*Crescimento!#REF!)</f>
        <v>#REF!</v>
      </c>
      <c r="BS72" s="16" t="e">
        <f>(BT71+(Crescimento!#REF!-(BT71*0.64))/0.8)/1000</f>
        <v>#REF!</v>
      </c>
      <c r="BT72" s="17" t="e">
        <f>-53.07 + (304.89 * (BS72)) + (90.79 *Crescimento!#REF!) - (3.13 * Crescimento!#REF!*Crescimento!#REF!)</f>
        <v>#REF!</v>
      </c>
      <c r="BV72" s="16" t="e">
        <f>(BW71+(Crescimento!#REF!-(BW71*0.64))/0.8)/1000</f>
        <v>#REF!</v>
      </c>
      <c r="BW72" s="17" t="e">
        <f>-53.07 + (304.89 * (BV72)) + (90.79 *Crescimento!#REF!) - (3.13 * Crescimento!#REF!*Crescimento!#REF!)</f>
        <v>#REF!</v>
      </c>
      <c r="BY72" s="16" t="e">
        <f>(BZ71+(Crescimento!#REF!-(BZ71*0.64))/0.8)/1000</f>
        <v>#REF!</v>
      </c>
      <c r="BZ72" s="17" t="e">
        <f>-53.07 + (304.89 * (BY72)) + (90.79 *Crescimento!#REF!) - (3.13 * Crescimento!#REF!*Crescimento!#REF!)</f>
        <v>#REF!</v>
      </c>
      <c r="CB72" s="16" t="e">
        <f>(CC71+(Crescimento!#REF!-(CC71*0.64))/0.8)/1000</f>
        <v>#REF!</v>
      </c>
      <c r="CC72" s="17" t="e">
        <f>-53.07 + (304.89 * (CB72)) + (90.79 *Crescimento!#REF!) - (3.13 * Crescimento!#REF!*Crescimento!#REF!)</f>
        <v>#REF!</v>
      </c>
      <c r="CE72" s="16" t="e">
        <f>(CF71+(Crescimento!#REF!-(CF71*0.64))/0.8)/1000</f>
        <v>#REF!</v>
      </c>
      <c r="CF72" s="17" t="e">
        <f>-53.07 + (304.89 * (CE72)) + (90.79 *Crescimento!#REF!) - (3.13 * Crescimento!#REF!*Crescimento!#REF!)</f>
        <v>#REF!</v>
      </c>
      <c r="CH72" s="16" t="e">
        <f>(CI71+(Crescimento!#REF!-(CI71*0.64))/0.8)/1000</f>
        <v>#REF!</v>
      </c>
      <c r="CI72" s="17" t="e">
        <f>-53.07 + (304.89 * (CH72)) + (90.79 *Crescimento!#REF!) - (3.13 * Crescimento!#REF!*Crescimento!#REF!)</f>
        <v>#REF!</v>
      </c>
      <c r="CK72" s="16" t="e">
        <f>(CL71+(Crescimento!#REF!-(CL71*0.64))/0.8)/1000</f>
        <v>#REF!</v>
      </c>
      <c r="CL72" s="17" t="e">
        <f>-53.07 + (304.89 * (CK72)) + (90.79 *Crescimento!#REF!) - (3.13 * Crescimento!#REF!*Crescimento!#REF!)</f>
        <v>#REF!</v>
      </c>
    </row>
    <row r="73" spans="2:90" x14ac:dyDescent="0.25">
      <c r="B73" s="16">
        <f>(C72+('Vacas e Bezerros'!$O$29-(C72*0.64))/0.8)/1000</f>
        <v>1.1219974776113528</v>
      </c>
      <c r="C73" s="17">
        <f>-53.07 + (304.89 * (B73)) + (90.79 *'Vacas e Bezerros'!$O$23) - (3.13 * 'Vacas e Bezerros'!$O$23*'Vacas e Bezerros'!$O$23)</f>
        <v>715.77733851110622</v>
      </c>
      <c r="E73" s="16" t="e">
        <f>(F72+(Crescimento!#REF!-(F72*0.64))/0.8)/1000</f>
        <v>#REF!</v>
      </c>
      <c r="F73" s="17" t="e">
        <f>-53.07 + (304.89 * (E73)) + (90.79 *Crescimento!#REF!) - (3.13 * Crescimento!#REF!*Crescimento!#REF!)</f>
        <v>#REF!</v>
      </c>
      <c r="G73" s="1"/>
      <c r="H73" s="16" t="e">
        <f>(I72+(Crescimento!#REF!-(I72*0.64))/0.8)/1000</f>
        <v>#REF!</v>
      </c>
      <c r="I73" s="17" t="e">
        <f>-53.07 + (304.89 * (H73)) + (90.79 *Crescimento!#REF!) - (3.13 * Crescimento!#REF!*Crescimento!#REF!)</f>
        <v>#REF!</v>
      </c>
      <c r="K73" s="16" t="e">
        <f>(L72+(Crescimento!#REF!-(L72*0.64))/0.8)/1000</f>
        <v>#REF!</v>
      </c>
      <c r="L73" s="17" t="e">
        <f>-53.07 + (304.89 * (K73)) + (90.79 *Crescimento!#REF!) - (3.13 * Crescimento!#REF!*Crescimento!#REF!)</f>
        <v>#REF!</v>
      </c>
      <c r="N73" s="16" t="e">
        <f>(O72+(Crescimento!#REF!-(O72*0.64))/0.8)/1000</f>
        <v>#REF!</v>
      </c>
      <c r="O73" s="17" t="e">
        <f>-53.07 + (304.89 * (N73)) + (90.79 *Crescimento!#REF!) - (3.13 * Crescimento!#REF!*Crescimento!#REF!)</f>
        <v>#REF!</v>
      </c>
      <c r="Q73" s="16" t="e">
        <f>(R72+(Crescimento!#REF!-(R72*0.64))/0.8)/1000</f>
        <v>#REF!</v>
      </c>
      <c r="R73" s="17" t="e">
        <f>-53.07 + (304.89 * (Q73)) + (90.79 *Crescimento!#REF!) - (3.13 * Crescimento!#REF!*Crescimento!#REF!)</f>
        <v>#REF!</v>
      </c>
      <c r="T73" s="16" t="e">
        <f>(U72+(Crescimento!#REF!-(U72*0.64))/0.8)/1000</f>
        <v>#REF!</v>
      </c>
      <c r="U73" s="17" t="e">
        <f>-53.07 + (304.89 * (T73)) + (90.79 *Crescimento!#REF!) - (3.13 * Crescimento!#REF!*Crescimento!#REF!)</f>
        <v>#REF!</v>
      </c>
      <c r="W73" s="16" t="e">
        <f>(X72+(Crescimento!#REF!-(X72*0.64))/0.8)/1000</f>
        <v>#REF!</v>
      </c>
      <c r="X73" s="17" t="e">
        <f>-53.07 + (304.89 * (W73)) + (90.79 *Crescimento!#REF!) - (3.13 * Crescimento!#REF!*Crescimento!#REF!)</f>
        <v>#REF!</v>
      </c>
      <c r="Y73" s="6"/>
      <c r="Z73" s="16" t="e">
        <f>(AA72+(Crescimento!#REF!-(AA72*0.64))/0.8)/1000</f>
        <v>#REF!</v>
      </c>
      <c r="AA73" s="17" t="e">
        <f>-53.07 + (304.89 * (Z73)) + (90.79 *Crescimento!#REF!) - (3.13 * Crescimento!#REF!*Crescimento!#REF!)</f>
        <v>#REF!</v>
      </c>
      <c r="AB73" s="6"/>
      <c r="AC73" s="16" t="e">
        <f>(AD72+(Crescimento!#REF!-(AD72*0.64))/0.8)/1000</f>
        <v>#REF!</v>
      </c>
      <c r="AD73" s="17" t="e">
        <f>-53.07 + (304.89 * (AC73)) + (90.79 *Crescimento!#REF!) - (3.13 * Crescimento!#REF!*Crescimento!#REF!)</f>
        <v>#REF!</v>
      </c>
      <c r="AE73" s="17"/>
      <c r="AF73" s="16" t="e">
        <f>(AG72+(Crescimento!#REF!-(AG72*0.64))/0.8)/1000</f>
        <v>#REF!</v>
      </c>
      <c r="AG73" s="17" t="e">
        <f>-53.07 + (304.89 * (AF73)) + (90.79 *Crescimento!#REF!) - (3.13 * Crescimento!#REF!*Crescimento!#REF!)</f>
        <v>#REF!</v>
      </c>
      <c r="AI73" s="16" t="e">
        <f>(AJ72+(Crescimento!#REF!-(AJ72*0.64))/0.8)/1000</f>
        <v>#REF!</v>
      </c>
      <c r="AJ73" s="17" t="e">
        <f>-53.07 + (304.89 * (AI73)) + (90.79 *Crescimento!#REF!) - (3.13 * Crescimento!#REF!*Crescimento!#REF!)</f>
        <v>#REF!</v>
      </c>
      <c r="AL73" s="16" t="e">
        <f>(AM72+(Crescimento!#REF!-(AM72*0.64))/0.8)/1000</f>
        <v>#REF!</v>
      </c>
      <c r="AM73" s="17" t="e">
        <f>-53.07 + (304.89 * (AL73)) + (90.79 *Crescimento!#REF!) - (3.13 * Crescimento!#REF!*Crescimento!#REF!)</f>
        <v>#REF!</v>
      </c>
      <c r="AO73" s="16" t="e">
        <f>(AP72+(Crescimento!#REF!-(AP72*0.64))/0.8)/1000</f>
        <v>#REF!</v>
      </c>
      <c r="AP73" s="17" t="e">
        <f>-53.07 + (304.89 * (AO73)) + (90.79 *Crescimento!#REF!) - (3.13 * Crescimento!#REF!*Crescimento!#REF!)</f>
        <v>#REF!</v>
      </c>
      <c r="AR73" s="16" t="e">
        <f>(AS72+(Crescimento!#REF!-(AS72*0.64))/0.8)/1000</f>
        <v>#REF!</v>
      </c>
      <c r="AS73" s="17" t="e">
        <f>-53.07 + (304.89 * (AR73)) + (90.79 *Crescimento!#REF!) - (3.13 * Crescimento!#REF!*Crescimento!#REF!)</f>
        <v>#REF!</v>
      </c>
      <c r="AU73" s="16" t="e">
        <f>(AV72+(Crescimento!#REF!-(AV72*0.64))/0.8)/1000</f>
        <v>#REF!</v>
      </c>
      <c r="AV73" s="17" t="e">
        <f>-53.07 + (304.89 * (AU73)) + (90.79 *Crescimento!#REF!) - (3.13 * Crescimento!#REF!*Crescimento!#REF!)</f>
        <v>#REF!</v>
      </c>
      <c r="AX73" s="16" t="e">
        <f>(AY72+(Crescimento!#REF!-(AY72*0.64))/0.8)/1000</f>
        <v>#REF!</v>
      </c>
      <c r="AY73" s="17" t="e">
        <f>-53.07 + (304.89 * (AX73)) + (90.79 *Crescimento!#REF!) - (3.13 * Crescimento!#REF!*Crescimento!#REF!)</f>
        <v>#REF!</v>
      </c>
      <c r="BA73" s="16" t="e">
        <f>(BB72+(Crescimento!#REF!-(BB72*0.64))/0.8)/1000</f>
        <v>#REF!</v>
      </c>
      <c r="BB73" s="17" t="e">
        <f>-53.07 + (304.89 * (BA73)) + (90.79 *Crescimento!#REF!) - (3.13 * Crescimento!#REF!*Crescimento!#REF!)</f>
        <v>#REF!</v>
      </c>
      <c r="BD73" s="16" t="e">
        <f>(BE72+(Crescimento!#REF!-(BE72*0.64))/0.8)/1000</f>
        <v>#REF!</v>
      </c>
      <c r="BE73" s="17" t="e">
        <f>-53.07 + (304.89 * (BD73)) + (90.79 *Crescimento!#REF!) - (3.13 * Crescimento!#REF!*Crescimento!#REF!)</f>
        <v>#REF!</v>
      </c>
      <c r="BG73" s="16" t="e">
        <f>(BH72+(Crescimento!#REF!-(BH72*0.64))/0.8)/1000</f>
        <v>#REF!</v>
      </c>
      <c r="BH73" s="17" t="e">
        <f>-53.07 + (304.89 * (BG73)) + (90.79 *Crescimento!#REF!) - (3.13 * Crescimento!#REF!*Crescimento!#REF!)</f>
        <v>#REF!</v>
      </c>
      <c r="BJ73" s="16" t="e">
        <f>(BK72+(Crescimento!#REF!-(BK72*0.64))/0.8)/1000</f>
        <v>#REF!</v>
      </c>
      <c r="BK73" s="17" t="e">
        <f>-53.07 + (304.89 * (BJ73)) + (90.79 *Crescimento!#REF!) - (3.13 * Crescimento!#REF!*Crescimento!#REF!)</f>
        <v>#REF!</v>
      </c>
      <c r="BM73" s="16" t="e">
        <f>(BN72+(Crescimento!#REF!-(BN72*0.64))/0.8)/1000</f>
        <v>#REF!</v>
      </c>
      <c r="BN73" s="17" t="e">
        <f>-53.07 + (304.89 * (BM73)) + (90.79 *Crescimento!#REF!) - (3.13 * Crescimento!#REF!*Crescimento!#REF!)</f>
        <v>#REF!</v>
      </c>
      <c r="BP73" s="16" t="e">
        <f>(BQ72+(Crescimento!#REF!-(BQ72*0.64))/0.8)/1000</f>
        <v>#REF!</v>
      </c>
      <c r="BQ73" s="17" t="e">
        <f>-53.07 + (304.89 * (BP73)) + (90.79 *Crescimento!#REF!) - (3.13 * Crescimento!#REF!*Crescimento!#REF!)</f>
        <v>#REF!</v>
      </c>
      <c r="BS73" s="16" t="e">
        <f>(BT72+(Crescimento!#REF!-(BT72*0.64))/0.8)/1000</f>
        <v>#REF!</v>
      </c>
      <c r="BT73" s="17" t="e">
        <f>-53.07 + (304.89 * (BS73)) + (90.79 *Crescimento!#REF!) - (3.13 * Crescimento!#REF!*Crescimento!#REF!)</f>
        <v>#REF!</v>
      </c>
      <c r="BV73" s="16" t="e">
        <f>(BW72+(Crescimento!#REF!-(BW72*0.64))/0.8)/1000</f>
        <v>#REF!</v>
      </c>
      <c r="BW73" s="17" t="e">
        <f>-53.07 + (304.89 * (BV73)) + (90.79 *Crescimento!#REF!) - (3.13 * Crescimento!#REF!*Crescimento!#REF!)</f>
        <v>#REF!</v>
      </c>
      <c r="BY73" s="16" t="e">
        <f>(BZ72+(Crescimento!#REF!-(BZ72*0.64))/0.8)/1000</f>
        <v>#REF!</v>
      </c>
      <c r="BZ73" s="17" t="e">
        <f>-53.07 + (304.89 * (BY73)) + (90.79 *Crescimento!#REF!) - (3.13 * Crescimento!#REF!*Crescimento!#REF!)</f>
        <v>#REF!</v>
      </c>
      <c r="CB73" s="16" t="e">
        <f>(CC72+(Crescimento!#REF!-(CC72*0.64))/0.8)/1000</f>
        <v>#REF!</v>
      </c>
      <c r="CC73" s="17" t="e">
        <f>-53.07 + (304.89 * (CB73)) + (90.79 *Crescimento!#REF!) - (3.13 * Crescimento!#REF!*Crescimento!#REF!)</f>
        <v>#REF!</v>
      </c>
      <c r="CE73" s="16" t="e">
        <f>(CF72+(Crescimento!#REF!-(CF72*0.64))/0.8)/1000</f>
        <v>#REF!</v>
      </c>
      <c r="CF73" s="17" t="e">
        <f>-53.07 + (304.89 * (CE73)) + (90.79 *Crescimento!#REF!) - (3.13 * Crescimento!#REF!*Crescimento!#REF!)</f>
        <v>#REF!</v>
      </c>
      <c r="CH73" s="16" t="e">
        <f>(CI72+(Crescimento!#REF!-(CI72*0.64))/0.8)/1000</f>
        <v>#REF!</v>
      </c>
      <c r="CI73" s="17" t="e">
        <f>-53.07 + (304.89 * (CH73)) + (90.79 *Crescimento!#REF!) - (3.13 * Crescimento!#REF!*Crescimento!#REF!)</f>
        <v>#REF!</v>
      </c>
      <c r="CK73" s="16" t="e">
        <f>(CL72+(Crescimento!#REF!-(CL72*0.64))/0.8)/1000</f>
        <v>#REF!</v>
      </c>
      <c r="CL73" s="17" t="e">
        <f>-53.07 + (304.89 * (CK73)) + (90.79 *Crescimento!#REF!) - (3.13 * Crescimento!#REF!*Crescimento!#REF!)</f>
        <v>#REF!</v>
      </c>
    </row>
    <row r="74" spans="2:90" x14ac:dyDescent="0.25">
      <c r="B74" s="16">
        <f>(C73+('Vacas e Bezerros'!$O$29-(C73*0.64))/0.8)/1000</f>
        <v>1.1219974776113528</v>
      </c>
      <c r="C74" s="17">
        <f>-53.07 + (304.89 * (B74)) + (90.79 *'Vacas e Bezerros'!$O$23) - (3.13 * 'Vacas e Bezerros'!$O$23*'Vacas e Bezerros'!$O$23)</f>
        <v>715.77733851110622</v>
      </c>
      <c r="E74" s="16" t="e">
        <f>(F73+(Crescimento!#REF!-(F73*0.64))/0.8)/1000</f>
        <v>#REF!</v>
      </c>
      <c r="F74" s="17" t="e">
        <f>-53.07 + (304.89 * (E74)) + (90.79 *Crescimento!#REF!) - (3.13 * Crescimento!#REF!*Crescimento!#REF!)</f>
        <v>#REF!</v>
      </c>
      <c r="G74" s="1"/>
      <c r="H74" s="16" t="e">
        <f>(I73+(Crescimento!#REF!-(I73*0.64))/0.8)/1000</f>
        <v>#REF!</v>
      </c>
      <c r="I74" s="17" t="e">
        <f>-53.07 + (304.89 * (H74)) + (90.79 *Crescimento!#REF!) - (3.13 * Crescimento!#REF!*Crescimento!#REF!)</f>
        <v>#REF!</v>
      </c>
      <c r="K74" s="16" t="e">
        <f>(L73+(Crescimento!#REF!-(L73*0.64))/0.8)/1000</f>
        <v>#REF!</v>
      </c>
      <c r="L74" s="17" t="e">
        <f>-53.07 + (304.89 * (K74)) + (90.79 *Crescimento!#REF!) - (3.13 * Crescimento!#REF!*Crescimento!#REF!)</f>
        <v>#REF!</v>
      </c>
      <c r="N74" s="16" t="e">
        <f>(O73+(Crescimento!#REF!-(O73*0.64))/0.8)/1000</f>
        <v>#REF!</v>
      </c>
      <c r="O74" s="17" t="e">
        <f>-53.07 + (304.89 * (N74)) + (90.79 *Crescimento!#REF!) - (3.13 * Crescimento!#REF!*Crescimento!#REF!)</f>
        <v>#REF!</v>
      </c>
      <c r="Q74" s="16" t="e">
        <f>(R73+(Crescimento!#REF!-(R73*0.64))/0.8)/1000</f>
        <v>#REF!</v>
      </c>
      <c r="R74" s="17" t="e">
        <f>-53.07 + (304.89 * (Q74)) + (90.79 *Crescimento!#REF!) - (3.13 * Crescimento!#REF!*Crescimento!#REF!)</f>
        <v>#REF!</v>
      </c>
      <c r="T74" s="16" t="e">
        <f>(U73+(Crescimento!#REF!-(U73*0.64))/0.8)/1000</f>
        <v>#REF!</v>
      </c>
      <c r="U74" s="17" t="e">
        <f>-53.07 + (304.89 * (T74)) + (90.79 *Crescimento!#REF!) - (3.13 * Crescimento!#REF!*Crescimento!#REF!)</f>
        <v>#REF!</v>
      </c>
      <c r="W74" s="16" t="e">
        <f>(X73+(Crescimento!#REF!-(X73*0.64))/0.8)/1000</f>
        <v>#REF!</v>
      </c>
      <c r="X74" s="17" t="e">
        <f>-53.07 + (304.89 * (W74)) + (90.79 *Crescimento!#REF!) - (3.13 * Crescimento!#REF!*Crescimento!#REF!)</f>
        <v>#REF!</v>
      </c>
      <c r="Y74" s="6"/>
      <c r="Z74" s="16" t="e">
        <f>(AA73+(Crescimento!#REF!-(AA73*0.64))/0.8)/1000</f>
        <v>#REF!</v>
      </c>
      <c r="AA74" s="17" t="e">
        <f>-53.07 + (304.89 * (Z74)) + (90.79 *Crescimento!#REF!) - (3.13 * Crescimento!#REF!*Crescimento!#REF!)</f>
        <v>#REF!</v>
      </c>
      <c r="AB74" s="6"/>
      <c r="AC74" s="16" t="e">
        <f>(AD73+(Crescimento!#REF!-(AD73*0.64))/0.8)/1000</f>
        <v>#REF!</v>
      </c>
      <c r="AD74" s="17" t="e">
        <f>-53.07 + (304.89 * (AC74)) + (90.79 *Crescimento!#REF!) - (3.13 * Crescimento!#REF!*Crescimento!#REF!)</f>
        <v>#REF!</v>
      </c>
      <c r="AE74" s="17"/>
      <c r="AF74" s="16" t="e">
        <f>(AG73+(Crescimento!#REF!-(AG73*0.64))/0.8)/1000</f>
        <v>#REF!</v>
      </c>
      <c r="AG74" s="17" t="e">
        <f>-53.07 + (304.89 * (AF74)) + (90.79 *Crescimento!#REF!) - (3.13 * Crescimento!#REF!*Crescimento!#REF!)</f>
        <v>#REF!</v>
      </c>
      <c r="AI74" s="16" t="e">
        <f>(AJ73+(Crescimento!#REF!-(AJ73*0.64))/0.8)/1000</f>
        <v>#REF!</v>
      </c>
      <c r="AJ74" s="17" t="e">
        <f>-53.07 + (304.89 * (AI74)) + (90.79 *Crescimento!#REF!) - (3.13 * Crescimento!#REF!*Crescimento!#REF!)</f>
        <v>#REF!</v>
      </c>
      <c r="AL74" s="16" t="e">
        <f>(AM73+(Crescimento!#REF!-(AM73*0.64))/0.8)/1000</f>
        <v>#REF!</v>
      </c>
      <c r="AM74" s="17" t="e">
        <f>-53.07 + (304.89 * (AL74)) + (90.79 *Crescimento!#REF!) - (3.13 * Crescimento!#REF!*Crescimento!#REF!)</f>
        <v>#REF!</v>
      </c>
      <c r="AO74" s="16" t="e">
        <f>(AP73+(Crescimento!#REF!-(AP73*0.64))/0.8)/1000</f>
        <v>#REF!</v>
      </c>
      <c r="AP74" s="17" t="e">
        <f>-53.07 + (304.89 * (AO74)) + (90.79 *Crescimento!#REF!) - (3.13 * Crescimento!#REF!*Crescimento!#REF!)</f>
        <v>#REF!</v>
      </c>
      <c r="AR74" s="16" t="e">
        <f>(AS73+(Crescimento!#REF!-(AS73*0.64))/0.8)/1000</f>
        <v>#REF!</v>
      </c>
      <c r="AS74" s="17" t="e">
        <f>-53.07 + (304.89 * (AR74)) + (90.79 *Crescimento!#REF!) - (3.13 * Crescimento!#REF!*Crescimento!#REF!)</f>
        <v>#REF!</v>
      </c>
      <c r="AU74" s="16" t="e">
        <f>(AV73+(Crescimento!#REF!-(AV73*0.64))/0.8)/1000</f>
        <v>#REF!</v>
      </c>
      <c r="AV74" s="17" t="e">
        <f>-53.07 + (304.89 * (AU74)) + (90.79 *Crescimento!#REF!) - (3.13 * Crescimento!#REF!*Crescimento!#REF!)</f>
        <v>#REF!</v>
      </c>
      <c r="AX74" s="16" t="e">
        <f>(AY73+(Crescimento!#REF!-(AY73*0.64))/0.8)/1000</f>
        <v>#REF!</v>
      </c>
      <c r="AY74" s="17" t="e">
        <f>-53.07 + (304.89 * (AX74)) + (90.79 *Crescimento!#REF!) - (3.13 * Crescimento!#REF!*Crescimento!#REF!)</f>
        <v>#REF!</v>
      </c>
      <c r="BA74" s="16" t="e">
        <f>(BB73+(Crescimento!#REF!-(BB73*0.64))/0.8)/1000</f>
        <v>#REF!</v>
      </c>
      <c r="BB74" s="17" t="e">
        <f>-53.07 + (304.89 * (BA74)) + (90.79 *Crescimento!#REF!) - (3.13 * Crescimento!#REF!*Crescimento!#REF!)</f>
        <v>#REF!</v>
      </c>
      <c r="BD74" s="16" t="e">
        <f>(BE73+(Crescimento!#REF!-(BE73*0.64))/0.8)/1000</f>
        <v>#REF!</v>
      </c>
      <c r="BE74" s="17" t="e">
        <f>-53.07 + (304.89 * (BD74)) + (90.79 *Crescimento!#REF!) - (3.13 * Crescimento!#REF!*Crescimento!#REF!)</f>
        <v>#REF!</v>
      </c>
      <c r="BG74" s="16" t="e">
        <f>(BH73+(Crescimento!#REF!-(BH73*0.64))/0.8)/1000</f>
        <v>#REF!</v>
      </c>
      <c r="BH74" s="17" t="e">
        <f>-53.07 + (304.89 * (BG74)) + (90.79 *Crescimento!#REF!) - (3.13 * Crescimento!#REF!*Crescimento!#REF!)</f>
        <v>#REF!</v>
      </c>
      <c r="BJ74" s="16" t="e">
        <f>(BK73+(Crescimento!#REF!-(BK73*0.64))/0.8)/1000</f>
        <v>#REF!</v>
      </c>
      <c r="BK74" s="17" t="e">
        <f>-53.07 + (304.89 * (BJ74)) + (90.79 *Crescimento!#REF!) - (3.13 * Crescimento!#REF!*Crescimento!#REF!)</f>
        <v>#REF!</v>
      </c>
      <c r="BM74" s="16" t="e">
        <f>(BN73+(Crescimento!#REF!-(BN73*0.64))/0.8)/1000</f>
        <v>#REF!</v>
      </c>
      <c r="BN74" s="17" t="e">
        <f>-53.07 + (304.89 * (BM74)) + (90.79 *Crescimento!#REF!) - (3.13 * Crescimento!#REF!*Crescimento!#REF!)</f>
        <v>#REF!</v>
      </c>
      <c r="BP74" s="16" t="e">
        <f>(BQ73+(Crescimento!#REF!-(BQ73*0.64))/0.8)/1000</f>
        <v>#REF!</v>
      </c>
      <c r="BQ74" s="17" t="e">
        <f>-53.07 + (304.89 * (BP74)) + (90.79 *Crescimento!#REF!) - (3.13 * Crescimento!#REF!*Crescimento!#REF!)</f>
        <v>#REF!</v>
      </c>
      <c r="BS74" s="16" t="e">
        <f>(BT73+(Crescimento!#REF!-(BT73*0.64))/0.8)/1000</f>
        <v>#REF!</v>
      </c>
      <c r="BT74" s="17" t="e">
        <f>-53.07 + (304.89 * (BS74)) + (90.79 *Crescimento!#REF!) - (3.13 * Crescimento!#REF!*Crescimento!#REF!)</f>
        <v>#REF!</v>
      </c>
      <c r="BV74" s="16" t="e">
        <f>(BW73+(Crescimento!#REF!-(BW73*0.64))/0.8)/1000</f>
        <v>#REF!</v>
      </c>
      <c r="BW74" s="17" t="e">
        <f>-53.07 + (304.89 * (BV74)) + (90.79 *Crescimento!#REF!) - (3.13 * Crescimento!#REF!*Crescimento!#REF!)</f>
        <v>#REF!</v>
      </c>
      <c r="BY74" s="16" t="e">
        <f>(BZ73+(Crescimento!#REF!-(BZ73*0.64))/0.8)/1000</f>
        <v>#REF!</v>
      </c>
      <c r="BZ74" s="17" t="e">
        <f>-53.07 + (304.89 * (BY74)) + (90.79 *Crescimento!#REF!) - (3.13 * Crescimento!#REF!*Crescimento!#REF!)</f>
        <v>#REF!</v>
      </c>
      <c r="CB74" s="16" t="e">
        <f>(CC73+(Crescimento!#REF!-(CC73*0.64))/0.8)/1000</f>
        <v>#REF!</v>
      </c>
      <c r="CC74" s="17" t="e">
        <f>-53.07 + (304.89 * (CB74)) + (90.79 *Crescimento!#REF!) - (3.13 * Crescimento!#REF!*Crescimento!#REF!)</f>
        <v>#REF!</v>
      </c>
      <c r="CE74" s="16" t="e">
        <f>(CF73+(Crescimento!#REF!-(CF73*0.64))/0.8)/1000</f>
        <v>#REF!</v>
      </c>
      <c r="CF74" s="17" t="e">
        <f>-53.07 + (304.89 * (CE74)) + (90.79 *Crescimento!#REF!) - (3.13 * Crescimento!#REF!*Crescimento!#REF!)</f>
        <v>#REF!</v>
      </c>
      <c r="CH74" s="16" t="e">
        <f>(CI73+(Crescimento!#REF!-(CI73*0.64))/0.8)/1000</f>
        <v>#REF!</v>
      </c>
      <c r="CI74" s="17" t="e">
        <f>-53.07 + (304.89 * (CH74)) + (90.79 *Crescimento!#REF!) - (3.13 * Crescimento!#REF!*Crescimento!#REF!)</f>
        <v>#REF!</v>
      </c>
      <c r="CK74" s="16" t="e">
        <f>(CL73+(Crescimento!#REF!-(CL73*0.64))/0.8)/1000</f>
        <v>#REF!</v>
      </c>
      <c r="CL74" s="17" t="e">
        <f>-53.07 + (304.89 * (CK74)) + (90.79 *Crescimento!#REF!) - (3.13 * Crescimento!#REF!*Crescimento!#REF!)</f>
        <v>#REF!</v>
      </c>
    </row>
    <row r="75" spans="2:90" x14ac:dyDescent="0.25">
      <c r="B75" s="16">
        <f>(C74+('Vacas e Bezerros'!$O$29-(C74*0.64))/0.8)/1000</f>
        <v>1.1219974776113528</v>
      </c>
      <c r="C75" s="17">
        <f>-53.07 + (304.89 * (B75)) + (90.79 *'Vacas e Bezerros'!$O$23) - (3.13 * 'Vacas e Bezerros'!$O$23*'Vacas e Bezerros'!$O$23)</f>
        <v>715.77733851110622</v>
      </c>
      <c r="E75" s="16" t="e">
        <f>(F74+(Crescimento!#REF!-(F74*0.64))/0.8)/1000</f>
        <v>#REF!</v>
      </c>
      <c r="F75" s="17" t="e">
        <f>-53.07 + (304.89 * (E75)) + (90.79 *Crescimento!#REF!) - (3.13 * Crescimento!#REF!*Crescimento!#REF!)</f>
        <v>#REF!</v>
      </c>
      <c r="G75" s="1"/>
      <c r="H75" s="16" t="e">
        <f>(I74+(Crescimento!#REF!-(I74*0.64))/0.8)/1000</f>
        <v>#REF!</v>
      </c>
      <c r="I75" s="17" t="e">
        <f>-53.07 + (304.89 * (H75)) + (90.79 *Crescimento!#REF!) - (3.13 * Crescimento!#REF!*Crescimento!#REF!)</f>
        <v>#REF!</v>
      </c>
      <c r="K75" s="16" t="e">
        <f>(L74+(Crescimento!#REF!-(L74*0.64))/0.8)/1000</f>
        <v>#REF!</v>
      </c>
      <c r="L75" s="17" t="e">
        <f>-53.07 + (304.89 * (K75)) + (90.79 *Crescimento!#REF!) - (3.13 * Crescimento!#REF!*Crescimento!#REF!)</f>
        <v>#REF!</v>
      </c>
      <c r="N75" s="16" t="e">
        <f>(O74+(Crescimento!#REF!-(O74*0.64))/0.8)/1000</f>
        <v>#REF!</v>
      </c>
      <c r="O75" s="17" t="e">
        <f>-53.07 + (304.89 * (N75)) + (90.79 *Crescimento!#REF!) - (3.13 * Crescimento!#REF!*Crescimento!#REF!)</f>
        <v>#REF!</v>
      </c>
      <c r="Q75" s="16" t="e">
        <f>(R74+(Crescimento!#REF!-(R74*0.64))/0.8)/1000</f>
        <v>#REF!</v>
      </c>
      <c r="R75" s="17" t="e">
        <f>-53.07 + (304.89 * (Q75)) + (90.79 *Crescimento!#REF!) - (3.13 * Crescimento!#REF!*Crescimento!#REF!)</f>
        <v>#REF!</v>
      </c>
      <c r="T75" s="16" t="e">
        <f>(U74+(Crescimento!#REF!-(U74*0.64))/0.8)/1000</f>
        <v>#REF!</v>
      </c>
      <c r="U75" s="17" t="e">
        <f>-53.07 + (304.89 * (T75)) + (90.79 *Crescimento!#REF!) - (3.13 * Crescimento!#REF!*Crescimento!#REF!)</f>
        <v>#REF!</v>
      </c>
      <c r="W75" s="16" t="e">
        <f>(X74+(Crescimento!#REF!-(X74*0.64))/0.8)/1000</f>
        <v>#REF!</v>
      </c>
      <c r="X75" s="17" t="e">
        <f>-53.07 + (304.89 * (W75)) + (90.79 *Crescimento!#REF!) - (3.13 * Crescimento!#REF!*Crescimento!#REF!)</f>
        <v>#REF!</v>
      </c>
      <c r="Y75" s="6"/>
      <c r="Z75" s="16" t="e">
        <f>(AA74+(Crescimento!#REF!-(AA74*0.64))/0.8)/1000</f>
        <v>#REF!</v>
      </c>
      <c r="AA75" s="17" t="e">
        <f>-53.07 + (304.89 * (Z75)) + (90.79 *Crescimento!#REF!) - (3.13 * Crescimento!#REF!*Crescimento!#REF!)</f>
        <v>#REF!</v>
      </c>
      <c r="AB75" s="6"/>
      <c r="AC75" s="16" t="e">
        <f>(AD74+(Crescimento!#REF!-(AD74*0.64))/0.8)/1000</f>
        <v>#REF!</v>
      </c>
      <c r="AD75" s="17" t="e">
        <f>-53.07 + (304.89 * (AC75)) + (90.79 *Crescimento!#REF!) - (3.13 * Crescimento!#REF!*Crescimento!#REF!)</f>
        <v>#REF!</v>
      </c>
      <c r="AE75" s="17"/>
      <c r="AF75" s="16" t="e">
        <f>(AG74+(Crescimento!#REF!-(AG74*0.64))/0.8)/1000</f>
        <v>#REF!</v>
      </c>
      <c r="AG75" s="17" t="e">
        <f>-53.07 + (304.89 * (AF75)) + (90.79 *Crescimento!#REF!) - (3.13 * Crescimento!#REF!*Crescimento!#REF!)</f>
        <v>#REF!</v>
      </c>
      <c r="AI75" s="16" t="e">
        <f>(AJ74+(Crescimento!#REF!-(AJ74*0.64))/0.8)/1000</f>
        <v>#REF!</v>
      </c>
      <c r="AJ75" s="17" t="e">
        <f>-53.07 + (304.89 * (AI75)) + (90.79 *Crescimento!#REF!) - (3.13 * Crescimento!#REF!*Crescimento!#REF!)</f>
        <v>#REF!</v>
      </c>
      <c r="AL75" s="16" t="e">
        <f>(AM74+(Crescimento!#REF!-(AM74*0.64))/0.8)/1000</f>
        <v>#REF!</v>
      </c>
      <c r="AM75" s="17" t="e">
        <f>-53.07 + (304.89 * (AL75)) + (90.79 *Crescimento!#REF!) - (3.13 * Crescimento!#REF!*Crescimento!#REF!)</f>
        <v>#REF!</v>
      </c>
      <c r="AO75" s="16" t="e">
        <f>(AP74+(Crescimento!#REF!-(AP74*0.64))/0.8)/1000</f>
        <v>#REF!</v>
      </c>
      <c r="AP75" s="17" t="e">
        <f>-53.07 + (304.89 * (AO75)) + (90.79 *Crescimento!#REF!) - (3.13 * Crescimento!#REF!*Crescimento!#REF!)</f>
        <v>#REF!</v>
      </c>
      <c r="AR75" s="16" t="e">
        <f>(AS74+(Crescimento!#REF!-(AS74*0.64))/0.8)/1000</f>
        <v>#REF!</v>
      </c>
      <c r="AS75" s="17" t="e">
        <f>-53.07 + (304.89 * (AR75)) + (90.79 *Crescimento!#REF!) - (3.13 * Crescimento!#REF!*Crescimento!#REF!)</f>
        <v>#REF!</v>
      </c>
      <c r="AU75" s="16" t="e">
        <f>(AV74+(Crescimento!#REF!-(AV74*0.64))/0.8)/1000</f>
        <v>#REF!</v>
      </c>
      <c r="AV75" s="17" t="e">
        <f>-53.07 + (304.89 * (AU75)) + (90.79 *Crescimento!#REF!) - (3.13 * Crescimento!#REF!*Crescimento!#REF!)</f>
        <v>#REF!</v>
      </c>
      <c r="AX75" s="16" t="e">
        <f>(AY74+(Crescimento!#REF!-(AY74*0.64))/0.8)/1000</f>
        <v>#REF!</v>
      </c>
      <c r="AY75" s="17" t="e">
        <f>-53.07 + (304.89 * (AX75)) + (90.79 *Crescimento!#REF!) - (3.13 * Crescimento!#REF!*Crescimento!#REF!)</f>
        <v>#REF!</v>
      </c>
      <c r="BA75" s="16" t="e">
        <f>(BB74+(Crescimento!#REF!-(BB74*0.64))/0.8)/1000</f>
        <v>#REF!</v>
      </c>
      <c r="BB75" s="17" t="e">
        <f>-53.07 + (304.89 * (BA75)) + (90.79 *Crescimento!#REF!) - (3.13 * Crescimento!#REF!*Crescimento!#REF!)</f>
        <v>#REF!</v>
      </c>
      <c r="BD75" s="16" t="e">
        <f>(BE74+(Crescimento!#REF!-(BE74*0.64))/0.8)/1000</f>
        <v>#REF!</v>
      </c>
      <c r="BE75" s="17" t="e">
        <f>-53.07 + (304.89 * (BD75)) + (90.79 *Crescimento!#REF!) - (3.13 * Crescimento!#REF!*Crescimento!#REF!)</f>
        <v>#REF!</v>
      </c>
      <c r="BG75" s="16" t="e">
        <f>(BH74+(Crescimento!#REF!-(BH74*0.64))/0.8)/1000</f>
        <v>#REF!</v>
      </c>
      <c r="BH75" s="17" t="e">
        <f>-53.07 + (304.89 * (BG75)) + (90.79 *Crescimento!#REF!) - (3.13 * Crescimento!#REF!*Crescimento!#REF!)</f>
        <v>#REF!</v>
      </c>
      <c r="BJ75" s="16" t="e">
        <f>(BK74+(Crescimento!#REF!-(BK74*0.64))/0.8)/1000</f>
        <v>#REF!</v>
      </c>
      <c r="BK75" s="17" t="e">
        <f>-53.07 + (304.89 * (BJ75)) + (90.79 *Crescimento!#REF!) - (3.13 * Crescimento!#REF!*Crescimento!#REF!)</f>
        <v>#REF!</v>
      </c>
      <c r="BM75" s="16" t="e">
        <f>(BN74+(Crescimento!#REF!-(BN74*0.64))/0.8)/1000</f>
        <v>#REF!</v>
      </c>
      <c r="BN75" s="17" t="e">
        <f>-53.07 + (304.89 * (BM75)) + (90.79 *Crescimento!#REF!) - (3.13 * Crescimento!#REF!*Crescimento!#REF!)</f>
        <v>#REF!</v>
      </c>
      <c r="BP75" s="16" t="e">
        <f>(BQ74+(Crescimento!#REF!-(BQ74*0.64))/0.8)/1000</f>
        <v>#REF!</v>
      </c>
      <c r="BQ75" s="17" t="e">
        <f>-53.07 + (304.89 * (BP75)) + (90.79 *Crescimento!#REF!) - (3.13 * Crescimento!#REF!*Crescimento!#REF!)</f>
        <v>#REF!</v>
      </c>
      <c r="BS75" s="16" t="e">
        <f>(BT74+(Crescimento!#REF!-(BT74*0.64))/0.8)/1000</f>
        <v>#REF!</v>
      </c>
      <c r="BT75" s="17" t="e">
        <f>-53.07 + (304.89 * (BS75)) + (90.79 *Crescimento!#REF!) - (3.13 * Crescimento!#REF!*Crescimento!#REF!)</f>
        <v>#REF!</v>
      </c>
      <c r="BV75" s="16" t="e">
        <f>(BW74+(Crescimento!#REF!-(BW74*0.64))/0.8)/1000</f>
        <v>#REF!</v>
      </c>
      <c r="BW75" s="17" t="e">
        <f>-53.07 + (304.89 * (BV75)) + (90.79 *Crescimento!#REF!) - (3.13 * Crescimento!#REF!*Crescimento!#REF!)</f>
        <v>#REF!</v>
      </c>
      <c r="BY75" s="16" t="e">
        <f>(BZ74+(Crescimento!#REF!-(BZ74*0.64))/0.8)/1000</f>
        <v>#REF!</v>
      </c>
      <c r="BZ75" s="17" t="e">
        <f>-53.07 + (304.89 * (BY75)) + (90.79 *Crescimento!#REF!) - (3.13 * Crescimento!#REF!*Crescimento!#REF!)</f>
        <v>#REF!</v>
      </c>
      <c r="CB75" s="16" t="e">
        <f>(CC74+(Crescimento!#REF!-(CC74*0.64))/0.8)/1000</f>
        <v>#REF!</v>
      </c>
      <c r="CC75" s="17" t="e">
        <f>-53.07 + (304.89 * (CB75)) + (90.79 *Crescimento!#REF!) - (3.13 * Crescimento!#REF!*Crescimento!#REF!)</f>
        <v>#REF!</v>
      </c>
      <c r="CE75" s="16" t="e">
        <f>(CF74+(Crescimento!#REF!-(CF74*0.64))/0.8)/1000</f>
        <v>#REF!</v>
      </c>
      <c r="CF75" s="17" t="e">
        <f>-53.07 + (304.89 * (CE75)) + (90.79 *Crescimento!#REF!) - (3.13 * Crescimento!#REF!*Crescimento!#REF!)</f>
        <v>#REF!</v>
      </c>
      <c r="CH75" s="16" t="e">
        <f>(CI74+(Crescimento!#REF!-(CI74*0.64))/0.8)/1000</f>
        <v>#REF!</v>
      </c>
      <c r="CI75" s="17" t="e">
        <f>-53.07 + (304.89 * (CH75)) + (90.79 *Crescimento!#REF!) - (3.13 * Crescimento!#REF!*Crescimento!#REF!)</f>
        <v>#REF!</v>
      </c>
      <c r="CK75" s="16" t="e">
        <f>(CL74+(Crescimento!#REF!-(CL74*0.64))/0.8)/1000</f>
        <v>#REF!</v>
      </c>
      <c r="CL75" s="17" t="e">
        <f>-53.07 + (304.89 * (CK75)) + (90.79 *Crescimento!#REF!) - (3.13 * Crescimento!#REF!*Crescimento!#REF!)</f>
        <v>#REF!</v>
      </c>
    </row>
    <row r="76" spans="2:90" x14ac:dyDescent="0.25">
      <c r="B76" s="16">
        <f>(C75+('Vacas e Bezerros'!$O$29-(C75*0.64))/0.8)/1000</f>
        <v>1.1219974776113528</v>
      </c>
      <c r="C76" s="17">
        <f>-53.07 + (304.89 * (B76)) + (90.79 *'Vacas e Bezerros'!$O$23) - (3.13 * 'Vacas e Bezerros'!$O$23*'Vacas e Bezerros'!$O$23)</f>
        <v>715.77733851110622</v>
      </c>
      <c r="E76" s="16" t="e">
        <f>(F75+(Crescimento!#REF!-(F75*0.64))/0.8)/1000</f>
        <v>#REF!</v>
      </c>
      <c r="F76" s="17" t="e">
        <f>-53.07 + (304.89 * (E76)) + (90.79 *Crescimento!#REF!) - (3.13 * Crescimento!#REF!*Crescimento!#REF!)</f>
        <v>#REF!</v>
      </c>
      <c r="G76" s="1"/>
      <c r="H76" s="16" t="e">
        <f>(I75+(Crescimento!#REF!-(I75*0.64))/0.8)/1000</f>
        <v>#REF!</v>
      </c>
      <c r="I76" s="17" t="e">
        <f>-53.07 + (304.89 * (H76)) + (90.79 *Crescimento!#REF!) - (3.13 * Crescimento!#REF!*Crescimento!#REF!)</f>
        <v>#REF!</v>
      </c>
      <c r="K76" s="16" t="e">
        <f>(L75+(Crescimento!#REF!-(L75*0.64))/0.8)/1000</f>
        <v>#REF!</v>
      </c>
      <c r="L76" s="17" t="e">
        <f>-53.07 + (304.89 * (K76)) + (90.79 *Crescimento!#REF!) - (3.13 * Crescimento!#REF!*Crescimento!#REF!)</f>
        <v>#REF!</v>
      </c>
      <c r="N76" s="16" t="e">
        <f>(O75+(Crescimento!#REF!-(O75*0.64))/0.8)/1000</f>
        <v>#REF!</v>
      </c>
      <c r="O76" s="17" t="e">
        <f>-53.07 + (304.89 * (N76)) + (90.79 *Crescimento!#REF!) - (3.13 * Crescimento!#REF!*Crescimento!#REF!)</f>
        <v>#REF!</v>
      </c>
      <c r="Q76" s="16" t="e">
        <f>(R75+(Crescimento!#REF!-(R75*0.64))/0.8)/1000</f>
        <v>#REF!</v>
      </c>
      <c r="R76" s="17" t="e">
        <f>-53.07 + (304.89 * (Q76)) + (90.79 *Crescimento!#REF!) - (3.13 * Crescimento!#REF!*Crescimento!#REF!)</f>
        <v>#REF!</v>
      </c>
      <c r="T76" s="16" t="e">
        <f>(U75+(Crescimento!#REF!-(U75*0.64))/0.8)/1000</f>
        <v>#REF!</v>
      </c>
      <c r="U76" s="17" t="e">
        <f>-53.07 + (304.89 * (T76)) + (90.79 *Crescimento!#REF!) - (3.13 * Crescimento!#REF!*Crescimento!#REF!)</f>
        <v>#REF!</v>
      </c>
      <c r="W76" s="16" t="e">
        <f>(X75+(Crescimento!#REF!-(X75*0.64))/0.8)/1000</f>
        <v>#REF!</v>
      </c>
      <c r="X76" s="17" t="e">
        <f>-53.07 + (304.89 * (W76)) + (90.79 *Crescimento!#REF!) - (3.13 * Crescimento!#REF!*Crescimento!#REF!)</f>
        <v>#REF!</v>
      </c>
      <c r="Y76" s="6"/>
      <c r="Z76" s="16" t="e">
        <f>(AA75+(Crescimento!#REF!-(AA75*0.64))/0.8)/1000</f>
        <v>#REF!</v>
      </c>
      <c r="AA76" s="17" t="e">
        <f>-53.07 + (304.89 * (Z76)) + (90.79 *Crescimento!#REF!) - (3.13 * Crescimento!#REF!*Crescimento!#REF!)</f>
        <v>#REF!</v>
      </c>
      <c r="AB76" s="6"/>
      <c r="AC76" s="16" t="e">
        <f>(AD75+(Crescimento!#REF!-(AD75*0.64))/0.8)/1000</f>
        <v>#REF!</v>
      </c>
      <c r="AD76" s="17" t="e">
        <f>-53.07 + (304.89 * (AC76)) + (90.79 *Crescimento!#REF!) - (3.13 * Crescimento!#REF!*Crescimento!#REF!)</f>
        <v>#REF!</v>
      </c>
      <c r="AE76" s="17"/>
      <c r="AF76" s="16" t="e">
        <f>(AG75+(Crescimento!#REF!-(AG75*0.64))/0.8)/1000</f>
        <v>#REF!</v>
      </c>
      <c r="AG76" s="17" t="e">
        <f>-53.07 + (304.89 * (AF76)) + (90.79 *Crescimento!#REF!) - (3.13 * Crescimento!#REF!*Crescimento!#REF!)</f>
        <v>#REF!</v>
      </c>
      <c r="AI76" s="16" t="e">
        <f>(AJ75+(Crescimento!#REF!-(AJ75*0.64))/0.8)/1000</f>
        <v>#REF!</v>
      </c>
      <c r="AJ76" s="17" t="e">
        <f>-53.07 + (304.89 * (AI76)) + (90.79 *Crescimento!#REF!) - (3.13 * Crescimento!#REF!*Crescimento!#REF!)</f>
        <v>#REF!</v>
      </c>
      <c r="AL76" s="16" t="e">
        <f>(AM75+(Crescimento!#REF!-(AM75*0.64))/0.8)/1000</f>
        <v>#REF!</v>
      </c>
      <c r="AM76" s="17" t="e">
        <f>-53.07 + (304.89 * (AL76)) + (90.79 *Crescimento!#REF!) - (3.13 * Crescimento!#REF!*Crescimento!#REF!)</f>
        <v>#REF!</v>
      </c>
      <c r="AO76" s="16" t="e">
        <f>(AP75+(Crescimento!#REF!-(AP75*0.64))/0.8)/1000</f>
        <v>#REF!</v>
      </c>
      <c r="AP76" s="17" t="e">
        <f>-53.07 + (304.89 * (AO76)) + (90.79 *Crescimento!#REF!) - (3.13 * Crescimento!#REF!*Crescimento!#REF!)</f>
        <v>#REF!</v>
      </c>
      <c r="AR76" s="16" t="e">
        <f>(AS75+(Crescimento!#REF!-(AS75*0.64))/0.8)/1000</f>
        <v>#REF!</v>
      </c>
      <c r="AS76" s="17" t="e">
        <f>-53.07 + (304.89 * (AR76)) + (90.79 *Crescimento!#REF!) - (3.13 * Crescimento!#REF!*Crescimento!#REF!)</f>
        <v>#REF!</v>
      </c>
      <c r="AU76" s="16" t="e">
        <f>(AV75+(Crescimento!#REF!-(AV75*0.64))/0.8)/1000</f>
        <v>#REF!</v>
      </c>
      <c r="AV76" s="17" t="e">
        <f>-53.07 + (304.89 * (AU76)) + (90.79 *Crescimento!#REF!) - (3.13 * Crescimento!#REF!*Crescimento!#REF!)</f>
        <v>#REF!</v>
      </c>
      <c r="AX76" s="16" t="e">
        <f>(AY75+(Crescimento!#REF!-(AY75*0.64))/0.8)/1000</f>
        <v>#REF!</v>
      </c>
      <c r="AY76" s="17" t="e">
        <f>-53.07 + (304.89 * (AX76)) + (90.79 *Crescimento!#REF!) - (3.13 * Crescimento!#REF!*Crescimento!#REF!)</f>
        <v>#REF!</v>
      </c>
      <c r="BA76" s="16" t="e">
        <f>(BB75+(Crescimento!#REF!-(BB75*0.64))/0.8)/1000</f>
        <v>#REF!</v>
      </c>
      <c r="BB76" s="17" t="e">
        <f>-53.07 + (304.89 * (BA76)) + (90.79 *Crescimento!#REF!) - (3.13 * Crescimento!#REF!*Crescimento!#REF!)</f>
        <v>#REF!</v>
      </c>
      <c r="BD76" s="16" t="e">
        <f>(BE75+(Crescimento!#REF!-(BE75*0.64))/0.8)/1000</f>
        <v>#REF!</v>
      </c>
      <c r="BE76" s="17" t="e">
        <f>-53.07 + (304.89 * (BD76)) + (90.79 *Crescimento!#REF!) - (3.13 * Crescimento!#REF!*Crescimento!#REF!)</f>
        <v>#REF!</v>
      </c>
      <c r="BG76" s="16" t="e">
        <f>(BH75+(Crescimento!#REF!-(BH75*0.64))/0.8)/1000</f>
        <v>#REF!</v>
      </c>
      <c r="BH76" s="17" t="e">
        <f>-53.07 + (304.89 * (BG76)) + (90.79 *Crescimento!#REF!) - (3.13 * Crescimento!#REF!*Crescimento!#REF!)</f>
        <v>#REF!</v>
      </c>
      <c r="BJ76" s="16" t="e">
        <f>(BK75+(Crescimento!#REF!-(BK75*0.64))/0.8)/1000</f>
        <v>#REF!</v>
      </c>
      <c r="BK76" s="17" t="e">
        <f>-53.07 + (304.89 * (BJ76)) + (90.79 *Crescimento!#REF!) - (3.13 * Crescimento!#REF!*Crescimento!#REF!)</f>
        <v>#REF!</v>
      </c>
      <c r="BM76" s="16" t="e">
        <f>(BN75+(Crescimento!#REF!-(BN75*0.64))/0.8)/1000</f>
        <v>#REF!</v>
      </c>
      <c r="BN76" s="17" t="e">
        <f>-53.07 + (304.89 * (BM76)) + (90.79 *Crescimento!#REF!) - (3.13 * Crescimento!#REF!*Crescimento!#REF!)</f>
        <v>#REF!</v>
      </c>
      <c r="BP76" s="16" t="e">
        <f>(BQ75+(Crescimento!#REF!-(BQ75*0.64))/0.8)/1000</f>
        <v>#REF!</v>
      </c>
      <c r="BQ76" s="17" t="e">
        <f>-53.07 + (304.89 * (BP76)) + (90.79 *Crescimento!#REF!) - (3.13 * Crescimento!#REF!*Crescimento!#REF!)</f>
        <v>#REF!</v>
      </c>
      <c r="BS76" s="16" t="e">
        <f>(BT75+(Crescimento!#REF!-(BT75*0.64))/0.8)/1000</f>
        <v>#REF!</v>
      </c>
      <c r="BT76" s="17" t="e">
        <f>-53.07 + (304.89 * (BS76)) + (90.79 *Crescimento!#REF!) - (3.13 * Crescimento!#REF!*Crescimento!#REF!)</f>
        <v>#REF!</v>
      </c>
      <c r="BV76" s="16" t="e">
        <f>(BW75+(Crescimento!#REF!-(BW75*0.64))/0.8)/1000</f>
        <v>#REF!</v>
      </c>
      <c r="BW76" s="17" t="e">
        <f>-53.07 + (304.89 * (BV76)) + (90.79 *Crescimento!#REF!) - (3.13 * Crescimento!#REF!*Crescimento!#REF!)</f>
        <v>#REF!</v>
      </c>
      <c r="BY76" s="16" t="e">
        <f>(BZ75+(Crescimento!#REF!-(BZ75*0.64))/0.8)/1000</f>
        <v>#REF!</v>
      </c>
      <c r="BZ76" s="17" t="e">
        <f>-53.07 + (304.89 * (BY76)) + (90.79 *Crescimento!#REF!) - (3.13 * Crescimento!#REF!*Crescimento!#REF!)</f>
        <v>#REF!</v>
      </c>
      <c r="CB76" s="16" t="e">
        <f>(CC75+(Crescimento!#REF!-(CC75*0.64))/0.8)/1000</f>
        <v>#REF!</v>
      </c>
      <c r="CC76" s="17" t="e">
        <f>-53.07 + (304.89 * (CB76)) + (90.79 *Crescimento!#REF!) - (3.13 * Crescimento!#REF!*Crescimento!#REF!)</f>
        <v>#REF!</v>
      </c>
      <c r="CE76" s="16" t="e">
        <f>(CF75+(Crescimento!#REF!-(CF75*0.64))/0.8)/1000</f>
        <v>#REF!</v>
      </c>
      <c r="CF76" s="17" t="e">
        <f>-53.07 + (304.89 * (CE76)) + (90.79 *Crescimento!#REF!) - (3.13 * Crescimento!#REF!*Crescimento!#REF!)</f>
        <v>#REF!</v>
      </c>
      <c r="CH76" s="16" t="e">
        <f>(CI75+(Crescimento!#REF!-(CI75*0.64))/0.8)/1000</f>
        <v>#REF!</v>
      </c>
      <c r="CI76" s="17" t="e">
        <f>-53.07 + (304.89 * (CH76)) + (90.79 *Crescimento!#REF!) - (3.13 * Crescimento!#REF!*Crescimento!#REF!)</f>
        <v>#REF!</v>
      </c>
      <c r="CK76" s="16" t="e">
        <f>(CL75+(Crescimento!#REF!-(CL75*0.64))/0.8)/1000</f>
        <v>#REF!</v>
      </c>
      <c r="CL76" s="17" t="e">
        <f>-53.07 + (304.89 * (CK76)) + (90.79 *Crescimento!#REF!) - (3.13 * Crescimento!#REF!*Crescimento!#REF!)</f>
        <v>#REF!</v>
      </c>
    </row>
    <row r="77" spans="2:90" x14ac:dyDescent="0.25">
      <c r="B77" s="16">
        <f>(C76+('Vacas e Bezerros'!$O$29-(C76*0.64))/0.8)/1000</f>
        <v>1.1219974776113528</v>
      </c>
      <c r="C77" s="17">
        <f>-53.07 + (304.89 * (B77)) + (90.79 *'Vacas e Bezerros'!$O$23) - (3.13 * 'Vacas e Bezerros'!$O$23*'Vacas e Bezerros'!$O$23)</f>
        <v>715.77733851110622</v>
      </c>
      <c r="E77" s="16" t="e">
        <f>(F76+(Crescimento!#REF!-(F76*0.64))/0.8)/1000</f>
        <v>#REF!</v>
      </c>
      <c r="F77" s="17" t="e">
        <f>-53.07 + (304.89 * (E77)) + (90.79 *Crescimento!#REF!) - (3.13 * Crescimento!#REF!*Crescimento!#REF!)</f>
        <v>#REF!</v>
      </c>
      <c r="G77" s="1"/>
      <c r="H77" s="16" t="e">
        <f>(I76+(Crescimento!#REF!-(I76*0.64))/0.8)/1000</f>
        <v>#REF!</v>
      </c>
      <c r="I77" s="17" t="e">
        <f>-53.07 + (304.89 * (H77)) + (90.79 *Crescimento!#REF!) - (3.13 * Crescimento!#REF!*Crescimento!#REF!)</f>
        <v>#REF!</v>
      </c>
      <c r="K77" s="16" t="e">
        <f>(L76+(Crescimento!#REF!-(L76*0.64))/0.8)/1000</f>
        <v>#REF!</v>
      </c>
      <c r="L77" s="17" t="e">
        <f>-53.07 + (304.89 * (K77)) + (90.79 *Crescimento!#REF!) - (3.13 * Crescimento!#REF!*Crescimento!#REF!)</f>
        <v>#REF!</v>
      </c>
      <c r="N77" s="16" t="e">
        <f>(O76+(Crescimento!#REF!-(O76*0.64))/0.8)/1000</f>
        <v>#REF!</v>
      </c>
      <c r="O77" s="17" t="e">
        <f>-53.07 + (304.89 * (N77)) + (90.79 *Crescimento!#REF!) - (3.13 * Crescimento!#REF!*Crescimento!#REF!)</f>
        <v>#REF!</v>
      </c>
      <c r="Q77" s="16" t="e">
        <f>(R76+(Crescimento!#REF!-(R76*0.64))/0.8)/1000</f>
        <v>#REF!</v>
      </c>
      <c r="R77" s="17" t="e">
        <f>-53.07 + (304.89 * (Q77)) + (90.79 *Crescimento!#REF!) - (3.13 * Crescimento!#REF!*Crescimento!#REF!)</f>
        <v>#REF!</v>
      </c>
      <c r="T77" s="16" t="e">
        <f>(U76+(Crescimento!#REF!-(U76*0.64))/0.8)/1000</f>
        <v>#REF!</v>
      </c>
      <c r="U77" s="17" t="e">
        <f>-53.07 + (304.89 * (T77)) + (90.79 *Crescimento!#REF!) - (3.13 * Crescimento!#REF!*Crescimento!#REF!)</f>
        <v>#REF!</v>
      </c>
      <c r="W77" s="16" t="e">
        <f>(X76+(Crescimento!#REF!-(X76*0.64))/0.8)/1000</f>
        <v>#REF!</v>
      </c>
      <c r="X77" s="17" t="e">
        <f>-53.07 + (304.89 * (W77)) + (90.79 *Crescimento!#REF!) - (3.13 * Crescimento!#REF!*Crescimento!#REF!)</f>
        <v>#REF!</v>
      </c>
      <c r="Y77" s="6"/>
      <c r="Z77" s="16" t="e">
        <f>(AA76+(Crescimento!#REF!-(AA76*0.64))/0.8)/1000</f>
        <v>#REF!</v>
      </c>
      <c r="AA77" s="17" t="e">
        <f>-53.07 + (304.89 * (Z77)) + (90.79 *Crescimento!#REF!) - (3.13 * Crescimento!#REF!*Crescimento!#REF!)</f>
        <v>#REF!</v>
      </c>
      <c r="AB77" s="6"/>
      <c r="AC77" s="16" t="e">
        <f>(AD76+(Crescimento!#REF!-(AD76*0.64))/0.8)/1000</f>
        <v>#REF!</v>
      </c>
      <c r="AD77" s="17" t="e">
        <f>-53.07 + (304.89 * (AC77)) + (90.79 *Crescimento!#REF!) - (3.13 * Crescimento!#REF!*Crescimento!#REF!)</f>
        <v>#REF!</v>
      </c>
      <c r="AE77" s="17"/>
      <c r="AF77" s="16" t="e">
        <f>(AG76+(Crescimento!#REF!-(AG76*0.64))/0.8)/1000</f>
        <v>#REF!</v>
      </c>
      <c r="AG77" s="17" t="e">
        <f>-53.07 + (304.89 * (AF77)) + (90.79 *Crescimento!#REF!) - (3.13 * Crescimento!#REF!*Crescimento!#REF!)</f>
        <v>#REF!</v>
      </c>
      <c r="AI77" s="16" t="e">
        <f>(AJ76+(Crescimento!#REF!-(AJ76*0.64))/0.8)/1000</f>
        <v>#REF!</v>
      </c>
      <c r="AJ77" s="17" t="e">
        <f>-53.07 + (304.89 * (AI77)) + (90.79 *Crescimento!#REF!) - (3.13 * Crescimento!#REF!*Crescimento!#REF!)</f>
        <v>#REF!</v>
      </c>
      <c r="AL77" s="16" t="e">
        <f>(AM76+(Crescimento!#REF!-(AM76*0.64))/0.8)/1000</f>
        <v>#REF!</v>
      </c>
      <c r="AM77" s="17" t="e">
        <f>-53.07 + (304.89 * (AL77)) + (90.79 *Crescimento!#REF!) - (3.13 * Crescimento!#REF!*Crescimento!#REF!)</f>
        <v>#REF!</v>
      </c>
      <c r="AO77" s="16" t="e">
        <f>(AP76+(Crescimento!#REF!-(AP76*0.64))/0.8)/1000</f>
        <v>#REF!</v>
      </c>
      <c r="AP77" s="17" t="e">
        <f>-53.07 + (304.89 * (AO77)) + (90.79 *Crescimento!#REF!) - (3.13 * Crescimento!#REF!*Crescimento!#REF!)</f>
        <v>#REF!</v>
      </c>
      <c r="AR77" s="16" t="e">
        <f>(AS76+(Crescimento!#REF!-(AS76*0.64))/0.8)/1000</f>
        <v>#REF!</v>
      </c>
      <c r="AS77" s="17" t="e">
        <f>-53.07 + (304.89 * (AR77)) + (90.79 *Crescimento!#REF!) - (3.13 * Crescimento!#REF!*Crescimento!#REF!)</f>
        <v>#REF!</v>
      </c>
      <c r="AU77" s="16" t="e">
        <f>(AV76+(Crescimento!#REF!-(AV76*0.64))/0.8)/1000</f>
        <v>#REF!</v>
      </c>
      <c r="AV77" s="17" t="e">
        <f>-53.07 + (304.89 * (AU77)) + (90.79 *Crescimento!#REF!) - (3.13 * Crescimento!#REF!*Crescimento!#REF!)</f>
        <v>#REF!</v>
      </c>
      <c r="AX77" s="16" t="e">
        <f>(AY76+(Crescimento!#REF!-(AY76*0.64))/0.8)/1000</f>
        <v>#REF!</v>
      </c>
      <c r="AY77" s="17" t="e">
        <f>-53.07 + (304.89 * (AX77)) + (90.79 *Crescimento!#REF!) - (3.13 * Crescimento!#REF!*Crescimento!#REF!)</f>
        <v>#REF!</v>
      </c>
      <c r="BA77" s="16" t="e">
        <f>(BB76+(Crescimento!#REF!-(BB76*0.64))/0.8)/1000</f>
        <v>#REF!</v>
      </c>
      <c r="BB77" s="17" t="e">
        <f>-53.07 + (304.89 * (BA77)) + (90.79 *Crescimento!#REF!) - (3.13 * Crescimento!#REF!*Crescimento!#REF!)</f>
        <v>#REF!</v>
      </c>
      <c r="BD77" s="16" t="e">
        <f>(BE76+(Crescimento!#REF!-(BE76*0.64))/0.8)/1000</f>
        <v>#REF!</v>
      </c>
      <c r="BE77" s="17" t="e">
        <f>-53.07 + (304.89 * (BD77)) + (90.79 *Crescimento!#REF!) - (3.13 * Crescimento!#REF!*Crescimento!#REF!)</f>
        <v>#REF!</v>
      </c>
      <c r="BG77" s="16" t="e">
        <f>(BH76+(Crescimento!#REF!-(BH76*0.64))/0.8)/1000</f>
        <v>#REF!</v>
      </c>
      <c r="BH77" s="17" t="e">
        <f>-53.07 + (304.89 * (BG77)) + (90.79 *Crescimento!#REF!) - (3.13 * Crescimento!#REF!*Crescimento!#REF!)</f>
        <v>#REF!</v>
      </c>
      <c r="BJ77" s="16" t="e">
        <f>(BK76+(Crescimento!#REF!-(BK76*0.64))/0.8)/1000</f>
        <v>#REF!</v>
      </c>
      <c r="BK77" s="17" t="e">
        <f>-53.07 + (304.89 * (BJ77)) + (90.79 *Crescimento!#REF!) - (3.13 * Crescimento!#REF!*Crescimento!#REF!)</f>
        <v>#REF!</v>
      </c>
      <c r="BM77" s="16" t="e">
        <f>(BN76+(Crescimento!#REF!-(BN76*0.64))/0.8)/1000</f>
        <v>#REF!</v>
      </c>
      <c r="BN77" s="17" t="e">
        <f>-53.07 + (304.89 * (BM77)) + (90.79 *Crescimento!#REF!) - (3.13 * Crescimento!#REF!*Crescimento!#REF!)</f>
        <v>#REF!</v>
      </c>
      <c r="BP77" s="16" t="e">
        <f>(BQ76+(Crescimento!#REF!-(BQ76*0.64))/0.8)/1000</f>
        <v>#REF!</v>
      </c>
      <c r="BQ77" s="17" t="e">
        <f>-53.07 + (304.89 * (BP77)) + (90.79 *Crescimento!#REF!) - (3.13 * Crescimento!#REF!*Crescimento!#REF!)</f>
        <v>#REF!</v>
      </c>
      <c r="BS77" s="16" t="e">
        <f>(BT76+(Crescimento!#REF!-(BT76*0.64))/0.8)/1000</f>
        <v>#REF!</v>
      </c>
      <c r="BT77" s="17" t="e">
        <f>-53.07 + (304.89 * (BS77)) + (90.79 *Crescimento!#REF!) - (3.13 * Crescimento!#REF!*Crescimento!#REF!)</f>
        <v>#REF!</v>
      </c>
      <c r="BV77" s="16" t="e">
        <f>(BW76+(Crescimento!#REF!-(BW76*0.64))/0.8)/1000</f>
        <v>#REF!</v>
      </c>
      <c r="BW77" s="17" t="e">
        <f>-53.07 + (304.89 * (BV77)) + (90.79 *Crescimento!#REF!) - (3.13 * Crescimento!#REF!*Crescimento!#REF!)</f>
        <v>#REF!</v>
      </c>
      <c r="BY77" s="16" t="e">
        <f>(BZ76+(Crescimento!#REF!-(BZ76*0.64))/0.8)/1000</f>
        <v>#REF!</v>
      </c>
      <c r="BZ77" s="17" t="e">
        <f>-53.07 + (304.89 * (BY77)) + (90.79 *Crescimento!#REF!) - (3.13 * Crescimento!#REF!*Crescimento!#REF!)</f>
        <v>#REF!</v>
      </c>
      <c r="CB77" s="16" t="e">
        <f>(CC76+(Crescimento!#REF!-(CC76*0.64))/0.8)/1000</f>
        <v>#REF!</v>
      </c>
      <c r="CC77" s="17" t="e">
        <f>-53.07 + (304.89 * (CB77)) + (90.79 *Crescimento!#REF!) - (3.13 * Crescimento!#REF!*Crescimento!#REF!)</f>
        <v>#REF!</v>
      </c>
      <c r="CE77" s="16" t="e">
        <f>(CF76+(Crescimento!#REF!-(CF76*0.64))/0.8)/1000</f>
        <v>#REF!</v>
      </c>
      <c r="CF77" s="17" t="e">
        <f>-53.07 + (304.89 * (CE77)) + (90.79 *Crescimento!#REF!) - (3.13 * Crescimento!#REF!*Crescimento!#REF!)</f>
        <v>#REF!</v>
      </c>
      <c r="CH77" s="16" t="e">
        <f>(CI76+(Crescimento!#REF!-(CI76*0.64))/0.8)/1000</f>
        <v>#REF!</v>
      </c>
      <c r="CI77" s="17" t="e">
        <f>-53.07 + (304.89 * (CH77)) + (90.79 *Crescimento!#REF!) - (3.13 * Crescimento!#REF!*Crescimento!#REF!)</f>
        <v>#REF!</v>
      </c>
      <c r="CK77" s="16" t="e">
        <f>(CL76+(Crescimento!#REF!-(CL76*0.64))/0.8)/1000</f>
        <v>#REF!</v>
      </c>
      <c r="CL77" s="17" t="e">
        <f>-53.07 + (304.89 * (CK77)) + (90.79 *Crescimento!#REF!) - (3.13 * Crescimento!#REF!*Crescimento!#REF!)</f>
        <v>#REF!</v>
      </c>
    </row>
    <row r="78" spans="2:90" x14ac:dyDescent="0.25">
      <c r="B78" s="16">
        <f>(C77+('Vacas e Bezerros'!$O$29-(C77*0.64))/0.8)/1000</f>
        <v>1.1219974776113528</v>
      </c>
      <c r="C78" s="17">
        <f>-53.07 + (304.89 * (B78)) + (90.79 *'Vacas e Bezerros'!$O$23) - (3.13 * 'Vacas e Bezerros'!$O$23*'Vacas e Bezerros'!$O$23)</f>
        <v>715.77733851110622</v>
      </c>
      <c r="E78" s="16" t="e">
        <f>(F77+(Crescimento!#REF!-(F77*0.64))/0.8)/1000</f>
        <v>#REF!</v>
      </c>
      <c r="F78" s="17" t="e">
        <f>-53.07 + (304.89 * (E78)) + (90.79 *Crescimento!#REF!) - (3.13 * Crescimento!#REF!*Crescimento!#REF!)</f>
        <v>#REF!</v>
      </c>
      <c r="G78" s="1"/>
      <c r="H78" s="16" t="e">
        <f>(I77+(Crescimento!#REF!-(I77*0.64))/0.8)/1000</f>
        <v>#REF!</v>
      </c>
      <c r="I78" s="17" t="e">
        <f>-53.07 + (304.89 * (H78)) + (90.79 *Crescimento!#REF!) - (3.13 * Crescimento!#REF!*Crescimento!#REF!)</f>
        <v>#REF!</v>
      </c>
      <c r="K78" s="16" t="e">
        <f>(L77+(Crescimento!#REF!-(L77*0.64))/0.8)/1000</f>
        <v>#REF!</v>
      </c>
      <c r="L78" s="17" t="e">
        <f>-53.07 + (304.89 * (K78)) + (90.79 *Crescimento!#REF!) - (3.13 * Crescimento!#REF!*Crescimento!#REF!)</f>
        <v>#REF!</v>
      </c>
      <c r="N78" s="16" t="e">
        <f>(O77+(Crescimento!#REF!-(O77*0.64))/0.8)/1000</f>
        <v>#REF!</v>
      </c>
      <c r="O78" s="17" t="e">
        <f>-53.07 + (304.89 * (N78)) + (90.79 *Crescimento!#REF!) - (3.13 * Crescimento!#REF!*Crescimento!#REF!)</f>
        <v>#REF!</v>
      </c>
      <c r="Q78" s="16" t="e">
        <f>(R77+(Crescimento!#REF!-(R77*0.64))/0.8)/1000</f>
        <v>#REF!</v>
      </c>
      <c r="R78" s="17" t="e">
        <f>-53.07 + (304.89 * (Q78)) + (90.79 *Crescimento!#REF!) - (3.13 * Crescimento!#REF!*Crescimento!#REF!)</f>
        <v>#REF!</v>
      </c>
      <c r="T78" s="16" t="e">
        <f>(U77+(Crescimento!#REF!-(U77*0.64))/0.8)/1000</f>
        <v>#REF!</v>
      </c>
      <c r="U78" s="17" t="e">
        <f>-53.07 + (304.89 * (T78)) + (90.79 *Crescimento!#REF!) - (3.13 * Crescimento!#REF!*Crescimento!#REF!)</f>
        <v>#REF!</v>
      </c>
      <c r="W78" s="16" t="e">
        <f>(X77+(Crescimento!#REF!-(X77*0.64))/0.8)/1000</f>
        <v>#REF!</v>
      </c>
      <c r="X78" s="17" t="e">
        <f>-53.07 + (304.89 * (W78)) + (90.79 *Crescimento!#REF!) - (3.13 * Crescimento!#REF!*Crescimento!#REF!)</f>
        <v>#REF!</v>
      </c>
      <c r="Y78" s="6"/>
      <c r="Z78" s="16" t="e">
        <f>(AA77+(Crescimento!#REF!-(AA77*0.64))/0.8)/1000</f>
        <v>#REF!</v>
      </c>
      <c r="AA78" s="17" t="e">
        <f>-53.07 + (304.89 * (Z78)) + (90.79 *Crescimento!#REF!) - (3.13 * Crescimento!#REF!*Crescimento!#REF!)</f>
        <v>#REF!</v>
      </c>
      <c r="AB78" s="6"/>
      <c r="AC78" s="16" t="e">
        <f>(AD77+(Crescimento!#REF!-(AD77*0.64))/0.8)/1000</f>
        <v>#REF!</v>
      </c>
      <c r="AD78" s="17" t="e">
        <f>-53.07 + (304.89 * (AC78)) + (90.79 *Crescimento!#REF!) - (3.13 * Crescimento!#REF!*Crescimento!#REF!)</f>
        <v>#REF!</v>
      </c>
      <c r="AE78" s="17"/>
      <c r="AF78" s="16" t="e">
        <f>(AG77+(Crescimento!#REF!-(AG77*0.64))/0.8)/1000</f>
        <v>#REF!</v>
      </c>
      <c r="AG78" s="17" t="e">
        <f>-53.07 + (304.89 * (AF78)) + (90.79 *Crescimento!#REF!) - (3.13 * Crescimento!#REF!*Crescimento!#REF!)</f>
        <v>#REF!</v>
      </c>
      <c r="AI78" s="16" t="e">
        <f>(AJ77+(Crescimento!#REF!-(AJ77*0.64))/0.8)/1000</f>
        <v>#REF!</v>
      </c>
      <c r="AJ78" s="17" t="e">
        <f>-53.07 + (304.89 * (AI78)) + (90.79 *Crescimento!#REF!) - (3.13 * Crescimento!#REF!*Crescimento!#REF!)</f>
        <v>#REF!</v>
      </c>
      <c r="AL78" s="16" t="e">
        <f>(AM77+(Crescimento!#REF!-(AM77*0.64))/0.8)/1000</f>
        <v>#REF!</v>
      </c>
      <c r="AM78" s="17" t="e">
        <f>-53.07 + (304.89 * (AL78)) + (90.79 *Crescimento!#REF!) - (3.13 * Crescimento!#REF!*Crescimento!#REF!)</f>
        <v>#REF!</v>
      </c>
      <c r="AO78" s="16" t="e">
        <f>(AP77+(Crescimento!#REF!-(AP77*0.64))/0.8)/1000</f>
        <v>#REF!</v>
      </c>
      <c r="AP78" s="17" t="e">
        <f>-53.07 + (304.89 * (AO78)) + (90.79 *Crescimento!#REF!) - (3.13 * Crescimento!#REF!*Crescimento!#REF!)</f>
        <v>#REF!</v>
      </c>
      <c r="AR78" s="16" t="e">
        <f>(AS77+(Crescimento!#REF!-(AS77*0.64))/0.8)/1000</f>
        <v>#REF!</v>
      </c>
      <c r="AS78" s="17" t="e">
        <f>-53.07 + (304.89 * (AR78)) + (90.79 *Crescimento!#REF!) - (3.13 * Crescimento!#REF!*Crescimento!#REF!)</f>
        <v>#REF!</v>
      </c>
      <c r="AU78" s="16" t="e">
        <f>(AV77+(Crescimento!#REF!-(AV77*0.64))/0.8)/1000</f>
        <v>#REF!</v>
      </c>
      <c r="AV78" s="17" t="e">
        <f>-53.07 + (304.89 * (AU78)) + (90.79 *Crescimento!#REF!) - (3.13 * Crescimento!#REF!*Crescimento!#REF!)</f>
        <v>#REF!</v>
      </c>
      <c r="AX78" s="16" t="e">
        <f>(AY77+(Crescimento!#REF!-(AY77*0.64))/0.8)/1000</f>
        <v>#REF!</v>
      </c>
      <c r="AY78" s="17" t="e">
        <f>-53.07 + (304.89 * (AX78)) + (90.79 *Crescimento!#REF!) - (3.13 * Crescimento!#REF!*Crescimento!#REF!)</f>
        <v>#REF!</v>
      </c>
      <c r="BA78" s="16" t="e">
        <f>(BB77+(Crescimento!#REF!-(BB77*0.64))/0.8)/1000</f>
        <v>#REF!</v>
      </c>
      <c r="BB78" s="17" t="e">
        <f>-53.07 + (304.89 * (BA78)) + (90.79 *Crescimento!#REF!) - (3.13 * Crescimento!#REF!*Crescimento!#REF!)</f>
        <v>#REF!</v>
      </c>
      <c r="BD78" s="16" t="e">
        <f>(BE77+(Crescimento!#REF!-(BE77*0.64))/0.8)/1000</f>
        <v>#REF!</v>
      </c>
      <c r="BE78" s="17" t="e">
        <f>-53.07 + (304.89 * (BD78)) + (90.79 *Crescimento!#REF!) - (3.13 * Crescimento!#REF!*Crescimento!#REF!)</f>
        <v>#REF!</v>
      </c>
      <c r="BG78" s="16" t="e">
        <f>(BH77+(Crescimento!#REF!-(BH77*0.64))/0.8)/1000</f>
        <v>#REF!</v>
      </c>
      <c r="BH78" s="17" t="e">
        <f>-53.07 + (304.89 * (BG78)) + (90.79 *Crescimento!#REF!) - (3.13 * Crescimento!#REF!*Crescimento!#REF!)</f>
        <v>#REF!</v>
      </c>
      <c r="BJ78" s="16" t="e">
        <f>(BK77+(Crescimento!#REF!-(BK77*0.64))/0.8)/1000</f>
        <v>#REF!</v>
      </c>
      <c r="BK78" s="17" t="e">
        <f>-53.07 + (304.89 * (BJ78)) + (90.79 *Crescimento!#REF!) - (3.13 * Crescimento!#REF!*Crescimento!#REF!)</f>
        <v>#REF!</v>
      </c>
      <c r="BM78" s="16" t="e">
        <f>(BN77+(Crescimento!#REF!-(BN77*0.64))/0.8)/1000</f>
        <v>#REF!</v>
      </c>
      <c r="BN78" s="17" t="e">
        <f>-53.07 + (304.89 * (BM78)) + (90.79 *Crescimento!#REF!) - (3.13 * Crescimento!#REF!*Crescimento!#REF!)</f>
        <v>#REF!</v>
      </c>
      <c r="BP78" s="16" t="e">
        <f>(BQ77+(Crescimento!#REF!-(BQ77*0.64))/0.8)/1000</f>
        <v>#REF!</v>
      </c>
      <c r="BQ78" s="17" t="e">
        <f>-53.07 + (304.89 * (BP78)) + (90.79 *Crescimento!#REF!) - (3.13 * Crescimento!#REF!*Crescimento!#REF!)</f>
        <v>#REF!</v>
      </c>
      <c r="BS78" s="16" t="e">
        <f>(BT77+(Crescimento!#REF!-(BT77*0.64))/0.8)/1000</f>
        <v>#REF!</v>
      </c>
      <c r="BT78" s="17" t="e">
        <f>-53.07 + (304.89 * (BS78)) + (90.79 *Crescimento!#REF!) - (3.13 * Crescimento!#REF!*Crescimento!#REF!)</f>
        <v>#REF!</v>
      </c>
      <c r="BV78" s="16" t="e">
        <f>(BW77+(Crescimento!#REF!-(BW77*0.64))/0.8)/1000</f>
        <v>#REF!</v>
      </c>
      <c r="BW78" s="17" t="e">
        <f>-53.07 + (304.89 * (BV78)) + (90.79 *Crescimento!#REF!) - (3.13 * Crescimento!#REF!*Crescimento!#REF!)</f>
        <v>#REF!</v>
      </c>
      <c r="BY78" s="16" t="e">
        <f>(BZ77+(Crescimento!#REF!-(BZ77*0.64))/0.8)/1000</f>
        <v>#REF!</v>
      </c>
      <c r="BZ78" s="17" t="e">
        <f>-53.07 + (304.89 * (BY78)) + (90.79 *Crescimento!#REF!) - (3.13 * Crescimento!#REF!*Crescimento!#REF!)</f>
        <v>#REF!</v>
      </c>
      <c r="CB78" s="16" t="e">
        <f>(CC77+(Crescimento!#REF!-(CC77*0.64))/0.8)/1000</f>
        <v>#REF!</v>
      </c>
      <c r="CC78" s="17" t="e">
        <f>-53.07 + (304.89 * (CB78)) + (90.79 *Crescimento!#REF!) - (3.13 * Crescimento!#REF!*Crescimento!#REF!)</f>
        <v>#REF!</v>
      </c>
      <c r="CE78" s="16" t="e">
        <f>(CF77+(Crescimento!#REF!-(CF77*0.64))/0.8)/1000</f>
        <v>#REF!</v>
      </c>
      <c r="CF78" s="17" t="e">
        <f>-53.07 + (304.89 * (CE78)) + (90.79 *Crescimento!#REF!) - (3.13 * Crescimento!#REF!*Crescimento!#REF!)</f>
        <v>#REF!</v>
      </c>
      <c r="CH78" s="16" t="e">
        <f>(CI77+(Crescimento!#REF!-(CI77*0.64))/0.8)/1000</f>
        <v>#REF!</v>
      </c>
      <c r="CI78" s="17" t="e">
        <f>-53.07 + (304.89 * (CH78)) + (90.79 *Crescimento!#REF!) - (3.13 * Crescimento!#REF!*Crescimento!#REF!)</f>
        <v>#REF!</v>
      </c>
      <c r="CK78" s="16" t="e">
        <f>(CL77+(Crescimento!#REF!-(CL77*0.64))/0.8)/1000</f>
        <v>#REF!</v>
      </c>
      <c r="CL78" s="17" t="e">
        <f>-53.07 + (304.89 * (CK78)) + (90.79 *Crescimento!#REF!) - (3.13 * Crescimento!#REF!*Crescimento!#REF!)</f>
        <v>#REF!</v>
      </c>
    </row>
    <row r="79" spans="2:90" x14ac:dyDescent="0.25">
      <c r="B79" s="16">
        <f>(C78+('Vacas e Bezerros'!$O$29-(C78*0.64))/0.8)/1000</f>
        <v>1.1219974776113528</v>
      </c>
      <c r="C79" s="17">
        <f>-53.07 + (304.89 * (B79)) + (90.79 *'Vacas e Bezerros'!$O$23) - (3.13 * 'Vacas e Bezerros'!$O$23*'Vacas e Bezerros'!$O$23)</f>
        <v>715.77733851110622</v>
      </c>
      <c r="E79" s="16" t="e">
        <f>(F78+(Crescimento!#REF!-(F78*0.64))/0.8)/1000</f>
        <v>#REF!</v>
      </c>
      <c r="F79" s="17" t="e">
        <f>-53.07 + (304.89 * (E79)) + (90.79 *Crescimento!#REF!) - (3.13 * Crescimento!#REF!*Crescimento!#REF!)</f>
        <v>#REF!</v>
      </c>
      <c r="G79" s="1"/>
      <c r="H79" s="16" t="e">
        <f>(I78+(Crescimento!#REF!-(I78*0.64))/0.8)/1000</f>
        <v>#REF!</v>
      </c>
      <c r="I79" s="17" t="e">
        <f>-53.07 + (304.89 * (H79)) + (90.79 *Crescimento!#REF!) - (3.13 * Crescimento!#REF!*Crescimento!#REF!)</f>
        <v>#REF!</v>
      </c>
      <c r="K79" s="16" t="e">
        <f>(L78+(Crescimento!#REF!-(L78*0.64))/0.8)/1000</f>
        <v>#REF!</v>
      </c>
      <c r="L79" s="17" t="e">
        <f>-53.07 + (304.89 * (K79)) + (90.79 *Crescimento!#REF!) - (3.13 * Crescimento!#REF!*Crescimento!#REF!)</f>
        <v>#REF!</v>
      </c>
      <c r="N79" s="16" t="e">
        <f>(O78+(Crescimento!#REF!-(O78*0.64))/0.8)/1000</f>
        <v>#REF!</v>
      </c>
      <c r="O79" s="17" t="e">
        <f>-53.07 + (304.89 * (N79)) + (90.79 *Crescimento!#REF!) - (3.13 * Crescimento!#REF!*Crescimento!#REF!)</f>
        <v>#REF!</v>
      </c>
      <c r="Q79" s="16" t="e">
        <f>(R78+(Crescimento!#REF!-(R78*0.64))/0.8)/1000</f>
        <v>#REF!</v>
      </c>
      <c r="R79" s="17" t="e">
        <f>-53.07 + (304.89 * (Q79)) + (90.79 *Crescimento!#REF!) - (3.13 * Crescimento!#REF!*Crescimento!#REF!)</f>
        <v>#REF!</v>
      </c>
      <c r="T79" s="16" t="e">
        <f>(U78+(Crescimento!#REF!-(U78*0.64))/0.8)/1000</f>
        <v>#REF!</v>
      </c>
      <c r="U79" s="17" t="e">
        <f>-53.07 + (304.89 * (T79)) + (90.79 *Crescimento!#REF!) - (3.13 * Crescimento!#REF!*Crescimento!#REF!)</f>
        <v>#REF!</v>
      </c>
      <c r="W79" s="16" t="e">
        <f>(X78+(Crescimento!#REF!-(X78*0.64))/0.8)/1000</f>
        <v>#REF!</v>
      </c>
      <c r="X79" s="17" t="e">
        <f>-53.07 + (304.89 * (W79)) + (90.79 *Crescimento!#REF!) - (3.13 * Crescimento!#REF!*Crescimento!#REF!)</f>
        <v>#REF!</v>
      </c>
      <c r="Y79" s="6"/>
      <c r="Z79" s="16" t="e">
        <f>(AA78+(Crescimento!#REF!-(AA78*0.64))/0.8)/1000</f>
        <v>#REF!</v>
      </c>
      <c r="AA79" s="17" t="e">
        <f>-53.07 + (304.89 * (Z79)) + (90.79 *Crescimento!#REF!) - (3.13 * Crescimento!#REF!*Crescimento!#REF!)</f>
        <v>#REF!</v>
      </c>
      <c r="AB79" s="6"/>
      <c r="AC79" s="16" t="e">
        <f>(AD78+(Crescimento!#REF!-(AD78*0.64))/0.8)/1000</f>
        <v>#REF!</v>
      </c>
      <c r="AD79" s="17" t="e">
        <f>-53.07 + (304.89 * (AC79)) + (90.79 *Crescimento!#REF!) - (3.13 * Crescimento!#REF!*Crescimento!#REF!)</f>
        <v>#REF!</v>
      </c>
      <c r="AE79" s="17"/>
      <c r="AF79" s="16" t="e">
        <f>(AG78+(Crescimento!#REF!-(AG78*0.64))/0.8)/1000</f>
        <v>#REF!</v>
      </c>
      <c r="AG79" s="17" t="e">
        <f>-53.07 + (304.89 * (AF79)) + (90.79 *Crescimento!#REF!) - (3.13 * Crescimento!#REF!*Crescimento!#REF!)</f>
        <v>#REF!</v>
      </c>
      <c r="AI79" s="16" t="e">
        <f>(AJ78+(Crescimento!#REF!-(AJ78*0.64))/0.8)/1000</f>
        <v>#REF!</v>
      </c>
      <c r="AJ79" s="17" t="e">
        <f>-53.07 + (304.89 * (AI79)) + (90.79 *Crescimento!#REF!) - (3.13 * Crescimento!#REF!*Crescimento!#REF!)</f>
        <v>#REF!</v>
      </c>
      <c r="AL79" s="16" t="e">
        <f>(AM78+(Crescimento!#REF!-(AM78*0.64))/0.8)/1000</f>
        <v>#REF!</v>
      </c>
      <c r="AM79" s="17" t="e">
        <f>-53.07 + (304.89 * (AL79)) + (90.79 *Crescimento!#REF!) - (3.13 * Crescimento!#REF!*Crescimento!#REF!)</f>
        <v>#REF!</v>
      </c>
      <c r="AO79" s="16" t="e">
        <f>(AP78+(Crescimento!#REF!-(AP78*0.64))/0.8)/1000</f>
        <v>#REF!</v>
      </c>
      <c r="AP79" s="17" t="e">
        <f>-53.07 + (304.89 * (AO79)) + (90.79 *Crescimento!#REF!) - (3.13 * Crescimento!#REF!*Crescimento!#REF!)</f>
        <v>#REF!</v>
      </c>
      <c r="AR79" s="16" t="e">
        <f>(AS78+(Crescimento!#REF!-(AS78*0.64))/0.8)/1000</f>
        <v>#REF!</v>
      </c>
      <c r="AS79" s="17" t="e">
        <f>-53.07 + (304.89 * (AR79)) + (90.79 *Crescimento!#REF!) - (3.13 * Crescimento!#REF!*Crescimento!#REF!)</f>
        <v>#REF!</v>
      </c>
      <c r="AU79" s="16" t="e">
        <f>(AV78+(Crescimento!#REF!-(AV78*0.64))/0.8)/1000</f>
        <v>#REF!</v>
      </c>
      <c r="AV79" s="17" t="e">
        <f>-53.07 + (304.89 * (AU79)) + (90.79 *Crescimento!#REF!) - (3.13 * Crescimento!#REF!*Crescimento!#REF!)</f>
        <v>#REF!</v>
      </c>
      <c r="AX79" s="16" t="e">
        <f>(AY78+(Crescimento!#REF!-(AY78*0.64))/0.8)/1000</f>
        <v>#REF!</v>
      </c>
      <c r="AY79" s="17" t="e">
        <f>-53.07 + (304.89 * (AX79)) + (90.79 *Crescimento!#REF!) - (3.13 * Crescimento!#REF!*Crescimento!#REF!)</f>
        <v>#REF!</v>
      </c>
      <c r="BA79" s="16" t="e">
        <f>(BB78+(Crescimento!#REF!-(BB78*0.64))/0.8)/1000</f>
        <v>#REF!</v>
      </c>
      <c r="BB79" s="17" t="e">
        <f>-53.07 + (304.89 * (BA79)) + (90.79 *Crescimento!#REF!) - (3.13 * Crescimento!#REF!*Crescimento!#REF!)</f>
        <v>#REF!</v>
      </c>
      <c r="BD79" s="16" t="e">
        <f>(BE78+(Crescimento!#REF!-(BE78*0.64))/0.8)/1000</f>
        <v>#REF!</v>
      </c>
      <c r="BE79" s="17" t="e">
        <f>-53.07 + (304.89 * (BD79)) + (90.79 *Crescimento!#REF!) - (3.13 * Crescimento!#REF!*Crescimento!#REF!)</f>
        <v>#REF!</v>
      </c>
      <c r="BG79" s="16" t="e">
        <f>(BH78+(Crescimento!#REF!-(BH78*0.64))/0.8)/1000</f>
        <v>#REF!</v>
      </c>
      <c r="BH79" s="17" t="e">
        <f>-53.07 + (304.89 * (BG79)) + (90.79 *Crescimento!#REF!) - (3.13 * Crescimento!#REF!*Crescimento!#REF!)</f>
        <v>#REF!</v>
      </c>
      <c r="BJ79" s="16" t="e">
        <f>(BK78+(Crescimento!#REF!-(BK78*0.64))/0.8)/1000</f>
        <v>#REF!</v>
      </c>
      <c r="BK79" s="17" t="e">
        <f>-53.07 + (304.89 * (BJ79)) + (90.79 *Crescimento!#REF!) - (3.13 * Crescimento!#REF!*Crescimento!#REF!)</f>
        <v>#REF!</v>
      </c>
      <c r="BM79" s="16" t="e">
        <f>(BN78+(Crescimento!#REF!-(BN78*0.64))/0.8)/1000</f>
        <v>#REF!</v>
      </c>
      <c r="BN79" s="17" t="e">
        <f>-53.07 + (304.89 * (BM79)) + (90.79 *Crescimento!#REF!) - (3.13 * Crescimento!#REF!*Crescimento!#REF!)</f>
        <v>#REF!</v>
      </c>
      <c r="BP79" s="16" t="e">
        <f>(BQ78+(Crescimento!#REF!-(BQ78*0.64))/0.8)/1000</f>
        <v>#REF!</v>
      </c>
      <c r="BQ79" s="17" t="e">
        <f>-53.07 + (304.89 * (BP79)) + (90.79 *Crescimento!#REF!) - (3.13 * Crescimento!#REF!*Crescimento!#REF!)</f>
        <v>#REF!</v>
      </c>
      <c r="BS79" s="16" t="e">
        <f>(BT78+(Crescimento!#REF!-(BT78*0.64))/0.8)/1000</f>
        <v>#REF!</v>
      </c>
      <c r="BT79" s="17" t="e">
        <f>-53.07 + (304.89 * (BS79)) + (90.79 *Crescimento!#REF!) - (3.13 * Crescimento!#REF!*Crescimento!#REF!)</f>
        <v>#REF!</v>
      </c>
      <c r="BV79" s="16" t="e">
        <f>(BW78+(Crescimento!#REF!-(BW78*0.64))/0.8)/1000</f>
        <v>#REF!</v>
      </c>
      <c r="BW79" s="17" t="e">
        <f>-53.07 + (304.89 * (BV79)) + (90.79 *Crescimento!#REF!) - (3.13 * Crescimento!#REF!*Crescimento!#REF!)</f>
        <v>#REF!</v>
      </c>
      <c r="BY79" s="16" t="e">
        <f>(BZ78+(Crescimento!#REF!-(BZ78*0.64))/0.8)/1000</f>
        <v>#REF!</v>
      </c>
      <c r="BZ79" s="17" t="e">
        <f>-53.07 + (304.89 * (BY79)) + (90.79 *Crescimento!#REF!) - (3.13 * Crescimento!#REF!*Crescimento!#REF!)</f>
        <v>#REF!</v>
      </c>
      <c r="CB79" s="16" t="e">
        <f>(CC78+(Crescimento!#REF!-(CC78*0.64))/0.8)/1000</f>
        <v>#REF!</v>
      </c>
      <c r="CC79" s="17" t="e">
        <f>-53.07 + (304.89 * (CB79)) + (90.79 *Crescimento!#REF!) - (3.13 * Crescimento!#REF!*Crescimento!#REF!)</f>
        <v>#REF!</v>
      </c>
      <c r="CE79" s="16" t="e">
        <f>(CF78+(Crescimento!#REF!-(CF78*0.64))/0.8)/1000</f>
        <v>#REF!</v>
      </c>
      <c r="CF79" s="17" t="e">
        <f>-53.07 + (304.89 * (CE79)) + (90.79 *Crescimento!#REF!) - (3.13 * Crescimento!#REF!*Crescimento!#REF!)</f>
        <v>#REF!</v>
      </c>
      <c r="CH79" s="16" t="e">
        <f>(CI78+(Crescimento!#REF!-(CI78*0.64))/0.8)/1000</f>
        <v>#REF!</v>
      </c>
      <c r="CI79" s="17" t="e">
        <f>-53.07 + (304.89 * (CH79)) + (90.79 *Crescimento!#REF!) - (3.13 * Crescimento!#REF!*Crescimento!#REF!)</f>
        <v>#REF!</v>
      </c>
      <c r="CK79" s="16" t="e">
        <f>(CL78+(Crescimento!#REF!-(CL78*0.64))/0.8)/1000</f>
        <v>#REF!</v>
      </c>
      <c r="CL79" s="17" t="e">
        <f>-53.07 + (304.89 * (CK79)) + (90.79 *Crescimento!#REF!) - (3.13 * Crescimento!#REF!*Crescimento!#REF!)</f>
        <v>#REF!</v>
      </c>
    </row>
    <row r="80" spans="2:90" x14ac:dyDescent="0.25">
      <c r="B80" s="16">
        <f>(C79+('Vacas e Bezerros'!$O$29-(C79*0.64))/0.8)/1000</f>
        <v>1.1219974776113528</v>
      </c>
      <c r="C80" s="17">
        <f>-53.07 + (304.89 * (B80)) + (90.79 *'Vacas e Bezerros'!$O$23) - (3.13 * 'Vacas e Bezerros'!$O$23*'Vacas e Bezerros'!$O$23)</f>
        <v>715.77733851110622</v>
      </c>
      <c r="E80" s="16" t="e">
        <f>(F79+(Crescimento!#REF!-(F79*0.64))/0.8)/1000</f>
        <v>#REF!</v>
      </c>
      <c r="F80" s="17" t="e">
        <f>-53.07 + (304.89 * (E80)) + (90.79 *Crescimento!#REF!) - (3.13 * Crescimento!#REF!*Crescimento!#REF!)</f>
        <v>#REF!</v>
      </c>
      <c r="G80" s="1"/>
      <c r="H80" s="16" t="e">
        <f>(I79+(Crescimento!#REF!-(I79*0.64))/0.8)/1000</f>
        <v>#REF!</v>
      </c>
      <c r="I80" s="17" t="e">
        <f>-53.07 + (304.89 * (H80)) + (90.79 *Crescimento!#REF!) - (3.13 * Crescimento!#REF!*Crescimento!#REF!)</f>
        <v>#REF!</v>
      </c>
      <c r="K80" s="16" t="e">
        <f>(L79+(Crescimento!#REF!-(L79*0.64))/0.8)/1000</f>
        <v>#REF!</v>
      </c>
      <c r="L80" s="17" t="e">
        <f>-53.07 + (304.89 * (K80)) + (90.79 *Crescimento!#REF!) - (3.13 * Crescimento!#REF!*Crescimento!#REF!)</f>
        <v>#REF!</v>
      </c>
      <c r="N80" s="16" t="e">
        <f>(O79+(Crescimento!#REF!-(O79*0.64))/0.8)/1000</f>
        <v>#REF!</v>
      </c>
      <c r="O80" s="17" t="e">
        <f>-53.07 + (304.89 * (N80)) + (90.79 *Crescimento!#REF!) - (3.13 * Crescimento!#REF!*Crescimento!#REF!)</f>
        <v>#REF!</v>
      </c>
      <c r="Q80" s="16" t="e">
        <f>(R79+(Crescimento!#REF!-(R79*0.64))/0.8)/1000</f>
        <v>#REF!</v>
      </c>
      <c r="R80" s="17" t="e">
        <f>-53.07 + (304.89 * (Q80)) + (90.79 *Crescimento!#REF!) - (3.13 * Crescimento!#REF!*Crescimento!#REF!)</f>
        <v>#REF!</v>
      </c>
      <c r="T80" s="16" t="e">
        <f>(U79+(Crescimento!#REF!-(U79*0.64))/0.8)/1000</f>
        <v>#REF!</v>
      </c>
      <c r="U80" s="17" t="e">
        <f>-53.07 + (304.89 * (T80)) + (90.79 *Crescimento!#REF!) - (3.13 * Crescimento!#REF!*Crescimento!#REF!)</f>
        <v>#REF!</v>
      </c>
      <c r="W80" s="16" t="e">
        <f>(X79+(Crescimento!#REF!-(X79*0.64))/0.8)/1000</f>
        <v>#REF!</v>
      </c>
      <c r="X80" s="17" t="e">
        <f>-53.07 + (304.89 * (W80)) + (90.79 *Crescimento!#REF!) - (3.13 * Crescimento!#REF!*Crescimento!#REF!)</f>
        <v>#REF!</v>
      </c>
      <c r="Y80" s="6"/>
      <c r="Z80" s="16" t="e">
        <f>(AA79+(Crescimento!#REF!-(AA79*0.64))/0.8)/1000</f>
        <v>#REF!</v>
      </c>
      <c r="AA80" s="17" t="e">
        <f>-53.07 + (304.89 * (Z80)) + (90.79 *Crescimento!#REF!) - (3.13 * Crescimento!#REF!*Crescimento!#REF!)</f>
        <v>#REF!</v>
      </c>
      <c r="AB80" s="6"/>
      <c r="AC80" s="16" t="e">
        <f>(AD79+(Crescimento!#REF!-(AD79*0.64))/0.8)/1000</f>
        <v>#REF!</v>
      </c>
      <c r="AD80" s="17" t="e">
        <f>-53.07 + (304.89 * (AC80)) + (90.79 *Crescimento!#REF!) - (3.13 * Crescimento!#REF!*Crescimento!#REF!)</f>
        <v>#REF!</v>
      </c>
      <c r="AE80" s="17"/>
      <c r="AF80" s="16" t="e">
        <f>(AG79+(Crescimento!#REF!-(AG79*0.64))/0.8)/1000</f>
        <v>#REF!</v>
      </c>
      <c r="AG80" s="17" t="e">
        <f>-53.07 + (304.89 * (AF80)) + (90.79 *Crescimento!#REF!) - (3.13 * Crescimento!#REF!*Crescimento!#REF!)</f>
        <v>#REF!</v>
      </c>
      <c r="AI80" s="16" t="e">
        <f>(AJ79+(Crescimento!#REF!-(AJ79*0.64))/0.8)/1000</f>
        <v>#REF!</v>
      </c>
      <c r="AJ80" s="17" t="e">
        <f>-53.07 + (304.89 * (AI80)) + (90.79 *Crescimento!#REF!) - (3.13 * Crescimento!#REF!*Crescimento!#REF!)</f>
        <v>#REF!</v>
      </c>
      <c r="AL80" s="16" t="e">
        <f>(AM79+(Crescimento!#REF!-(AM79*0.64))/0.8)/1000</f>
        <v>#REF!</v>
      </c>
      <c r="AM80" s="17" t="e">
        <f>-53.07 + (304.89 * (AL80)) + (90.79 *Crescimento!#REF!) - (3.13 * Crescimento!#REF!*Crescimento!#REF!)</f>
        <v>#REF!</v>
      </c>
      <c r="AO80" s="16" t="e">
        <f>(AP79+(Crescimento!#REF!-(AP79*0.64))/0.8)/1000</f>
        <v>#REF!</v>
      </c>
      <c r="AP80" s="17" t="e">
        <f>-53.07 + (304.89 * (AO80)) + (90.79 *Crescimento!#REF!) - (3.13 * Crescimento!#REF!*Crescimento!#REF!)</f>
        <v>#REF!</v>
      </c>
      <c r="AR80" s="16" t="e">
        <f>(AS79+(Crescimento!#REF!-(AS79*0.64))/0.8)/1000</f>
        <v>#REF!</v>
      </c>
      <c r="AS80" s="17" t="e">
        <f>-53.07 + (304.89 * (AR80)) + (90.79 *Crescimento!#REF!) - (3.13 * Crescimento!#REF!*Crescimento!#REF!)</f>
        <v>#REF!</v>
      </c>
      <c r="AU80" s="16" t="e">
        <f>(AV79+(Crescimento!#REF!-(AV79*0.64))/0.8)/1000</f>
        <v>#REF!</v>
      </c>
      <c r="AV80" s="17" t="e">
        <f>-53.07 + (304.89 * (AU80)) + (90.79 *Crescimento!#REF!) - (3.13 * Crescimento!#REF!*Crescimento!#REF!)</f>
        <v>#REF!</v>
      </c>
      <c r="AX80" s="16" t="e">
        <f>(AY79+(Crescimento!#REF!-(AY79*0.64))/0.8)/1000</f>
        <v>#REF!</v>
      </c>
      <c r="AY80" s="17" t="e">
        <f>-53.07 + (304.89 * (AX80)) + (90.79 *Crescimento!#REF!) - (3.13 * Crescimento!#REF!*Crescimento!#REF!)</f>
        <v>#REF!</v>
      </c>
      <c r="BA80" s="16" t="e">
        <f>(BB79+(Crescimento!#REF!-(BB79*0.64))/0.8)/1000</f>
        <v>#REF!</v>
      </c>
      <c r="BB80" s="17" t="e">
        <f>-53.07 + (304.89 * (BA80)) + (90.79 *Crescimento!#REF!) - (3.13 * Crescimento!#REF!*Crescimento!#REF!)</f>
        <v>#REF!</v>
      </c>
      <c r="BD80" s="16" t="e">
        <f>(BE79+(Crescimento!#REF!-(BE79*0.64))/0.8)/1000</f>
        <v>#REF!</v>
      </c>
      <c r="BE80" s="17" t="e">
        <f>-53.07 + (304.89 * (BD80)) + (90.79 *Crescimento!#REF!) - (3.13 * Crescimento!#REF!*Crescimento!#REF!)</f>
        <v>#REF!</v>
      </c>
      <c r="BG80" s="16" t="e">
        <f>(BH79+(Crescimento!#REF!-(BH79*0.64))/0.8)/1000</f>
        <v>#REF!</v>
      </c>
      <c r="BH80" s="17" t="e">
        <f>-53.07 + (304.89 * (BG80)) + (90.79 *Crescimento!#REF!) - (3.13 * Crescimento!#REF!*Crescimento!#REF!)</f>
        <v>#REF!</v>
      </c>
      <c r="BJ80" s="16" t="e">
        <f>(BK79+(Crescimento!#REF!-(BK79*0.64))/0.8)/1000</f>
        <v>#REF!</v>
      </c>
      <c r="BK80" s="17" t="e">
        <f>-53.07 + (304.89 * (BJ80)) + (90.79 *Crescimento!#REF!) - (3.13 * Crescimento!#REF!*Crescimento!#REF!)</f>
        <v>#REF!</v>
      </c>
      <c r="BM80" s="16" t="e">
        <f>(BN79+(Crescimento!#REF!-(BN79*0.64))/0.8)/1000</f>
        <v>#REF!</v>
      </c>
      <c r="BN80" s="17" t="e">
        <f>-53.07 + (304.89 * (BM80)) + (90.79 *Crescimento!#REF!) - (3.13 * Crescimento!#REF!*Crescimento!#REF!)</f>
        <v>#REF!</v>
      </c>
      <c r="BP80" s="16" t="e">
        <f>(BQ79+(Crescimento!#REF!-(BQ79*0.64))/0.8)/1000</f>
        <v>#REF!</v>
      </c>
      <c r="BQ80" s="17" t="e">
        <f>-53.07 + (304.89 * (BP80)) + (90.79 *Crescimento!#REF!) - (3.13 * Crescimento!#REF!*Crescimento!#REF!)</f>
        <v>#REF!</v>
      </c>
      <c r="BS80" s="16" t="e">
        <f>(BT79+(Crescimento!#REF!-(BT79*0.64))/0.8)/1000</f>
        <v>#REF!</v>
      </c>
      <c r="BT80" s="17" t="e">
        <f>-53.07 + (304.89 * (BS80)) + (90.79 *Crescimento!#REF!) - (3.13 * Crescimento!#REF!*Crescimento!#REF!)</f>
        <v>#REF!</v>
      </c>
      <c r="BV80" s="16" t="e">
        <f>(BW79+(Crescimento!#REF!-(BW79*0.64))/0.8)/1000</f>
        <v>#REF!</v>
      </c>
      <c r="BW80" s="17" t="e">
        <f>-53.07 + (304.89 * (BV80)) + (90.79 *Crescimento!#REF!) - (3.13 * Crescimento!#REF!*Crescimento!#REF!)</f>
        <v>#REF!</v>
      </c>
      <c r="BY80" s="16" t="e">
        <f>(BZ79+(Crescimento!#REF!-(BZ79*0.64))/0.8)/1000</f>
        <v>#REF!</v>
      </c>
      <c r="BZ80" s="17" t="e">
        <f>-53.07 + (304.89 * (BY80)) + (90.79 *Crescimento!#REF!) - (3.13 * Crescimento!#REF!*Crescimento!#REF!)</f>
        <v>#REF!</v>
      </c>
      <c r="CB80" s="16" t="e">
        <f>(CC79+(Crescimento!#REF!-(CC79*0.64))/0.8)/1000</f>
        <v>#REF!</v>
      </c>
      <c r="CC80" s="17" t="e">
        <f>-53.07 + (304.89 * (CB80)) + (90.79 *Crescimento!#REF!) - (3.13 * Crescimento!#REF!*Crescimento!#REF!)</f>
        <v>#REF!</v>
      </c>
      <c r="CE80" s="16" t="e">
        <f>(CF79+(Crescimento!#REF!-(CF79*0.64))/0.8)/1000</f>
        <v>#REF!</v>
      </c>
      <c r="CF80" s="17" t="e">
        <f>-53.07 + (304.89 * (CE80)) + (90.79 *Crescimento!#REF!) - (3.13 * Crescimento!#REF!*Crescimento!#REF!)</f>
        <v>#REF!</v>
      </c>
      <c r="CH80" s="16" t="e">
        <f>(CI79+(Crescimento!#REF!-(CI79*0.64))/0.8)/1000</f>
        <v>#REF!</v>
      </c>
      <c r="CI80" s="17" t="e">
        <f>-53.07 + (304.89 * (CH80)) + (90.79 *Crescimento!#REF!) - (3.13 * Crescimento!#REF!*Crescimento!#REF!)</f>
        <v>#REF!</v>
      </c>
      <c r="CK80" s="16" t="e">
        <f>(CL79+(Crescimento!#REF!-(CL79*0.64))/0.8)/1000</f>
        <v>#REF!</v>
      </c>
      <c r="CL80" s="17" t="e">
        <f>-53.07 + (304.89 * (CK80)) + (90.79 *Crescimento!#REF!) - (3.13 * Crescimento!#REF!*Crescimento!#REF!)</f>
        <v>#REF!</v>
      </c>
    </row>
    <row r="81" spans="2:90" x14ac:dyDescent="0.25">
      <c r="B81" s="16">
        <f>(C80+('Vacas e Bezerros'!$O$29-(C80*0.64))/0.8)/1000</f>
        <v>1.1219974776113528</v>
      </c>
      <c r="C81" s="17">
        <f>-53.07 + (304.89 * (B81)) + (90.79 *'Vacas e Bezerros'!$O$23) - (3.13 * 'Vacas e Bezerros'!$O$23*'Vacas e Bezerros'!$O$23)</f>
        <v>715.77733851110622</v>
      </c>
      <c r="E81" s="16" t="e">
        <f>(F80+(Crescimento!#REF!-(F80*0.64))/0.8)/1000</f>
        <v>#REF!</v>
      </c>
      <c r="F81" s="17" t="e">
        <f>-53.07 + (304.89 * (E81)) + (90.79 *Crescimento!#REF!) - (3.13 * Crescimento!#REF!*Crescimento!#REF!)</f>
        <v>#REF!</v>
      </c>
      <c r="G81" s="1"/>
      <c r="H81" s="16" t="e">
        <f>(I80+(Crescimento!#REF!-(I80*0.64))/0.8)/1000</f>
        <v>#REF!</v>
      </c>
      <c r="I81" s="17" t="e">
        <f>-53.07 + (304.89 * (H81)) + (90.79 *Crescimento!#REF!) - (3.13 * Crescimento!#REF!*Crescimento!#REF!)</f>
        <v>#REF!</v>
      </c>
      <c r="K81" s="16" t="e">
        <f>(L80+(Crescimento!#REF!-(L80*0.64))/0.8)/1000</f>
        <v>#REF!</v>
      </c>
      <c r="L81" s="17" t="e">
        <f>-53.07 + (304.89 * (K81)) + (90.79 *Crescimento!#REF!) - (3.13 * Crescimento!#REF!*Crescimento!#REF!)</f>
        <v>#REF!</v>
      </c>
      <c r="N81" s="16" t="e">
        <f>(O80+(Crescimento!#REF!-(O80*0.64))/0.8)/1000</f>
        <v>#REF!</v>
      </c>
      <c r="O81" s="17" t="e">
        <f>-53.07 + (304.89 * (N81)) + (90.79 *Crescimento!#REF!) - (3.13 * Crescimento!#REF!*Crescimento!#REF!)</f>
        <v>#REF!</v>
      </c>
      <c r="Q81" s="16" t="e">
        <f>(R80+(Crescimento!#REF!-(R80*0.64))/0.8)/1000</f>
        <v>#REF!</v>
      </c>
      <c r="R81" s="17" t="e">
        <f>-53.07 + (304.89 * (Q81)) + (90.79 *Crescimento!#REF!) - (3.13 * Crescimento!#REF!*Crescimento!#REF!)</f>
        <v>#REF!</v>
      </c>
      <c r="T81" s="16" t="e">
        <f>(U80+(Crescimento!#REF!-(U80*0.64))/0.8)/1000</f>
        <v>#REF!</v>
      </c>
      <c r="U81" s="17" t="e">
        <f>-53.07 + (304.89 * (T81)) + (90.79 *Crescimento!#REF!) - (3.13 * Crescimento!#REF!*Crescimento!#REF!)</f>
        <v>#REF!</v>
      </c>
      <c r="W81" s="16" t="e">
        <f>(X80+(Crescimento!#REF!-(X80*0.64))/0.8)/1000</f>
        <v>#REF!</v>
      </c>
      <c r="X81" s="17" t="e">
        <f>-53.07 + (304.89 * (W81)) + (90.79 *Crescimento!#REF!) - (3.13 * Crescimento!#REF!*Crescimento!#REF!)</f>
        <v>#REF!</v>
      </c>
      <c r="Y81" s="6"/>
      <c r="Z81" s="16" t="e">
        <f>(AA80+(Crescimento!#REF!-(AA80*0.64))/0.8)/1000</f>
        <v>#REF!</v>
      </c>
      <c r="AA81" s="17" t="e">
        <f>-53.07 + (304.89 * (Z81)) + (90.79 *Crescimento!#REF!) - (3.13 * Crescimento!#REF!*Crescimento!#REF!)</f>
        <v>#REF!</v>
      </c>
      <c r="AB81" s="6"/>
      <c r="AC81" s="16" t="e">
        <f>(AD80+(Crescimento!#REF!-(AD80*0.64))/0.8)/1000</f>
        <v>#REF!</v>
      </c>
      <c r="AD81" s="17" t="e">
        <f>-53.07 + (304.89 * (AC81)) + (90.79 *Crescimento!#REF!) - (3.13 * Crescimento!#REF!*Crescimento!#REF!)</f>
        <v>#REF!</v>
      </c>
      <c r="AE81" s="17"/>
      <c r="AF81" s="16" t="e">
        <f>(AG80+(Crescimento!#REF!-(AG80*0.64))/0.8)/1000</f>
        <v>#REF!</v>
      </c>
      <c r="AG81" s="17" t="e">
        <f>-53.07 + (304.89 * (AF81)) + (90.79 *Crescimento!#REF!) - (3.13 * Crescimento!#REF!*Crescimento!#REF!)</f>
        <v>#REF!</v>
      </c>
      <c r="AI81" s="16" t="e">
        <f>(AJ80+(Crescimento!#REF!-(AJ80*0.64))/0.8)/1000</f>
        <v>#REF!</v>
      </c>
      <c r="AJ81" s="17" t="e">
        <f>-53.07 + (304.89 * (AI81)) + (90.79 *Crescimento!#REF!) - (3.13 * Crescimento!#REF!*Crescimento!#REF!)</f>
        <v>#REF!</v>
      </c>
      <c r="AL81" s="16" t="e">
        <f>(AM80+(Crescimento!#REF!-(AM80*0.64))/0.8)/1000</f>
        <v>#REF!</v>
      </c>
      <c r="AM81" s="17" t="e">
        <f>-53.07 + (304.89 * (AL81)) + (90.79 *Crescimento!#REF!) - (3.13 * Crescimento!#REF!*Crescimento!#REF!)</f>
        <v>#REF!</v>
      </c>
      <c r="AO81" s="16" t="e">
        <f>(AP80+(Crescimento!#REF!-(AP80*0.64))/0.8)/1000</f>
        <v>#REF!</v>
      </c>
      <c r="AP81" s="17" t="e">
        <f>-53.07 + (304.89 * (AO81)) + (90.79 *Crescimento!#REF!) - (3.13 * Crescimento!#REF!*Crescimento!#REF!)</f>
        <v>#REF!</v>
      </c>
      <c r="AR81" s="16" t="e">
        <f>(AS80+(Crescimento!#REF!-(AS80*0.64))/0.8)/1000</f>
        <v>#REF!</v>
      </c>
      <c r="AS81" s="17" t="e">
        <f>-53.07 + (304.89 * (AR81)) + (90.79 *Crescimento!#REF!) - (3.13 * Crescimento!#REF!*Crescimento!#REF!)</f>
        <v>#REF!</v>
      </c>
      <c r="AU81" s="16" t="e">
        <f>(AV80+(Crescimento!#REF!-(AV80*0.64))/0.8)/1000</f>
        <v>#REF!</v>
      </c>
      <c r="AV81" s="17" t="e">
        <f>-53.07 + (304.89 * (AU81)) + (90.79 *Crescimento!#REF!) - (3.13 * Crescimento!#REF!*Crescimento!#REF!)</f>
        <v>#REF!</v>
      </c>
      <c r="AX81" s="16" t="e">
        <f>(AY80+(Crescimento!#REF!-(AY80*0.64))/0.8)/1000</f>
        <v>#REF!</v>
      </c>
      <c r="AY81" s="17" t="e">
        <f>-53.07 + (304.89 * (AX81)) + (90.79 *Crescimento!#REF!) - (3.13 * Crescimento!#REF!*Crescimento!#REF!)</f>
        <v>#REF!</v>
      </c>
      <c r="BA81" s="16" t="e">
        <f>(BB80+(Crescimento!#REF!-(BB80*0.64))/0.8)/1000</f>
        <v>#REF!</v>
      </c>
      <c r="BB81" s="17" t="e">
        <f>-53.07 + (304.89 * (BA81)) + (90.79 *Crescimento!#REF!) - (3.13 * Crescimento!#REF!*Crescimento!#REF!)</f>
        <v>#REF!</v>
      </c>
      <c r="BD81" s="16" t="e">
        <f>(BE80+(Crescimento!#REF!-(BE80*0.64))/0.8)/1000</f>
        <v>#REF!</v>
      </c>
      <c r="BE81" s="17" t="e">
        <f>-53.07 + (304.89 * (BD81)) + (90.79 *Crescimento!#REF!) - (3.13 * Crescimento!#REF!*Crescimento!#REF!)</f>
        <v>#REF!</v>
      </c>
      <c r="BG81" s="16" t="e">
        <f>(BH80+(Crescimento!#REF!-(BH80*0.64))/0.8)/1000</f>
        <v>#REF!</v>
      </c>
      <c r="BH81" s="17" t="e">
        <f>-53.07 + (304.89 * (BG81)) + (90.79 *Crescimento!#REF!) - (3.13 * Crescimento!#REF!*Crescimento!#REF!)</f>
        <v>#REF!</v>
      </c>
      <c r="BJ81" s="16" t="e">
        <f>(BK80+(Crescimento!#REF!-(BK80*0.64))/0.8)/1000</f>
        <v>#REF!</v>
      </c>
      <c r="BK81" s="17" t="e">
        <f>-53.07 + (304.89 * (BJ81)) + (90.79 *Crescimento!#REF!) - (3.13 * Crescimento!#REF!*Crescimento!#REF!)</f>
        <v>#REF!</v>
      </c>
      <c r="BM81" s="16" t="e">
        <f>(BN80+(Crescimento!#REF!-(BN80*0.64))/0.8)/1000</f>
        <v>#REF!</v>
      </c>
      <c r="BN81" s="17" t="e">
        <f>-53.07 + (304.89 * (BM81)) + (90.79 *Crescimento!#REF!) - (3.13 * Crescimento!#REF!*Crescimento!#REF!)</f>
        <v>#REF!</v>
      </c>
      <c r="BP81" s="16" t="e">
        <f>(BQ80+(Crescimento!#REF!-(BQ80*0.64))/0.8)/1000</f>
        <v>#REF!</v>
      </c>
      <c r="BQ81" s="17" t="e">
        <f>-53.07 + (304.89 * (BP81)) + (90.79 *Crescimento!#REF!) - (3.13 * Crescimento!#REF!*Crescimento!#REF!)</f>
        <v>#REF!</v>
      </c>
      <c r="BS81" s="16" t="e">
        <f>(BT80+(Crescimento!#REF!-(BT80*0.64))/0.8)/1000</f>
        <v>#REF!</v>
      </c>
      <c r="BT81" s="17" t="e">
        <f>-53.07 + (304.89 * (BS81)) + (90.79 *Crescimento!#REF!) - (3.13 * Crescimento!#REF!*Crescimento!#REF!)</f>
        <v>#REF!</v>
      </c>
      <c r="BV81" s="16" t="e">
        <f>(BW80+(Crescimento!#REF!-(BW80*0.64))/0.8)/1000</f>
        <v>#REF!</v>
      </c>
      <c r="BW81" s="17" t="e">
        <f>-53.07 + (304.89 * (BV81)) + (90.79 *Crescimento!#REF!) - (3.13 * Crescimento!#REF!*Crescimento!#REF!)</f>
        <v>#REF!</v>
      </c>
      <c r="BY81" s="16" t="e">
        <f>(BZ80+(Crescimento!#REF!-(BZ80*0.64))/0.8)/1000</f>
        <v>#REF!</v>
      </c>
      <c r="BZ81" s="17" t="e">
        <f>-53.07 + (304.89 * (BY81)) + (90.79 *Crescimento!#REF!) - (3.13 * Crescimento!#REF!*Crescimento!#REF!)</f>
        <v>#REF!</v>
      </c>
      <c r="CB81" s="16" t="e">
        <f>(CC80+(Crescimento!#REF!-(CC80*0.64))/0.8)/1000</f>
        <v>#REF!</v>
      </c>
      <c r="CC81" s="17" t="e">
        <f>-53.07 + (304.89 * (CB81)) + (90.79 *Crescimento!#REF!) - (3.13 * Crescimento!#REF!*Crescimento!#REF!)</f>
        <v>#REF!</v>
      </c>
      <c r="CE81" s="16" t="e">
        <f>(CF80+(Crescimento!#REF!-(CF80*0.64))/0.8)/1000</f>
        <v>#REF!</v>
      </c>
      <c r="CF81" s="17" t="e">
        <f>-53.07 + (304.89 * (CE81)) + (90.79 *Crescimento!#REF!) - (3.13 * Crescimento!#REF!*Crescimento!#REF!)</f>
        <v>#REF!</v>
      </c>
      <c r="CH81" s="16" t="e">
        <f>(CI80+(Crescimento!#REF!-(CI80*0.64))/0.8)/1000</f>
        <v>#REF!</v>
      </c>
      <c r="CI81" s="17" t="e">
        <f>-53.07 + (304.89 * (CH81)) + (90.79 *Crescimento!#REF!) - (3.13 * Crescimento!#REF!*Crescimento!#REF!)</f>
        <v>#REF!</v>
      </c>
      <c r="CK81" s="16" t="e">
        <f>(CL80+(Crescimento!#REF!-(CL80*0.64))/0.8)/1000</f>
        <v>#REF!</v>
      </c>
      <c r="CL81" s="17" t="e">
        <f>-53.07 + (304.89 * (CK81)) + (90.79 *Crescimento!#REF!) - (3.13 * Crescimento!#REF!*Crescimento!#REF!)</f>
        <v>#REF!</v>
      </c>
    </row>
    <row r="82" spans="2:90" x14ac:dyDescent="0.25">
      <c r="B82" s="16">
        <f>(C81+('Vacas e Bezerros'!$O$29-(C81*0.64))/0.8)/1000</f>
        <v>1.1219974776113528</v>
      </c>
      <c r="C82" s="17">
        <f>-53.07 + (304.89 * (B82)) + (90.79 *'Vacas e Bezerros'!$O$23) - (3.13 * 'Vacas e Bezerros'!$O$23*'Vacas e Bezerros'!$O$23)</f>
        <v>715.77733851110622</v>
      </c>
      <c r="E82" s="16" t="e">
        <f>(F81+(Crescimento!#REF!-(F81*0.64))/0.8)/1000</f>
        <v>#REF!</v>
      </c>
      <c r="F82" s="17" t="e">
        <f>-53.07 + (304.89 * (E82)) + (90.79 *Crescimento!#REF!) - (3.13 * Crescimento!#REF!*Crescimento!#REF!)</f>
        <v>#REF!</v>
      </c>
      <c r="G82" s="1"/>
      <c r="H82" s="16" t="e">
        <f>(I81+(Crescimento!#REF!-(I81*0.64))/0.8)/1000</f>
        <v>#REF!</v>
      </c>
      <c r="I82" s="17" t="e">
        <f>-53.07 + (304.89 * (H82)) + (90.79 *Crescimento!#REF!) - (3.13 * Crescimento!#REF!*Crescimento!#REF!)</f>
        <v>#REF!</v>
      </c>
      <c r="K82" s="16" t="e">
        <f>(L81+(Crescimento!#REF!-(L81*0.64))/0.8)/1000</f>
        <v>#REF!</v>
      </c>
      <c r="L82" s="17" t="e">
        <f>-53.07 + (304.89 * (K82)) + (90.79 *Crescimento!#REF!) - (3.13 * Crescimento!#REF!*Crescimento!#REF!)</f>
        <v>#REF!</v>
      </c>
      <c r="N82" s="16" t="e">
        <f>(O81+(Crescimento!#REF!-(O81*0.64))/0.8)/1000</f>
        <v>#REF!</v>
      </c>
      <c r="O82" s="17" t="e">
        <f>-53.07 + (304.89 * (N82)) + (90.79 *Crescimento!#REF!) - (3.13 * Crescimento!#REF!*Crescimento!#REF!)</f>
        <v>#REF!</v>
      </c>
      <c r="Q82" s="16" t="e">
        <f>(R81+(Crescimento!#REF!-(R81*0.64))/0.8)/1000</f>
        <v>#REF!</v>
      </c>
      <c r="R82" s="17" t="e">
        <f>-53.07 + (304.89 * (Q82)) + (90.79 *Crescimento!#REF!) - (3.13 * Crescimento!#REF!*Crescimento!#REF!)</f>
        <v>#REF!</v>
      </c>
      <c r="T82" s="16" t="e">
        <f>(U81+(Crescimento!#REF!-(U81*0.64))/0.8)/1000</f>
        <v>#REF!</v>
      </c>
      <c r="U82" s="17" t="e">
        <f>-53.07 + (304.89 * (T82)) + (90.79 *Crescimento!#REF!) - (3.13 * Crescimento!#REF!*Crescimento!#REF!)</f>
        <v>#REF!</v>
      </c>
      <c r="W82" s="16" t="e">
        <f>(X81+(Crescimento!#REF!-(X81*0.64))/0.8)/1000</f>
        <v>#REF!</v>
      </c>
      <c r="X82" s="17" t="e">
        <f>-53.07 + (304.89 * (W82)) + (90.79 *Crescimento!#REF!) - (3.13 * Crescimento!#REF!*Crescimento!#REF!)</f>
        <v>#REF!</v>
      </c>
      <c r="Y82" s="6"/>
      <c r="Z82" s="16" t="e">
        <f>(AA81+(Crescimento!#REF!-(AA81*0.64))/0.8)/1000</f>
        <v>#REF!</v>
      </c>
      <c r="AA82" s="17" t="e">
        <f>-53.07 + (304.89 * (Z82)) + (90.79 *Crescimento!#REF!) - (3.13 * Crescimento!#REF!*Crescimento!#REF!)</f>
        <v>#REF!</v>
      </c>
      <c r="AB82" s="6"/>
      <c r="AC82" s="16" t="e">
        <f>(AD81+(Crescimento!#REF!-(AD81*0.64))/0.8)/1000</f>
        <v>#REF!</v>
      </c>
      <c r="AD82" s="17" t="e">
        <f>-53.07 + (304.89 * (AC82)) + (90.79 *Crescimento!#REF!) - (3.13 * Crescimento!#REF!*Crescimento!#REF!)</f>
        <v>#REF!</v>
      </c>
      <c r="AE82" s="17"/>
      <c r="AF82" s="16" t="e">
        <f>(AG81+(Crescimento!#REF!-(AG81*0.64))/0.8)/1000</f>
        <v>#REF!</v>
      </c>
      <c r="AG82" s="17" t="e">
        <f>-53.07 + (304.89 * (AF82)) + (90.79 *Crescimento!#REF!) - (3.13 * Crescimento!#REF!*Crescimento!#REF!)</f>
        <v>#REF!</v>
      </c>
      <c r="AI82" s="16" t="e">
        <f>(AJ81+(Crescimento!#REF!-(AJ81*0.64))/0.8)/1000</f>
        <v>#REF!</v>
      </c>
      <c r="AJ82" s="17" t="e">
        <f>-53.07 + (304.89 * (AI82)) + (90.79 *Crescimento!#REF!) - (3.13 * Crescimento!#REF!*Crescimento!#REF!)</f>
        <v>#REF!</v>
      </c>
      <c r="AL82" s="16" t="e">
        <f>(AM81+(Crescimento!#REF!-(AM81*0.64))/0.8)/1000</f>
        <v>#REF!</v>
      </c>
      <c r="AM82" s="17" t="e">
        <f>-53.07 + (304.89 * (AL82)) + (90.79 *Crescimento!#REF!) - (3.13 * Crescimento!#REF!*Crescimento!#REF!)</f>
        <v>#REF!</v>
      </c>
      <c r="AO82" s="16" t="e">
        <f>(AP81+(Crescimento!#REF!-(AP81*0.64))/0.8)/1000</f>
        <v>#REF!</v>
      </c>
      <c r="AP82" s="17" t="e">
        <f>-53.07 + (304.89 * (AO82)) + (90.79 *Crescimento!#REF!) - (3.13 * Crescimento!#REF!*Crescimento!#REF!)</f>
        <v>#REF!</v>
      </c>
      <c r="AR82" s="16" t="e">
        <f>(AS81+(Crescimento!#REF!-(AS81*0.64))/0.8)/1000</f>
        <v>#REF!</v>
      </c>
      <c r="AS82" s="17" t="e">
        <f>-53.07 + (304.89 * (AR82)) + (90.79 *Crescimento!#REF!) - (3.13 * Crescimento!#REF!*Crescimento!#REF!)</f>
        <v>#REF!</v>
      </c>
      <c r="AU82" s="16" t="e">
        <f>(AV81+(Crescimento!#REF!-(AV81*0.64))/0.8)/1000</f>
        <v>#REF!</v>
      </c>
      <c r="AV82" s="17" t="e">
        <f>-53.07 + (304.89 * (AU82)) + (90.79 *Crescimento!#REF!) - (3.13 * Crescimento!#REF!*Crescimento!#REF!)</f>
        <v>#REF!</v>
      </c>
      <c r="AX82" s="16" t="e">
        <f>(AY81+(Crescimento!#REF!-(AY81*0.64))/0.8)/1000</f>
        <v>#REF!</v>
      </c>
      <c r="AY82" s="17" t="e">
        <f>-53.07 + (304.89 * (AX82)) + (90.79 *Crescimento!#REF!) - (3.13 * Crescimento!#REF!*Crescimento!#REF!)</f>
        <v>#REF!</v>
      </c>
      <c r="BA82" s="16" t="e">
        <f>(BB81+(Crescimento!#REF!-(BB81*0.64))/0.8)/1000</f>
        <v>#REF!</v>
      </c>
      <c r="BB82" s="17" t="e">
        <f>-53.07 + (304.89 * (BA82)) + (90.79 *Crescimento!#REF!) - (3.13 * Crescimento!#REF!*Crescimento!#REF!)</f>
        <v>#REF!</v>
      </c>
      <c r="BD82" s="16" t="e">
        <f>(BE81+(Crescimento!#REF!-(BE81*0.64))/0.8)/1000</f>
        <v>#REF!</v>
      </c>
      <c r="BE82" s="17" t="e">
        <f>-53.07 + (304.89 * (BD82)) + (90.79 *Crescimento!#REF!) - (3.13 * Crescimento!#REF!*Crescimento!#REF!)</f>
        <v>#REF!</v>
      </c>
      <c r="BG82" s="16" t="e">
        <f>(BH81+(Crescimento!#REF!-(BH81*0.64))/0.8)/1000</f>
        <v>#REF!</v>
      </c>
      <c r="BH82" s="17" t="e">
        <f>-53.07 + (304.89 * (BG82)) + (90.79 *Crescimento!#REF!) - (3.13 * Crescimento!#REF!*Crescimento!#REF!)</f>
        <v>#REF!</v>
      </c>
      <c r="BJ82" s="16" t="e">
        <f>(BK81+(Crescimento!#REF!-(BK81*0.64))/0.8)/1000</f>
        <v>#REF!</v>
      </c>
      <c r="BK82" s="17" t="e">
        <f>-53.07 + (304.89 * (BJ82)) + (90.79 *Crescimento!#REF!) - (3.13 * Crescimento!#REF!*Crescimento!#REF!)</f>
        <v>#REF!</v>
      </c>
      <c r="BM82" s="16" t="e">
        <f>(BN81+(Crescimento!#REF!-(BN81*0.64))/0.8)/1000</f>
        <v>#REF!</v>
      </c>
      <c r="BN82" s="17" t="e">
        <f>-53.07 + (304.89 * (BM82)) + (90.79 *Crescimento!#REF!) - (3.13 * Crescimento!#REF!*Crescimento!#REF!)</f>
        <v>#REF!</v>
      </c>
      <c r="BP82" s="16" t="e">
        <f>(BQ81+(Crescimento!#REF!-(BQ81*0.64))/0.8)/1000</f>
        <v>#REF!</v>
      </c>
      <c r="BQ82" s="17" t="e">
        <f>-53.07 + (304.89 * (BP82)) + (90.79 *Crescimento!#REF!) - (3.13 * Crescimento!#REF!*Crescimento!#REF!)</f>
        <v>#REF!</v>
      </c>
      <c r="BS82" s="16" t="e">
        <f>(BT81+(Crescimento!#REF!-(BT81*0.64))/0.8)/1000</f>
        <v>#REF!</v>
      </c>
      <c r="BT82" s="17" t="e">
        <f>-53.07 + (304.89 * (BS82)) + (90.79 *Crescimento!#REF!) - (3.13 * Crescimento!#REF!*Crescimento!#REF!)</f>
        <v>#REF!</v>
      </c>
      <c r="BV82" s="16" t="e">
        <f>(BW81+(Crescimento!#REF!-(BW81*0.64))/0.8)/1000</f>
        <v>#REF!</v>
      </c>
      <c r="BW82" s="17" t="e">
        <f>-53.07 + (304.89 * (BV82)) + (90.79 *Crescimento!#REF!) - (3.13 * Crescimento!#REF!*Crescimento!#REF!)</f>
        <v>#REF!</v>
      </c>
      <c r="BY82" s="16" t="e">
        <f>(BZ81+(Crescimento!#REF!-(BZ81*0.64))/0.8)/1000</f>
        <v>#REF!</v>
      </c>
      <c r="BZ82" s="17" t="e">
        <f>-53.07 + (304.89 * (BY82)) + (90.79 *Crescimento!#REF!) - (3.13 * Crescimento!#REF!*Crescimento!#REF!)</f>
        <v>#REF!</v>
      </c>
      <c r="CB82" s="16" t="e">
        <f>(CC81+(Crescimento!#REF!-(CC81*0.64))/0.8)/1000</f>
        <v>#REF!</v>
      </c>
      <c r="CC82" s="17" t="e">
        <f>-53.07 + (304.89 * (CB82)) + (90.79 *Crescimento!#REF!) - (3.13 * Crescimento!#REF!*Crescimento!#REF!)</f>
        <v>#REF!</v>
      </c>
      <c r="CE82" s="16" t="e">
        <f>(CF81+(Crescimento!#REF!-(CF81*0.64))/0.8)/1000</f>
        <v>#REF!</v>
      </c>
      <c r="CF82" s="17" t="e">
        <f>-53.07 + (304.89 * (CE82)) + (90.79 *Crescimento!#REF!) - (3.13 * Crescimento!#REF!*Crescimento!#REF!)</f>
        <v>#REF!</v>
      </c>
      <c r="CH82" s="16" t="e">
        <f>(CI81+(Crescimento!#REF!-(CI81*0.64))/0.8)/1000</f>
        <v>#REF!</v>
      </c>
      <c r="CI82" s="17" t="e">
        <f>-53.07 + (304.89 * (CH82)) + (90.79 *Crescimento!#REF!) - (3.13 * Crescimento!#REF!*Crescimento!#REF!)</f>
        <v>#REF!</v>
      </c>
      <c r="CK82" s="16" t="e">
        <f>(CL81+(Crescimento!#REF!-(CL81*0.64))/0.8)/1000</f>
        <v>#REF!</v>
      </c>
      <c r="CL82" s="17" t="e">
        <f>-53.07 + (304.89 * (CK82)) + (90.79 *Crescimento!#REF!) - (3.13 * Crescimento!#REF!*Crescimento!#REF!)</f>
        <v>#REF!</v>
      </c>
    </row>
    <row r="83" spans="2:90" x14ac:dyDescent="0.25">
      <c r="B83" s="16">
        <f>(C82+('Vacas e Bezerros'!$O$29-(C82*0.64))/0.8)/1000</f>
        <v>1.1219974776113528</v>
      </c>
      <c r="C83" s="17">
        <f>-53.07 + (304.89 * (B83)) + (90.79 *'Vacas e Bezerros'!$O$23) - (3.13 * 'Vacas e Bezerros'!$O$23*'Vacas e Bezerros'!$O$23)</f>
        <v>715.77733851110622</v>
      </c>
      <c r="E83" s="16" t="e">
        <f>(F82+(Crescimento!#REF!-(F82*0.64))/0.8)/1000</f>
        <v>#REF!</v>
      </c>
      <c r="F83" s="17" t="e">
        <f>-53.07 + (304.89 * (E83)) + (90.79 *Crescimento!#REF!) - (3.13 * Crescimento!#REF!*Crescimento!#REF!)</f>
        <v>#REF!</v>
      </c>
      <c r="G83" s="1"/>
      <c r="H83" s="16" t="e">
        <f>(I82+(Crescimento!#REF!-(I82*0.64))/0.8)/1000</f>
        <v>#REF!</v>
      </c>
      <c r="I83" s="17" t="e">
        <f>-53.07 + (304.89 * (H83)) + (90.79 *Crescimento!#REF!) - (3.13 * Crescimento!#REF!*Crescimento!#REF!)</f>
        <v>#REF!</v>
      </c>
      <c r="K83" s="16" t="e">
        <f>(L82+(Crescimento!#REF!-(L82*0.64))/0.8)/1000</f>
        <v>#REF!</v>
      </c>
      <c r="L83" s="17" t="e">
        <f>-53.07 + (304.89 * (K83)) + (90.79 *Crescimento!#REF!) - (3.13 * Crescimento!#REF!*Crescimento!#REF!)</f>
        <v>#REF!</v>
      </c>
      <c r="N83" s="16" t="e">
        <f>(O82+(Crescimento!#REF!-(O82*0.64))/0.8)/1000</f>
        <v>#REF!</v>
      </c>
      <c r="O83" s="17" t="e">
        <f>-53.07 + (304.89 * (N83)) + (90.79 *Crescimento!#REF!) - (3.13 * Crescimento!#REF!*Crescimento!#REF!)</f>
        <v>#REF!</v>
      </c>
      <c r="Q83" s="16" t="e">
        <f>(R82+(Crescimento!#REF!-(R82*0.64))/0.8)/1000</f>
        <v>#REF!</v>
      </c>
      <c r="R83" s="17" t="e">
        <f>-53.07 + (304.89 * (Q83)) + (90.79 *Crescimento!#REF!) - (3.13 * Crescimento!#REF!*Crescimento!#REF!)</f>
        <v>#REF!</v>
      </c>
      <c r="T83" s="16" t="e">
        <f>(U82+(Crescimento!#REF!-(U82*0.64))/0.8)/1000</f>
        <v>#REF!</v>
      </c>
      <c r="U83" s="17" t="e">
        <f>-53.07 + (304.89 * (T83)) + (90.79 *Crescimento!#REF!) - (3.13 * Crescimento!#REF!*Crescimento!#REF!)</f>
        <v>#REF!</v>
      </c>
      <c r="W83" s="16" t="e">
        <f>(X82+(Crescimento!#REF!-(X82*0.64))/0.8)/1000</f>
        <v>#REF!</v>
      </c>
      <c r="X83" s="17" t="e">
        <f>-53.07 + (304.89 * (W83)) + (90.79 *Crescimento!#REF!) - (3.13 * Crescimento!#REF!*Crescimento!#REF!)</f>
        <v>#REF!</v>
      </c>
      <c r="Y83" s="6"/>
      <c r="Z83" s="16" t="e">
        <f>(AA82+(Crescimento!#REF!-(AA82*0.64))/0.8)/1000</f>
        <v>#REF!</v>
      </c>
      <c r="AA83" s="17" t="e">
        <f>-53.07 + (304.89 * (Z83)) + (90.79 *Crescimento!#REF!) - (3.13 * Crescimento!#REF!*Crescimento!#REF!)</f>
        <v>#REF!</v>
      </c>
      <c r="AB83" s="6"/>
      <c r="AC83" s="16" t="e">
        <f>(AD82+(Crescimento!#REF!-(AD82*0.64))/0.8)/1000</f>
        <v>#REF!</v>
      </c>
      <c r="AD83" s="17" t="e">
        <f>-53.07 + (304.89 * (AC83)) + (90.79 *Crescimento!#REF!) - (3.13 * Crescimento!#REF!*Crescimento!#REF!)</f>
        <v>#REF!</v>
      </c>
      <c r="AE83" s="17"/>
      <c r="AF83" s="16" t="e">
        <f>(AG82+(Crescimento!#REF!-(AG82*0.64))/0.8)/1000</f>
        <v>#REF!</v>
      </c>
      <c r="AG83" s="17" t="e">
        <f>-53.07 + (304.89 * (AF83)) + (90.79 *Crescimento!#REF!) - (3.13 * Crescimento!#REF!*Crescimento!#REF!)</f>
        <v>#REF!</v>
      </c>
      <c r="AI83" s="16" t="e">
        <f>(AJ82+(Crescimento!#REF!-(AJ82*0.64))/0.8)/1000</f>
        <v>#REF!</v>
      </c>
      <c r="AJ83" s="17" t="e">
        <f>-53.07 + (304.89 * (AI83)) + (90.79 *Crescimento!#REF!) - (3.13 * Crescimento!#REF!*Crescimento!#REF!)</f>
        <v>#REF!</v>
      </c>
      <c r="AL83" s="16" t="e">
        <f>(AM82+(Crescimento!#REF!-(AM82*0.64))/0.8)/1000</f>
        <v>#REF!</v>
      </c>
      <c r="AM83" s="17" t="e">
        <f>-53.07 + (304.89 * (AL83)) + (90.79 *Crescimento!#REF!) - (3.13 * Crescimento!#REF!*Crescimento!#REF!)</f>
        <v>#REF!</v>
      </c>
      <c r="AO83" s="16" t="e">
        <f>(AP82+(Crescimento!#REF!-(AP82*0.64))/0.8)/1000</f>
        <v>#REF!</v>
      </c>
      <c r="AP83" s="17" t="e">
        <f>-53.07 + (304.89 * (AO83)) + (90.79 *Crescimento!#REF!) - (3.13 * Crescimento!#REF!*Crescimento!#REF!)</f>
        <v>#REF!</v>
      </c>
      <c r="AR83" s="16" t="e">
        <f>(AS82+(Crescimento!#REF!-(AS82*0.64))/0.8)/1000</f>
        <v>#REF!</v>
      </c>
      <c r="AS83" s="17" t="e">
        <f>-53.07 + (304.89 * (AR83)) + (90.79 *Crescimento!#REF!) - (3.13 * Crescimento!#REF!*Crescimento!#REF!)</f>
        <v>#REF!</v>
      </c>
      <c r="AU83" s="16" t="e">
        <f>(AV82+(Crescimento!#REF!-(AV82*0.64))/0.8)/1000</f>
        <v>#REF!</v>
      </c>
      <c r="AV83" s="17" t="e">
        <f>-53.07 + (304.89 * (AU83)) + (90.79 *Crescimento!#REF!) - (3.13 * Crescimento!#REF!*Crescimento!#REF!)</f>
        <v>#REF!</v>
      </c>
      <c r="AX83" s="16" t="e">
        <f>(AY82+(Crescimento!#REF!-(AY82*0.64))/0.8)/1000</f>
        <v>#REF!</v>
      </c>
      <c r="AY83" s="17" t="e">
        <f>-53.07 + (304.89 * (AX83)) + (90.79 *Crescimento!#REF!) - (3.13 * Crescimento!#REF!*Crescimento!#REF!)</f>
        <v>#REF!</v>
      </c>
      <c r="BA83" s="16" t="e">
        <f>(BB82+(Crescimento!#REF!-(BB82*0.64))/0.8)/1000</f>
        <v>#REF!</v>
      </c>
      <c r="BB83" s="17" t="e">
        <f>-53.07 + (304.89 * (BA83)) + (90.79 *Crescimento!#REF!) - (3.13 * Crescimento!#REF!*Crescimento!#REF!)</f>
        <v>#REF!</v>
      </c>
      <c r="BD83" s="16" t="e">
        <f>(BE82+(Crescimento!#REF!-(BE82*0.64))/0.8)/1000</f>
        <v>#REF!</v>
      </c>
      <c r="BE83" s="17" t="e">
        <f>-53.07 + (304.89 * (BD83)) + (90.79 *Crescimento!#REF!) - (3.13 * Crescimento!#REF!*Crescimento!#REF!)</f>
        <v>#REF!</v>
      </c>
      <c r="BG83" s="16" t="e">
        <f>(BH82+(Crescimento!#REF!-(BH82*0.64))/0.8)/1000</f>
        <v>#REF!</v>
      </c>
      <c r="BH83" s="17" t="e">
        <f>-53.07 + (304.89 * (BG83)) + (90.79 *Crescimento!#REF!) - (3.13 * Crescimento!#REF!*Crescimento!#REF!)</f>
        <v>#REF!</v>
      </c>
      <c r="BJ83" s="16" t="e">
        <f>(BK82+(Crescimento!#REF!-(BK82*0.64))/0.8)/1000</f>
        <v>#REF!</v>
      </c>
      <c r="BK83" s="17" t="e">
        <f>-53.07 + (304.89 * (BJ83)) + (90.79 *Crescimento!#REF!) - (3.13 * Crescimento!#REF!*Crescimento!#REF!)</f>
        <v>#REF!</v>
      </c>
      <c r="BM83" s="16" t="e">
        <f>(BN82+(Crescimento!#REF!-(BN82*0.64))/0.8)/1000</f>
        <v>#REF!</v>
      </c>
      <c r="BN83" s="17" t="e">
        <f>-53.07 + (304.89 * (BM83)) + (90.79 *Crescimento!#REF!) - (3.13 * Crescimento!#REF!*Crescimento!#REF!)</f>
        <v>#REF!</v>
      </c>
      <c r="BP83" s="16" t="e">
        <f>(BQ82+(Crescimento!#REF!-(BQ82*0.64))/0.8)/1000</f>
        <v>#REF!</v>
      </c>
      <c r="BQ83" s="17" t="e">
        <f>-53.07 + (304.89 * (BP83)) + (90.79 *Crescimento!#REF!) - (3.13 * Crescimento!#REF!*Crescimento!#REF!)</f>
        <v>#REF!</v>
      </c>
      <c r="BS83" s="16" t="e">
        <f>(BT82+(Crescimento!#REF!-(BT82*0.64))/0.8)/1000</f>
        <v>#REF!</v>
      </c>
      <c r="BT83" s="17" t="e">
        <f>-53.07 + (304.89 * (BS83)) + (90.79 *Crescimento!#REF!) - (3.13 * Crescimento!#REF!*Crescimento!#REF!)</f>
        <v>#REF!</v>
      </c>
      <c r="BV83" s="16" t="e">
        <f>(BW82+(Crescimento!#REF!-(BW82*0.64))/0.8)/1000</f>
        <v>#REF!</v>
      </c>
      <c r="BW83" s="17" t="e">
        <f>-53.07 + (304.89 * (BV83)) + (90.79 *Crescimento!#REF!) - (3.13 * Crescimento!#REF!*Crescimento!#REF!)</f>
        <v>#REF!</v>
      </c>
      <c r="BY83" s="16" t="e">
        <f>(BZ82+(Crescimento!#REF!-(BZ82*0.64))/0.8)/1000</f>
        <v>#REF!</v>
      </c>
      <c r="BZ83" s="17" t="e">
        <f>-53.07 + (304.89 * (BY83)) + (90.79 *Crescimento!#REF!) - (3.13 * Crescimento!#REF!*Crescimento!#REF!)</f>
        <v>#REF!</v>
      </c>
      <c r="CB83" s="16" t="e">
        <f>(CC82+(Crescimento!#REF!-(CC82*0.64))/0.8)/1000</f>
        <v>#REF!</v>
      </c>
      <c r="CC83" s="17" t="e">
        <f>-53.07 + (304.89 * (CB83)) + (90.79 *Crescimento!#REF!) - (3.13 * Crescimento!#REF!*Crescimento!#REF!)</f>
        <v>#REF!</v>
      </c>
      <c r="CE83" s="16" t="e">
        <f>(CF82+(Crescimento!#REF!-(CF82*0.64))/0.8)/1000</f>
        <v>#REF!</v>
      </c>
      <c r="CF83" s="17" t="e">
        <f>-53.07 + (304.89 * (CE83)) + (90.79 *Crescimento!#REF!) - (3.13 * Crescimento!#REF!*Crescimento!#REF!)</f>
        <v>#REF!</v>
      </c>
      <c r="CH83" s="16" t="e">
        <f>(CI82+(Crescimento!#REF!-(CI82*0.64))/0.8)/1000</f>
        <v>#REF!</v>
      </c>
      <c r="CI83" s="17" t="e">
        <f>-53.07 + (304.89 * (CH83)) + (90.79 *Crescimento!#REF!) - (3.13 * Crescimento!#REF!*Crescimento!#REF!)</f>
        <v>#REF!</v>
      </c>
      <c r="CK83" s="16" t="e">
        <f>(CL82+(Crescimento!#REF!-(CL82*0.64))/0.8)/1000</f>
        <v>#REF!</v>
      </c>
      <c r="CL83" s="17" t="e">
        <f>-53.07 + (304.89 * (CK83)) + (90.79 *Crescimento!#REF!) - (3.13 * Crescimento!#REF!*Crescimento!#REF!)</f>
        <v>#REF!</v>
      </c>
    </row>
    <row r="84" spans="2:90" x14ac:dyDescent="0.25">
      <c r="B84" s="16">
        <f>(C83+('Vacas e Bezerros'!$O$29-(C83*0.64))/0.8)/1000</f>
        <v>1.1219974776113528</v>
      </c>
      <c r="C84" s="17">
        <f>-53.07 + (304.89 * (B84)) + (90.79 *'Vacas e Bezerros'!$O$23) - (3.13 * 'Vacas e Bezerros'!$O$23*'Vacas e Bezerros'!$O$23)</f>
        <v>715.77733851110622</v>
      </c>
      <c r="E84" s="16" t="e">
        <f>(F83+(Crescimento!#REF!-(F83*0.64))/0.8)/1000</f>
        <v>#REF!</v>
      </c>
      <c r="F84" s="17" t="e">
        <f>-53.07 + (304.89 * (E84)) + (90.79 *Crescimento!#REF!) - (3.13 * Crescimento!#REF!*Crescimento!#REF!)</f>
        <v>#REF!</v>
      </c>
      <c r="G84" s="1"/>
      <c r="H84" s="16" t="e">
        <f>(I83+(Crescimento!#REF!-(I83*0.64))/0.8)/1000</f>
        <v>#REF!</v>
      </c>
      <c r="I84" s="17" t="e">
        <f>-53.07 + (304.89 * (H84)) + (90.79 *Crescimento!#REF!) - (3.13 * Crescimento!#REF!*Crescimento!#REF!)</f>
        <v>#REF!</v>
      </c>
      <c r="K84" s="16" t="e">
        <f>(L83+(Crescimento!#REF!-(L83*0.64))/0.8)/1000</f>
        <v>#REF!</v>
      </c>
      <c r="L84" s="17" t="e">
        <f>-53.07 + (304.89 * (K84)) + (90.79 *Crescimento!#REF!) - (3.13 * Crescimento!#REF!*Crescimento!#REF!)</f>
        <v>#REF!</v>
      </c>
      <c r="N84" s="16" t="e">
        <f>(O83+(Crescimento!#REF!-(O83*0.64))/0.8)/1000</f>
        <v>#REF!</v>
      </c>
      <c r="O84" s="17" t="e">
        <f>-53.07 + (304.89 * (N84)) + (90.79 *Crescimento!#REF!) - (3.13 * Crescimento!#REF!*Crescimento!#REF!)</f>
        <v>#REF!</v>
      </c>
      <c r="Q84" s="16" t="e">
        <f>(R83+(Crescimento!#REF!-(R83*0.64))/0.8)/1000</f>
        <v>#REF!</v>
      </c>
      <c r="R84" s="17" t="e">
        <f>-53.07 + (304.89 * (Q84)) + (90.79 *Crescimento!#REF!) - (3.13 * Crescimento!#REF!*Crescimento!#REF!)</f>
        <v>#REF!</v>
      </c>
      <c r="T84" s="16" t="e">
        <f>(U83+(Crescimento!#REF!-(U83*0.64))/0.8)/1000</f>
        <v>#REF!</v>
      </c>
      <c r="U84" s="17" t="e">
        <f>-53.07 + (304.89 * (T84)) + (90.79 *Crescimento!#REF!) - (3.13 * Crescimento!#REF!*Crescimento!#REF!)</f>
        <v>#REF!</v>
      </c>
      <c r="W84" s="16" t="e">
        <f>(X83+(Crescimento!#REF!-(X83*0.64))/0.8)/1000</f>
        <v>#REF!</v>
      </c>
      <c r="X84" s="17" t="e">
        <f>-53.07 + (304.89 * (W84)) + (90.79 *Crescimento!#REF!) - (3.13 * Crescimento!#REF!*Crescimento!#REF!)</f>
        <v>#REF!</v>
      </c>
      <c r="Y84" s="6"/>
      <c r="Z84" s="16" t="e">
        <f>(AA83+(Crescimento!#REF!-(AA83*0.64))/0.8)/1000</f>
        <v>#REF!</v>
      </c>
      <c r="AA84" s="17" t="e">
        <f>-53.07 + (304.89 * (Z84)) + (90.79 *Crescimento!#REF!) - (3.13 * Crescimento!#REF!*Crescimento!#REF!)</f>
        <v>#REF!</v>
      </c>
      <c r="AB84" s="6"/>
      <c r="AC84" s="16" t="e">
        <f>(AD83+(Crescimento!#REF!-(AD83*0.64))/0.8)/1000</f>
        <v>#REF!</v>
      </c>
      <c r="AD84" s="17" t="e">
        <f>-53.07 + (304.89 * (AC84)) + (90.79 *Crescimento!#REF!) - (3.13 * Crescimento!#REF!*Crescimento!#REF!)</f>
        <v>#REF!</v>
      </c>
      <c r="AE84" s="17"/>
      <c r="AF84" s="16" t="e">
        <f>(AG83+(Crescimento!#REF!-(AG83*0.64))/0.8)/1000</f>
        <v>#REF!</v>
      </c>
      <c r="AG84" s="17" t="e">
        <f>-53.07 + (304.89 * (AF84)) + (90.79 *Crescimento!#REF!) - (3.13 * Crescimento!#REF!*Crescimento!#REF!)</f>
        <v>#REF!</v>
      </c>
      <c r="AI84" s="16" t="e">
        <f>(AJ83+(Crescimento!#REF!-(AJ83*0.64))/0.8)/1000</f>
        <v>#REF!</v>
      </c>
      <c r="AJ84" s="17" t="e">
        <f>-53.07 + (304.89 * (AI84)) + (90.79 *Crescimento!#REF!) - (3.13 * Crescimento!#REF!*Crescimento!#REF!)</f>
        <v>#REF!</v>
      </c>
      <c r="AL84" s="16" t="e">
        <f>(AM83+(Crescimento!#REF!-(AM83*0.64))/0.8)/1000</f>
        <v>#REF!</v>
      </c>
      <c r="AM84" s="17" t="e">
        <f>-53.07 + (304.89 * (AL84)) + (90.79 *Crescimento!#REF!) - (3.13 * Crescimento!#REF!*Crescimento!#REF!)</f>
        <v>#REF!</v>
      </c>
      <c r="AO84" s="16" t="e">
        <f>(AP83+(Crescimento!#REF!-(AP83*0.64))/0.8)/1000</f>
        <v>#REF!</v>
      </c>
      <c r="AP84" s="17" t="e">
        <f>-53.07 + (304.89 * (AO84)) + (90.79 *Crescimento!#REF!) - (3.13 * Crescimento!#REF!*Crescimento!#REF!)</f>
        <v>#REF!</v>
      </c>
      <c r="AR84" s="16" t="e">
        <f>(AS83+(Crescimento!#REF!-(AS83*0.64))/0.8)/1000</f>
        <v>#REF!</v>
      </c>
      <c r="AS84" s="17" t="e">
        <f>-53.07 + (304.89 * (AR84)) + (90.79 *Crescimento!#REF!) - (3.13 * Crescimento!#REF!*Crescimento!#REF!)</f>
        <v>#REF!</v>
      </c>
      <c r="AU84" s="16" t="e">
        <f>(AV83+(Crescimento!#REF!-(AV83*0.64))/0.8)/1000</f>
        <v>#REF!</v>
      </c>
      <c r="AV84" s="17" t="e">
        <f>-53.07 + (304.89 * (AU84)) + (90.79 *Crescimento!#REF!) - (3.13 * Crescimento!#REF!*Crescimento!#REF!)</f>
        <v>#REF!</v>
      </c>
      <c r="AX84" s="16" t="e">
        <f>(AY83+(Crescimento!#REF!-(AY83*0.64))/0.8)/1000</f>
        <v>#REF!</v>
      </c>
      <c r="AY84" s="17" t="e">
        <f>-53.07 + (304.89 * (AX84)) + (90.79 *Crescimento!#REF!) - (3.13 * Crescimento!#REF!*Crescimento!#REF!)</f>
        <v>#REF!</v>
      </c>
      <c r="BA84" s="16" t="e">
        <f>(BB83+(Crescimento!#REF!-(BB83*0.64))/0.8)/1000</f>
        <v>#REF!</v>
      </c>
      <c r="BB84" s="17" t="e">
        <f>-53.07 + (304.89 * (BA84)) + (90.79 *Crescimento!#REF!) - (3.13 * Crescimento!#REF!*Crescimento!#REF!)</f>
        <v>#REF!</v>
      </c>
      <c r="BD84" s="16" t="e">
        <f>(BE83+(Crescimento!#REF!-(BE83*0.64))/0.8)/1000</f>
        <v>#REF!</v>
      </c>
      <c r="BE84" s="17" t="e">
        <f>-53.07 + (304.89 * (BD84)) + (90.79 *Crescimento!#REF!) - (3.13 * Crescimento!#REF!*Crescimento!#REF!)</f>
        <v>#REF!</v>
      </c>
      <c r="BG84" s="16" t="e">
        <f>(BH83+(Crescimento!#REF!-(BH83*0.64))/0.8)/1000</f>
        <v>#REF!</v>
      </c>
      <c r="BH84" s="17" t="e">
        <f>-53.07 + (304.89 * (BG84)) + (90.79 *Crescimento!#REF!) - (3.13 * Crescimento!#REF!*Crescimento!#REF!)</f>
        <v>#REF!</v>
      </c>
      <c r="BJ84" s="16" t="e">
        <f>(BK83+(Crescimento!#REF!-(BK83*0.64))/0.8)/1000</f>
        <v>#REF!</v>
      </c>
      <c r="BK84" s="17" t="e">
        <f>-53.07 + (304.89 * (BJ84)) + (90.79 *Crescimento!#REF!) - (3.13 * Crescimento!#REF!*Crescimento!#REF!)</f>
        <v>#REF!</v>
      </c>
      <c r="BM84" s="16" t="e">
        <f>(BN83+(Crescimento!#REF!-(BN83*0.64))/0.8)/1000</f>
        <v>#REF!</v>
      </c>
      <c r="BN84" s="17" t="e">
        <f>-53.07 + (304.89 * (BM84)) + (90.79 *Crescimento!#REF!) - (3.13 * Crescimento!#REF!*Crescimento!#REF!)</f>
        <v>#REF!</v>
      </c>
      <c r="BP84" s="16" t="e">
        <f>(BQ83+(Crescimento!#REF!-(BQ83*0.64))/0.8)/1000</f>
        <v>#REF!</v>
      </c>
      <c r="BQ84" s="17" t="e">
        <f>-53.07 + (304.89 * (BP84)) + (90.79 *Crescimento!#REF!) - (3.13 * Crescimento!#REF!*Crescimento!#REF!)</f>
        <v>#REF!</v>
      </c>
      <c r="BS84" s="16" t="e">
        <f>(BT83+(Crescimento!#REF!-(BT83*0.64))/0.8)/1000</f>
        <v>#REF!</v>
      </c>
      <c r="BT84" s="17" t="e">
        <f>-53.07 + (304.89 * (BS84)) + (90.79 *Crescimento!#REF!) - (3.13 * Crescimento!#REF!*Crescimento!#REF!)</f>
        <v>#REF!</v>
      </c>
      <c r="BV84" s="16" t="e">
        <f>(BW83+(Crescimento!#REF!-(BW83*0.64))/0.8)/1000</f>
        <v>#REF!</v>
      </c>
      <c r="BW84" s="17" t="e">
        <f>-53.07 + (304.89 * (BV84)) + (90.79 *Crescimento!#REF!) - (3.13 * Crescimento!#REF!*Crescimento!#REF!)</f>
        <v>#REF!</v>
      </c>
      <c r="BY84" s="16" t="e">
        <f>(BZ83+(Crescimento!#REF!-(BZ83*0.64))/0.8)/1000</f>
        <v>#REF!</v>
      </c>
      <c r="BZ84" s="17" t="e">
        <f>-53.07 + (304.89 * (BY84)) + (90.79 *Crescimento!#REF!) - (3.13 * Crescimento!#REF!*Crescimento!#REF!)</f>
        <v>#REF!</v>
      </c>
      <c r="CB84" s="16" t="e">
        <f>(CC83+(Crescimento!#REF!-(CC83*0.64))/0.8)/1000</f>
        <v>#REF!</v>
      </c>
      <c r="CC84" s="17" t="e">
        <f>-53.07 + (304.89 * (CB84)) + (90.79 *Crescimento!#REF!) - (3.13 * Crescimento!#REF!*Crescimento!#REF!)</f>
        <v>#REF!</v>
      </c>
      <c r="CE84" s="16" t="e">
        <f>(CF83+(Crescimento!#REF!-(CF83*0.64))/0.8)/1000</f>
        <v>#REF!</v>
      </c>
      <c r="CF84" s="17" t="e">
        <f>-53.07 + (304.89 * (CE84)) + (90.79 *Crescimento!#REF!) - (3.13 * Crescimento!#REF!*Crescimento!#REF!)</f>
        <v>#REF!</v>
      </c>
      <c r="CH84" s="16" t="e">
        <f>(CI83+(Crescimento!#REF!-(CI83*0.64))/0.8)/1000</f>
        <v>#REF!</v>
      </c>
      <c r="CI84" s="17" t="e">
        <f>-53.07 + (304.89 * (CH84)) + (90.79 *Crescimento!#REF!) - (3.13 * Crescimento!#REF!*Crescimento!#REF!)</f>
        <v>#REF!</v>
      </c>
      <c r="CK84" s="16" t="e">
        <f>(CL83+(Crescimento!#REF!-(CL83*0.64))/0.8)/1000</f>
        <v>#REF!</v>
      </c>
      <c r="CL84" s="17" t="e">
        <f>-53.07 + (304.89 * (CK84)) + (90.79 *Crescimento!#REF!) - (3.13 * Crescimento!#REF!*Crescimento!#REF!)</f>
        <v>#REF!</v>
      </c>
    </row>
    <row r="85" spans="2:90" x14ac:dyDescent="0.25">
      <c r="B85" s="16">
        <f>(C84+('Vacas e Bezerros'!$O$29-(C84*0.64))/0.8)/1000</f>
        <v>1.1219974776113528</v>
      </c>
      <c r="C85" s="17">
        <f>-53.07 + (304.89 * (B85)) + (90.79 *'Vacas e Bezerros'!$O$23) - (3.13 * 'Vacas e Bezerros'!$O$23*'Vacas e Bezerros'!$O$23)</f>
        <v>715.77733851110622</v>
      </c>
      <c r="E85" s="16" t="e">
        <f>(F84+(Crescimento!#REF!-(F84*0.64))/0.8)/1000</f>
        <v>#REF!</v>
      </c>
      <c r="F85" s="17" t="e">
        <f>-53.07 + (304.89 * (E85)) + (90.79 *Crescimento!#REF!) - (3.13 * Crescimento!#REF!*Crescimento!#REF!)</f>
        <v>#REF!</v>
      </c>
      <c r="G85" s="1"/>
      <c r="H85" s="16" t="e">
        <f>(I84+(Crescimento!#REF!-(I84*0.64))/0.8)/1000</f>
        <v>#REF!</v>
      </c>
      <c r="I85" s="17" t="e">
        <f>-53.07 + (304.89 * (H85)) + (90.79 *Crescimento!#REF!) - (3.13 * Crescimento!#REF!*Crescimento!#REF!)</f>
        <v>#REF!</v>
      </c>
      <c r="K85" s="16" t="e">
        <f>(L84+(Crescimento!#REF!-(L84*0.64))/0.8)/1000</f>
        <v>#REF!</v>
      </c>
      <c r="L85" s="17" t="e">
        <f>-53.07 + (304.89 * (K85)) + (90.79 *Crescimento!#REF!) - (3.13 * Crescimento!#REF!*Crescimento!#REF!)</f>
        <v>#REF!</v>
      </c>
      <c r="N85" s="16" t="e">
        <f>(O84+(Crescimento!#REF!-(O84*0.64))/0.8)/1000</f>
        <v>#REF!</v>
      </c>
      <c r="O85" s="17" t="e">
        <f>-53.07 + (304.89 * (N85)) + (90.79 *Crescimento!#REF!) - (3.13 * Crescimento!#REF!*Crescimento!#REF!)</f>
        <v>#REF!</v>
      </c>
      <c r="Q85" s="16" t="e">
        <f>(R84+(Crescimento!#REF!-(R84*0.64))/0.8)/1000</f>
        <v>#REF!</v>
      </c>
      <c r="R85" s="17" t="e">
        <f>-53.07 + (304.89 * (Q85)) + (90.79 *Crescimento!#REF!) - (3.13 * Crescimento!#REF!*Crescimento!#REF!)</f>
        <v>#REF!</v>
      </c>
      <c r="T85" s="16" t="e">
        <f>(U84+(Crescimento!#REF!-(U84*0.64))/0.8)/1000</f>
        <v>#REF!</v>
      </c>
      <c r="U85" s="17" t="e">
        <f>-53.07 + (304.89 * (T85)) + (90.79 *Crescimento!#REF!) - (3.13 * Crescimento!#REF!*Crescimento!#REF!)</f>
        <v>#REF!</v>
      </c>
      <c r="W85" s="16" t="e">
        <f>(X84+(Crescimento!#REF!-(X84*0.64))/0.8)/1000</f>
        <v>#REF!</v>
      </c>
      <c r="X85" s="17" t="e">
        <f>-53.07 + (304.89 * (W85)) + (90.79 *Crescimento!#REF!) - (3.13 * Crescimento!#REF!*Crescimento!#REF!)</f>
        <v>#REF!</v>
      </c>
      <c r="Y85" s="6"/>
      <c r="Z85" s="16" t="e">
        <f>(AA84+(Crescimento!#REF!-(AA84*0.64))/0.8)/1000</f>
        <v>#REF!</v>
      </c>
      <c r="AA85" s="17" t="e">
        <f>-53.07 + (304.89 * (Z85)) + (90.79 *Crescimento!#REF!) - (3.13 * Crescimento!#REF!*Crescimento!#REF!)</f>
        <v>#REF!</v>
      </c>
      <c r="AB85" s="6"/>
      <c r="AC85" s="16" t="e">
        <f>(AD84+(Crescimento!#REF!-(AD84*0.64))/0.8)/1000</f>
        <v>#REF!</v>
      </c>
      <c r="AD85" s="17" t="e">
        <f>-53.07 + (304.89 * (AC85)) + (90.79 *Crescimento!#REF!) - (3.13 * Crescimento!#REF!*Crescimento!#REF!)</f>
        <v>#REF!</v>
      </c>
      <c r="AE85" s="17"/>
      <c r="AF85" s="16" t="e">
        <f>(AG84+(Crescimento!#REF!-(AG84*0.64))/0.8)/1000</f>
        <v>#REF!</v>
      </c>
      <c r="AG85" s="17" t="e">
        <f>-53.07 + (304.89 * (AF85)) + (90.79 *Crescimento!#REF!) - (3.13 * Crescimento!#REF!*Crescimento!#REF!)</f>
        <v>#REF!</v>
      </c>
      <c r="AI85" s="16" t="e">
        <f>(AJ84+(Crescimento!#REF!-(AJ84*0.64))/0.8)/1000</f>
        <v>#REF!</v>
      </c>
      <c r="AJ85" s="17" t="e">
        <f>-53.07 + (304.89 * (AI85)) + (90.79 *Crescimento!#REF!) - (3.13 * Crescimento!#REF!*Crescimento!#REF!)</f>
        <v>#REF!</v>
      </c>
      <c r="AL85" s="16" t="e">
        <f>(AM84+(Crescimento!#REF!-(AM84*0.64))/0.8)/1000</f>
        <v>#REF!</v>
      </c>
      <c r="AM85" s="17" t="e">
        <f>-53.07 + (304.89 * (AL85)) + (90.79 *Crescimento!#REF!) - (3.13 * Crescimento!#REF!*Crescimento!#REF!)</f>
        <v>#REF!</v>
      </c>
      <c r="AO85" s="16" t="e">
        <f>(AP84+(Crescimento!#REF!-(AP84*0.64))/0.8)/1000</f>
        <v>#REF!</v>
      </c>
      <c r="AP85" s="17" t="e">
        <f>-53.07 + (304.89 * (AO85)) + (90.79 *Crescimento!#REF!) - (3.13 * Crescimento!#REF!*Crescimento!#REF!)</f>
        <v>#REF!</v>
      </c>
      <c r="AR85" s="16" t="e">
        <f>(AS84+(Crescimento!#REF!-(AS84*0.64))/0.8)/1000</f>
        <v>#REF!</v>
      </c>
      <c r="AS85" s="17" t="e">
        <f>-53.07 + (304.89 * (AR85)) + (90.79 *Crescimento!#REF!) - (3.13 * Crescimento!#REF!*Crescimento!#REF!)</f>
        <v>#REF!</v>
      </c>
      <c r="AU85" s="16" t="e">
        <f>(AV84+(Crescimento!#REF!-(AV84*0.64))/0.8)/1000</f>
        <v>#REF!</v>
      </c>
      <c r="AV85" s="17" t="e">
        <f>-53.07 + (304.89 * (AU85)) + (90.79 *Crescimento!#REF!) - (3.13 * Crescimento!#REF!*Crescimento!#REF!)</f>
        <v>#REF!</v>
      </c>
      <c r="AX85" s="16" t="e">
        <f>(AY84+(Crescimento!#REF!-(AY84*0.64))/0.8)/1000</f>
        <v>#REF!</v>
      </c>
      <c r="AY85" s="17" t="e">
        <f>-53.07 + (304.89 * (AX85)) + (90.79 *Crescimento!#REF!) - (3.13 * Crescimento!#REF!*Crescimento!#REF!)</f>
        <v>#REF!</v>
      </c>
      <c r="BA85" s="16" t="e">
        <f>(BB84+(Crescimento!#REF!-(BB84*0.64))/0.8)/1000</f>
        <v>#REF!</v>
      </c>
      <c r="BB85" s="17" t="e">
        <f>-53.07 + (304.89 * (BA85)) + (90.79 *Crescimento!#REF!) - (3.13 * Crescimento!#REF!*Crescimento!#REF!)</f>
        <v>#REF!</v>
      </c>
      <c r="BD85" s="16" t="e">
        <f>(BE84+(Crescimento!#REF!-(BE84*0.64))/0.8)/1000</f>
        <v>#REF!</v>
      </c>
      <c r="BE85" s="17" t="e">
        <f>-53.07 + (304.89 * (BD85)) + (90.79 *Crescimento!#REF!) - (3.13 * Crescimento!#REF!*Crescimento!#REF!)</f>
        <v>#REF!</v>
      </c>
      <c r="BG85" s="16" t="e">
        <f>(BH84+(Crescimento!#REF!-(BH84*0.64))/0.8)/1000</f>
        <v>#REF!</v>
      </c>
      <c r="BH85" s="17" t="e">
        <f>-53.07 + (304.89 * (BG85)) + (90.79 *Crescimento!#REF!) - (3.13 * Crescimento!#REF!*Crescimento!#REF!)</f>
        <v>#REF!</v>
      </c>
      <c r="BJ85" s="16" t="e">
        <f>(BK84+(Crescimento!#REF!-(BK84*0.64))/0.8)/1000</f>
        <v>#REF!</v>
      </c>
      <c r="BK85" s="17" t="e">
        <f>-53.07 + (304.89 * (BJ85)) + (90.79 *Crescimento!#REF!) - (3.13 * Crescimento!#REF!*Crescimento!#REF!)</f>
        <v>#REF!</v>
      </c>
      <c r="BM85" s="16" t="e">
        <f>(BN84+(Crescimento!#REF!-(BN84*0.64))/0.8)/1000</f>
        <v>#REF!</v>
      </c>
      <c r="BN85" s="17" t="e">
        <f>-53.07 + (304.89 * (BM85)) + (90.79 *Crescimento!#REF!) - (3.13 * Crescimento!#REF!*Crescimento!#REF!)</f>
        <v>#REF!</v>
      </c>
      <c r="BP85" s="16" t="e">
        <f>(BQ84+(Crescimento!#REF!-(BQ84*0.64))/0.8)/1000</f>
        <v>#REF!</v>
      </c>
      <c r="BQ85" s="17" t="e">
        <f>-53.07 + (304.89 * (BP85)) + (90.79 *Crescimento!#REF!) - (3.13 * Crescimento!#REF!*Crescimento!#REF!)</f>
        <v>#REF!</v>
      </c>
      <c r="BS85" s="16" t="e">
        <f>(BT84+(Crescimento!#REF!-(BT84*0.64))/0.8)/1000</f>
        <v>#REF!</v>
      </c>
      <c r="BT85" s="17" t="e">
        <f>-53.07 + (304.89 * (BS85)) + (90.79 *Crescimento!#REF!) - (3.13 * Crescimento!#REF!*Crescimento!#REF!)</f>
        <v>#REF!</v>
      </c>
      <c r="BV85" s="16" t="e">
        <f>(BW84+(Crescimento!#REF!-(BW84*0.64))/0.8)/1000</f>
        <v>#REF!</v>
      </c>
      <c r="BW85" s="17" t="e">
        <f>-53.07 + (304.89 * (BV85)) + (90.79 *Crescimento!#REF!) - (3.13 * Crescimento!#REF!*Crescimento!#REF!)</f>
        <v>#REF!</v>
      </c>
      <c r="BY85" s="16" t="e">
        <f>(BZ84+(Crescimento!#REF!-(BZ84*0.64))/0.8)/1000</f>
        <v>#REF!</v>
      </c>
      <c r="BZ85" s="17" t="e">
        <f>-53.07 + (304.89 * (BY85)) + (90.79 *Crescimento!#REF!) - (3.13 * Crescimento!#REF!*Crescimento!#REF!)</f>
        <v>#REF!</v>
      </c>
      <c r="CB85" s="16" t="e">
        <f>(CC84+(Crescimento!#REF!-(CC84*0.64))/0.8)/1000</f>
        <v>#REF!</v>
      </c>
      <c r="CC85" s="17" t="e">
        <f>-53.07 + (304.89 * (CB85)) + (90.79 *Crescimento!#REF!) - (3.13 * Crescimento!#REF!*Crescimento!#REF!)</f>
        <v>#REF!</v>
      </c>
      <c r="CE85" s="16" t="e">
        <f>(CF84+(Crescimento!#REF!-(CF84*0.64))/0.8)/1000</f>
        <v>#REF!</v>
      </c>
      <c r="CF85" s="17" t="e">
        <f>-53.07 + (304.89 * (CE85)) + (90.79 *Crescimento!#REF!) - (3.13 * Crescimento!#REF!*Crescimento!#REF!)</f>
        <v>#REF!</v>
      </c>
      <c r="CH85" s="16" t="e">
        <f>(CI84+(Crescimento!#REF!-(CI84*0.64))/0.8)/1000</f>
        <v>#REF!</v>
      </c>
      <c r="CI85" s="17" t="e">
        <f>-53.07 + (304.89 * (CH85)) + (90.79 *Crescimento!#REF!) - (3.13 * Crescimento!#REF!*Crescimento!#REF!)</f>
        <v>#REF!</v>
      </c>
      <c r="CK85" s="16" t="e">
        <f>(CL84+(Crescimento!#REF!-(CL84*0.64))/0.8)/1000</f>
        <v>#REF!</v>
      </c>
      <c r="CL85" s="17" t="e">
        <f>-53.07 + (304.89 * (CK85)) + (90.79 *Crescimento!#REF!) - (3.13 * Crescimento!#REF!*Crescimento!#REF!)</f>
        <v>#REF!</v>
      </c>
    </row>
    <row r="86" spans="2:90" x14ac:dyDescent="0.25">
      <c r="B86" s="16">
        <f>(C85+('Vacas e Bezerros'!$O$29-(C85*0.64))/0.8)/1000</f>
        <v>1.1219974776113528</v>
      </c>
      <c r="C86" s="17">
        <f>-53.07 + (304.89 * (B86)) + (90.79 *'Vacas e Bezerros'!$O$23) - (3.13 * 'Vacas e Bezerros'!$O$23*'Vacas e Bezerros'!$O$23)</f>
        <v>715.77733851110622</v>
      </c>
      <c r="E86" s="16" t="e">
        <f>(F85+(Crescimento!#REF!-(F85*0.64))/0.8)/1000</f>
        <v>#REF!</v>
      </c>
      <c r="F86" s="17" t="e">
        <f>-53.07 + (304.89 * (E86)) + (90.79 *Crescimento!#REF!) - (3.13 * Crescimento!#REF!*Crescimento!#REF!)</f>
        <v>#REF!</v>
      </c>
      <c r="G86" s="1"/>
      <c r="H86" s="16" t="e">
        <f>(I85+(Crescimento!#REF!-(I85*0.64))/0.8)/1000</f>
        <v>#REF!</v>
      </c>
      <c r="I86" s="17" t="e">
        <f>-53.07 + (304.89 * (H86)) + (90.79 *Crescimento!#REF!) - (3.13 * Crescimento!#REF!*Crescimento!#REF!)</f>
        <v>#REF!</v>
      </c>
      <c r="K86" s="16" t="e">
        <f>(L85+(Crescimento!#REF!-(L85*0.64))/0.8)/1000</f>
        <v>#REF!</v>
      </c>
      <c r="L86" s="17" t="e">
        <f>-53.07 + (304.89 * (K86)) + (90.79 *Crescimento!#REF!) - (3.13 * Crescimento!#REF!*Crescimento!#REF!)</f>
        <v>#REF!</v>
      </c>
      <c r="N86" s="16" t="e">
        <f>(O85+(Crescimento!#REF!-(O85*0.64))/0.8)/1000</f>
        <v>#REF!</v>
      </c>
      <c r="O86" s="17" t="e">
        <f>-53.07 + (304.89 * (N86)) + (90.79 *Crescimento!#REF!) - (3.13 * Crescimento!#REF!*Crescimento!#REF!)</f>
        <v>#REF!</v>
      </c>
      <c r="Q86" s="16" t="e">
        <f>(R85+(Crescimento!#REF!-(R85*0.64))/0.8)/1000</f>
        <v>#REF!</v>
      </c>
      <c r="R86" s="17" t="e">
        <f>-53.07 + (304.89 * (Q86)) + (90.79 *Crescimento!#REF!) - (3.13 * Crescimento!#REF!*Crescimento!#REF!)</f>
        <v>#REF!</v>
      </c>
      <c r="T86" s="16" t="e">
        <f>(U85+(Crescimento!#REF!-(U85*0.64))/0.8)/1000</f>
        <v>#REF!</v>
      </c>
      <c r="U86" s="17" t="e">
        <f>-53.07 + (304.89 * (T86)) + (90.79 *Crescimento!#REF!) - (3.13 * Crescimento!#REF!*Crescimento!#REF!)</f>
        <v>#REF!</v>
      </c>
      <c r="W86" s="16" t="e">
        <f>(X85+(Crescimento!#REF!-(X85*0.64))/0.8)/1000</f>
        <v>#REF!</v>
      </c>
      <c r="X86" s="17" t="e">
        <f>-53.07 + (304.89 * (W86)) + (90.79 *Crescimento!#REF!) - (3.13 * Crescimento!#REF!*Crescimento!#REF!)</f>
        <v>#REF!</v>
      </c>
      <c r="Y86" s="6"/>
      <c r="Z86" s="16" t="e">
        <f>(AA85+(Crescimento!#REF!-(AA85*0.64))/0.8)/1000</f>
        <v>#REF!</v>
      </c>
      <c r="AA86" s="17" t="e">
        <f>-53.07 + (304.89 * (Z86)) + (90.79 *Crescimento!#REF!) - (3.13 * Crescimento!#REF!*Crescimento!#REF!)</f>
        <v>#REF!</v>
      </c>
      <c r="AB86" s="6"/>
      <c r="AC86" s="16" t="e">
        <f>(AD85+(Crescimento!#REF!-(AD85*0.64))/0.8)/1000</f>
        <v>#REF!</v>
      </c>
      <c r="AD86" s="17" t="e">
        <f>-53.07 + (304.89 * (AC86)) + (90.79 *Crescimento!#REF!) - (3.13 * Crescimento!#REF!*Crescimento!#REF!)</f>
        <v>#REF!</v>
      </c>
      <c r="AE86" s="17"/>
      <c r="AF86" s="16" t="e">
        <f>(AG85+(Crescimento!#REF!-(AG85*0.64))/0.8)/1000</f>
        <v>#REF!</v>
      </c>
      <c r="AG86" s="17" t="e">
        <f>-53.07 + (304.89 * (AF86)) + (90.79 *Crescimento!#REF!) - (3.13 * Crescimento!#REF!*Crescimento!#REF!)</f>
        <v>#REF!</v>
      </c>
      <c r="AI86" s="16" t="e">
        <f>(AJ85+(Crescimento!#REF!-(AJ85*0.64))/0.8)/1000</f>
        <v>#REF!</v>
      </c>
      <c r="AJ86" s="17" t="e">
        <f>-53.07 + (304.89 * (AI86)) + (90.79 *Crescimento!#REF!) - (3.13 * Crescimento!#REF!*Crescimento!#REF!)</f>
        <v>#REF!</v>
      </c>
      <c r="AL86" s="16" t="e">
        <f>(AM85+(Crescimento!#REF!-(AM85*0.64))/0.8)/1000</f>
        <v>#REF!</v>
      </c>
      <c r="AM86" s="17" t="e">
        <f>-53.07 + (304.89 * (AL86)) + (90.79 *Crescimento!#REF!) - (3.13 * Crescimento!#REF!*Crescimento!#REF!)</f>
        <v>#REF!</v>
      </c>
      <c r="AO86" s="16" t="e">
        <f>(AP85+(Crescimento!#REF!-(AP85*0.64))/0.8)/1000</f>
        <v>#REF!</v>
      </c>
      <c r="AP86" s="17" t="e">
        <f>-53.07 + (304.89 * (AO86)) + (90.79 *Crescimento!#REF!) - (3.13 * Crescimento!#REF!*Crescimento!#REF!)</f>
        <v>#REF!</v>
      </c>
      <c r="AR86" s="16" t="e">
        <f>(AS85+(Crescimento!#REF!-(AS85*0.64))/0.8)/1000</f>
        <v>#REF!</v>
      </c>
      <c r="AS86" s="17" t="e">
        <f>-53.07 + (304.89 * (AR86)) + (90.79 *Crescimento!#REF!) - (3.13 * Crescimento!#REF!*Crescimento!#REF!)</f>
        <v>#REF!</v>
      </c>
      <c r="AU86" s="16" t="e">
        <f>(AV85+(Crescimento!#REF!-(AV85*0.64))/0.8)/1000</f>
        <v>#REF!</v>
      </c>
      <c r="AV86" s="17" t="e">
        <f>-53.07 + (304.89 * (AU86)) + (90.79 *Crescimento!#REF!) - (3.13 * Crescimento!#REF!*Crescimento!#REF!)</f>
        <v>#REF!</v>
      </c>
      <c r="AX86" s="16" t="e">
        <f>(AY85+(Crescimento!#REF!-(AY85*0.64))/0.8)/1000</f>
        <v>#REF!</v>
      </c>
      <c r="AY86" s="17" t="e">
        <f>-53.07 + (304.89 * (AX86)) + (90.79 *Crescimento!#REF!) - (3.13 * Crescimento!#REF!*Crescimento!#REF!)</f>
        <v>#REF!</v>
      </c>
      <c r="BA86" s="16" t="e">
        <f>(BB85+(Crescimento!#REF!-(BB85*0.64))/0.8)/1000</f>
        <v>#REF!</v>
      </c>
      <c r="BB86" s="17" t="e">
        <f>-53.07 + (304.89 * (BA86)) + (90.79 *Crescimento!#REF!) - (3.13 * Crescimento!#REF!*Crescimento!#REF!)</f>
        <v>#REF!</v>
      </c>
      <c r="BD86" s="16" t="e">
        <f>(BE85+(Crescimento!#REF!-(BE85*0.64))/0.8)/1000</f>
        <v>#REF!</v>
      </c>
      <c r="BE86" s="17" t="e">
        <f>-53.07 + (304.89 * (BD86)) + (90.79 *Crescimento!#REF!) - (3.13 * Crescimento!#REF!*Crescimento!#REF!)</f>
        <v>#REF!</v>
      </c>
      <c r="BG86" s="16" t="e">
        <f>(BH85+(Crescimento!#REF!-(BH85*0.64))/0.8)/1000</f>
        <v>#REF!</v>
      </c>
      <c r="BH86" s="17" t="e">
        <f>-53.07 + (304.89 * (BG86)) + (90.79 *Crescimento!#REF!) - (3.13 * Crescimento!#REF!*Crescimento!#REF!)</f>
        <v>#REF!</v>
      </c>
      <c r="BJ86" s="16" t="e">
        <f>(BK85+(Crescimento!#REF!-(BK85*0.64))/0.8)/1000</f>
        <v>#REF!</v>
      </c>
      <c r="BK86" s="17" t="e">
        <f>-53.07 + (304.89 * (BJ86)) + (90.79 *Crescimento!#REF!) - (3.13 * Crescimento!#REF!*Crescimento!#REF!)</f>
        <v>#REF!</v>
      </c>
      <c r="BM86" s="16" t="e">
        <f>(BN85+(Crescimento!#REF!-(BN85*0.64))/0.8)/1000</f>
        <v>#REF!</v>
      </c>
      <c r="BN86" s="17" t="e">
        <f>-53.07 + (304.89 * (BM86)) + (90.79 *Crescimento!#REF!) - (3.13 * Crescimento!#REF!*Crescimento!#REF!)</f>
        <v>#REF!</v>
      </c>
      <c r="BP86" s="16" t="e">
        <f>(BQ85+(Crescimento!#REF!-(BQ85*0.64))/0.8)/1000</f>
        <v>#REF!</v>
      </c>
      <c r="BQ86" s="17" t="e">
        <f>-53.07 + (304.89 * (BP86)) + (90.79 *Crescimento!#REF!) - (3.13 * Crescimento!#REF!*Crescimento!#REF!)</f>
        <v>#REF!</v>
      </c>
      <c r="BS86" s="16" t="e">
        <f>(BT85+(Crescimento!#REF!-(BT85*0.64))/0.8)/1000</f>
        <v>#REF!</v>
      </c>
      <c r="BT86" s="17" t="e">
        <f>-53.07 + (304.89 * (BS86)) + (90.79 *Crescimento!#REF!) - (3.13 * Crescimento!#REF!*Crescimento!#REF!)</f>
        <v>#REF!</v>
      </c>
      <c r="BV86" s="16" t="e">
        <f>(BW85+(Crescimento!#REF!-(BW85*0.64))/0.8)/1000</f>
        <v>#REF!</v>
      </c>
      <c r="BW86" s="17" t="e">
        <f>-53.07 + (304.89 * (BV86)) + (90.79 *Crescimento!#REF!) - (3.13 * Crescimento!#REF!*Crescimento!#REF!)</f>
        <v>#REF!</v>
      </c>
      <c r="BY86" s="16" t="e">
        <f>(BZ85+(Crescimento!#REF!-(BZ85*0.64))/0.8)/1000</f>
        <v>#REF!</v>
      </c>
      <c r="BZ86" s="17" t="e">
        <f>-53.07 + (304.89 * (BY86)) + (90.79 *Crescimento!#REF!) - (3.13 * Crescimento!#REF!*Crescimento!#REF!)</f>
        <v>#REF!</v>
      </c>
      <c r="CB86" s="16" t="e">
        <f>(CC85+(Crescimento!#REF!-(CC85*0.64))/0.8)/1000</f>
        <v>#REF!</v>
      </c>
      <c r="CC86" s="17" t="e">
        <f>-53.07 + (304.89 * (CB86)) + (90.79 *Crescimento!#REF!) - (3.13 * Crescimento!#REF!*Crescimento!#REF!)</f>
        <v>#REF!</v>
      </c>
      <c r="CE86" s="16" t="e">
        <f>(CF85+(Crescimento!#REF!-(CF85*0.64))/0.8)/1000</f>
        <v>#REF!</v>
      </c>
      <c r="CF86" s="17" t="e">
        <f>-53.07 + (304.89 * (CE86)) + (90.79 *Crescimento!#REF!) - (3.13 * Crescimento!#REF!*Crescimento!#REF!)</f>
        <v>#REF!</v>
      </c>
      <c r="CH86" s="16" t="e">
        <f>(CI85+(Crescimento!#REF!-(CI85*0.64))/0.8)/1000</f>
        <v>#REF!</v>
      </c>
      <c r="CI86" s="17" t="e">
        <f>-53.07 + (304.89 * (CH86)) + (90.79 *Crescimento!#REF!) - (3.13 * Crescimento!#REF!*Crescimento!#REF!)</f>
        <v>#REF!</v>
      </c>
      <c r="CK86" s="16" t="e">
        <f>(CL85+(Crescimento!#REF!-(CL85*0.64))/0.8)/1000</f>
        <v>#REF!</v>
      </c>
      <c r="CL86" s="17" t="e">
        <f>-53.07 + (304.89 * (CK86)) + (90.79 *Crescimento!#REF!) - (3.13 * Crescimento!#REF!*Crescimento!#REF!)</f>
        <v>#REF!</v>
      </c>
    </row>
    <row r="87" spans="2:90" x14ac:dyDescent="0.25">
      <c r="B87" s="16">
        <f>(C86+('Vacas e Bezerros'!$O$29-(C86*0.64))/0.8)/1000</f>
        <v>1.1219974776113528</v>
      </c>
      <c r="C87" s="17">
        <f>-53.07 + (304.89 * (B87)) + (90.79 *'Vacas e Bezerros'!$O$23) - (3.13 * 'Vacas e Bezerros'!$O$23*'Vacas e Bezerros'!$O$23)</f>
        <v>715.77733851110622</v>
      </c>
      <c r="E87" s="16" t="e">
        <f>(F86+(Crescimento!#REF!-(F86*0.64))/0.8)/1000</f>
        <v>#REF!</v>
      </c>
      <c r="F87" s="17" t="e">
        <f>-53.07 + (304.89 * (E87)) + (90.79 *Crescimento!#REF!) - (3.13 * Crescimento!#REF!*Crescimento!#REF!)</f>
        <v>#REF!</v>
      </c>
      <c r="G87" s="1"/>
      <c r="H87" s="16" t="e">
        <f>(I86+(Crescimento!#REF!-(I86*0.64))/0.8)/1000</f>
        <v>#REF!</v>
      </c>
      <c r="I87" s="17" t="e">
        <f>-53.07 + (304.89 * (H87)) + (90.79 *Crescimento!#REF!) - (3.13 * Crescimento!#REF!*Crescimento!#REF!)</f>
        <v>#REF!</v>
      </c>
      <c r="K87" s="16" t="e">
        <f>(L86+(Crescimento!#REF!-(L86*0.64))/0.8)/1000</f>
        <v>#REF!</v>
      </c>
      <c r="L87" s="17" t="e">
        <f>-53.07 + (304.89 * (K87)) + (90.79 *Crescimento!#REF!) - (3.13 * Crescimento!#REF!*Crescimento!#REF!)</f>
        <v>#REF!</v>
      </c>
      <c r="N87" s="16" t="e">
        <f>(O86+(Crescimento!#REF!-(O86*0.64))/0.8)/1000</f>
        <v>#REF!</v>
      </c>
      <c r="O87" s="17" t="e">
        <f>-53.07 + (304.89 * (N87)) + (90.79 *Crescimento!#REF!) - (3.13 * Crescimento!#REF!*Crescimento!#REF!)</f>
        <v>#REF!</v>
      </c>
      <c r="Q87" s="16" t="e">
        <f>(R86+(Crescimento!#REF!-(R86*0.64))/0.8)/1000</f>
        <v>#REF!</v>
      </c>
      <c r="R87" s="17" t="e">
        <f>-53.07 + (304.89 * (Q87)) + (90.79 *Crescimento!#REF!) - (3.13 * Crescimento!#REF!*Crescimento!#REF!)</f>
        <v>#REF!</v>
      </c>
      <c r="T87" s="16" t="e">
        <f>(U86+(Crescimento!#REF!-(U86*0.64))/0.8)/1000</f>
        <v>#REF!</v>
      </c>
      <c r="U87" s="17" t="e">
        <f>-53.07 + (304.89 * (T87)) + (90.79 *Crescimento!#REF!) - (3.13 * Crescimento!#REF!*Crescimento!#REF!)</f>
        <v>#REF!</v>
      </c>
      <c r="W87" s="16" t="e">
        <f>(X86+(Crescimento!#REF!-(X86*0.64))/0.8)/1000</f>
        <v>#REF!</v>
      </c>
      <c r="X87" s="17" t="e">
        <f>-53.07 + (304.89 * (W87)) + (90.79 *Crescimento!#REF!) - (3.13 * Crescimento!#REF!*Crescimento!#REF!)</f>
        <v>#REF!</v>
      </c>
      <c r="Y87" s="6"/>
      <c r="Z87" s="16" t="e">
        <f>(AA86+(Crescimento!#REF!-(AA86*0.64))/0.8)/1000</f>
        <v>#REF!</v>
      </c>
      <c r="AA87" s="17" t="e">
        <f>-53.07 + (304.89 * (Z87)) + (90.79 *Crescimento!#REF!) - (3.13 * Crescimento!#REF!*Crescimento!#REF!)</f>
        <v>#REF!</v>
      </c>
      <c r="AB87" s="6"/>
      <c r="AC87" s="16" t="e">
        <f>(AD86+(Crescimento!#REF!-(AD86*0.64))/0.8)/1000</f>
        <v>#REF!</v>
      </c>
      <c r="AD87" s="17" t="e">
        <f>-53.07 + (304.89 * (AC87)) + (90.79 *Crescimento!#REF!) - (3.13 * Crescimento!#REF!*Crescimento!#REF!)</f>
        <v>#REF!</v>
      </c>
      <c r="AE87" s="17"/>
      <c r="AF87" s="16" t="e">
        <f>(AG86+(Crescimento!#REF!-(AG86*0.64))/0.8)/1000</f>
        <v>#REF!</v>
      </c>
      <c r="AG87" s="17" t="e">
        <f>-53.07 + (304.89 * (AF87)) + (90.79 *Crescimento!#REF!) - (3.13 * Crescimento!#REF!*Crescimento!#REF!)</f>
        <v>#REF!</v>
      </c>
      <c r="AI87" s="16" t="e">
        <f>(AJ86+(Crescimento!#REF!-(AJ86*0.64))/0.8)/1000</f>
        <v>#REF!</v>
      </c>
      <c r="AJ87" s="17" t="e">
        <f>-53.07 + (304.89 * (AI87)) + (90.79 *Crescimento!#REF!) - (3.13 * Crescimento!#REF!*Crescimento!#REF!)</f>
        <v>#REF!</v>
      </c>
      <c r="AL87" s="16" t="e">
        <f>(AM86+(Crescimento!#REF!-(AM86*0.64))/0.8)/1000</f>
        <v>#REF!</v>
      </c>
      <c r="AM87" s="17" t="e">
        <f>-53.07 + (304.89 * (AL87)) + (90.79 *Crescimento!#REF!) - (3.13 * Crescimento!#REF!*Crescimento!#REF!)</f>
        <v>#REF!</v>
      </c>
      <c r="AO87" s="16" t="e">
        <f>(AP86+(Crescimento!#REF!-(AP86*0.64))/0.8)/1000</f>
        <v>#REF!</v>
      </c>
      <c r="AP87" s="17" t="e">
        <f>-53.07 + (304.89 * (AO87)) + (90.79 *Crescimento!#REF!) - (3.13 * Crescimento!#REF!*Crescimento!#REF!)</f>
        <v>#REF!</v>
      </c>
      <c r="AR87" s="16" t="e">
        <f>(AS86+(Crescimento!#REF!-(AS86*0.64))/0.8)/1000</f>
        <v>#REF!</v>
      </c>
      <c r="AS87" s="17" t="e">
        <f>-53.07 + (304.89 * (AR87)) + (90.79 *Crescimento!#REF!) - (3.13 * Crescimento!#REF!*Crescimento!#REF!)</f>
        <v>#REF!</v>
      </c>
      <c r="AU87" s="16" t="e">
        <f>(AV86+(Crescimento!#REF!-(AV86*0.64))/0.8)/1000</f>
        <v>#REF!</v>
      </c>
      <c r="AV87" s="17" t="e">
        <f>-53.07 + (304.89 * (AU87)) + (90.79 *Crescimento!#REF!) - (3.13 * Crescimento!#REF!*Crescimento!#REF!)</f>
        <v>#REF!</v>
      </c>
      <c r="AX87" s="16" t="e">
        <f>(AY86+(Crescimento!#REF!-(AY86*0.64))/0.8)/1000</f>
        <v>#REF!</v>
      </c>
      <c r="AY87" s="17" t="e">
        <f>-53.07 + (304.89 * (AX87)) + (90.79 *Crescimento!#REF!) - (3.13 * Crescimento!#REF!*Crescimento!#REF!)</f>
        <v>#REF!</v>
      </c>
      <c r="BA87" s="16" t="e">
        <f>(BB86+(Crescimento!#REF!-(BB86*0.64))/0.8)/1000</f>
        <v>#REF!</v>
      </c>
      <c r="BB87" s="17" t="e">
        <f>-53.07 + (304.89 * (BA87)) + (90.79 *Crescimento!#REF!) - (3.13 * Crescimento!#REF!*Crescimento!#REF!)</f>
        <v>#REF!</v>
      </c>
      <c r="BD87" s="16" t="e">
        <f>(BE86+(Crescimento!#REF!-(BE86*0.64))/0.8)/1000</f>
        <v>#REF!</v>
      </c>
      <c r="BE87" s="17" t="e">
        <f>-53.07 + (304.89 * (BD87)) + (90.79 *Crescimento!#REF!) - (3.13 * Crescimento!#REF!*Crescimento!#REF!)</f>
        <v>#REF!</v>
      </c>
      <c r="BG87" s="16" t="e">
        <f>(BH86+(Crescimento!#REF!-(BH86*0.64))/0.8)/1000</f>
        <v>#REF!</v>
      </c>
      <c r="BH87" s="17" t="e">
        <f>-53.07 + (304.89 * (BG87)) + (90.79 *Crescimento!#REF!) - (3.13 * Crescimento!#REF!*Crescimento!#REF!)</f>
        <v>#REF!</v>
      </c>
      <c r="BJ87" s="16" t="e">
        <f>(BK86+(Crescimento!#REF!-(BK86*0.64))/0.8)/1000</f>
        <v>#REF!</v>
      </c>
      <c r="BK87" s="17" t="e">
        <f>-53.07 + (304.89 * (BJ87)) + (90.79 *Crescimento!#REF!) - (3.13 * Crescimento!#REF!*Crescimento!#REF!)</f>
        <v>#REF!</v>
      </c>
      <c r="BM87" s="16" t="e">
        <f>(BN86+(Crescimento!#REF!-(BN86*0.64))/0.8)/1000</f>
        <v>#REF!</v>
      </c>
      <c r="BN87" s="17" t="e">
        <f>-53.07 + (304.89 * (BM87)) + (90.79 *Crescimento!#REF!) - (3.13 * Crescimento!#REF!*Crescimento!#REF!)</f>
        <v>#REF!</v>
      </c>
      <c r="BP87" s="16" t="e">
        <f>(BQ86+(Crescimento!#REF!-(BQ86*0.64))/0.8)/1000</f>
        <v>#REF!</v>
      </c>
      <c r="BQ87" s="17" t="e">
        <f>-53.07 + (304.89 * (BP87)) + (90.79 *Crescimento!#REF!) - (3.13 * Crescimento!#REF!*Crescimento!#REF!)</f>
        <v>#REF!</v>
      </c>
      <c r="BS87" s="16" t="e">
        <f>(BT86+(Crescimento!#REF!-(BT86*0.64))/0.8)/1000</f>
        <v>#REF!</v>
      </c>
      <c r="BT87" s="17" t="e">
        <f>-53.07 + (304.89 * (BS87)) + (90.79 *Crescimento!#REF!) - (3.13 * Crescimento!#REF!*Crescimento!#REF!)</f>
        <v>#REF!</v>
      </c>
      <c r="BV87" s="16" t="e">
        <f>(BW86+(Crescimento!#REF!-(BW86*0.64))/0.8)/1000</f>
        <v>#REF!</v>
      </c>
      <c r="BW87" s="17" t="e">
        <f>-53.07 + (304.89 * (BV87)) + (90.79 *Crescimento!#REF!) - (3.13 * Crescimento!#REF!*Crescimento!#REF!)</f>
        <v>#REF!</v>
      </c>
      <c r="BY87" s="16" t="e">
        <f>(BZ86+(Crescimento!#REF!-(BZ86*0.64))/0.8)/1000</f>
        <v>#REF!</v>
      </c>
      <c r="BZ87" s="17" t="e">
        <f>-53.07 + (304.89 * (BY87)) + (90.79 *Crescimento!#REF!) - (3.13 * Crescimento!#REF!*Crescimento!#REF!)</f>
        <v>#REF!</v>
      </c>
      <c r="CB87" s="16" t="e">
        <f>(CC86+(Crescimento!#REF!-(CC86*0.64))/0.8)/1000</f>
        <v>#REF!</v>
      </c>
      <c r="CC87" s="17" t="e">
        <f>-53.07 + (304.89 * (CB87)) + (90.79 *Crescimento!#REF!) - (3.13 * Crescimento!#REF!*Crescimento!#REF!)</f>
        <v>#REF!</v>
      </c>
      <c r="CE87" s="16" t="e">
        <f>(CF86+(Crescimento!#REF!-(CF86*0.64))/0.8)/1000</f>
        <v>#REF!</v>
      </c>
      <c r="CF87" s="17" t="e">
        <f>-53.07 + (304.89 * (CE87)) + (90.79 *Crescimento!#REF!) - (3.13 * Crescimento!#REF!*Crescimento!#REF!)</f>
        <v>#REF!</v>
      </c>
      <c r="CH87" s="16" t="e">
        <f>(CI86+(Crescimento!#REF!-(CI86*0.64))/0.8)/1000</f>
        <v>#REF!</v>
      </c>
      <c r="CI87" s="17" t="e">
        <f>-53.07 + (304.89 * (CH87)) + (90.79 *Crescimento!#REF!) - (3.13 * Crescimento!#REF!*Crescimento!#REF!)</f>
        <v>#REF!</v>
      </c>
      <c r="CK87" s="16" t="e">
        <f>(CL86+(Crescimento!#REF!-(CL86*0.64))/0.8)/1000</f>
        <v>#REF!</v>
      </c>
      <c r="CL87" s="17" t="e">
        <f>-53.07 + (304.89 * (CK87)) + (90.79 *Crescimento!#REF!) - (3.13 * Crescimento!#REF!*Crescimento!#REF!)</f>
        <v>#REF!</v>
      </c>
    </row>
    <row r="88" spans="2:90" x14ac:dyDescent="0.25">
      <c r="B88" s="16">
        <f>(C87+('Vacas e Bezerros'!$O$29-(C87*0.64))/0.8)/1000</f>
        <v>1.1219974776113528</v>
      </c>
      <c r="C88" s="17">
        <f>-53.07 + (304.89 * (B88)) + (90.79 *'Vacas e Bezerros'!$O$23) - (3.13 * 'Vacas e Bezerros'!$O$23*'Vacas e Bezerros'!$O$23)</f>
        <v>715.77733851110622</v>
      </c>
      <c r="E88" s="16" t="e">
        <f>(F87+(Crescimento!#REF!-(F87*0.64))/0.8)/1000</f>
        <v>#REF!</v>
      </c>
      <c r="F88" s="17" t="e">
        <f>-53.07 + (304.89 * (E88)) + (90.79 *Crescimento!#REF!) - (3.13 * Crescimento!#REF!*Crescimento!#REF!)</f>
        <v>#REF!</v>
      </c>
      <c r="G88" s="1"/>
      <c r="H88" s="16" t="e">
        <f>(I87+(Crescimento!#REF!-(I87*0.64))/0.8)/1000</f>
        <v>#REF!</v>
      </c>
      <c r="I88" s="17" t="e">
        <f>-53.07 + (304.89 * (H88)) + (90.79 *Crescimento!#REF!) - (3.13 * Crescimento!#REF!*Crescimento!#REF!)</f>
        <v>#REF!</v>
      </c>
      <c r="K88" s="16" t="e">
        <f>(L87+(Crescimento!#REF!-(L87*0.64))/0.8)/1000</f>
        <v>#REF!</v>
      </c>
      <c r="L88" s="17" t="e">
        <f>-53.07 + (304.89 * (K88)) + (90.79 *Crescimento!#REF!) - (3.13 * Crescimento!#REF!*Crescimento!#REF!)</f>
        <v>#REF!</v>
      </c>
      <c r="N88" s="16" t="e">
        <f>(O87+(Crescimento!#REF!-(O87*0.64))/0.8)/1000</f>
        <v>#REF!</v>
      </c>
      <c r="O88" s="17" t="e">
        <f>-53.07 + (304.89 * (N88)) + (90.79 *Crescimento!#REF!) - (3.13 * Crescimento!#REF!*Crescimento!#REF!)</f>
        <v>#REF!</v>
      </c>
      <c r="Q88" s="16" t="e">
        <f>(R87+(Crescimento!#REF!-(R87*0.64))/0.8)/1000</f>
        <v>#REF!</v>
      </c>
      <c r="R88" s="17" t="e">
        <f>-53.07 + (304.89 * (Q88)) + (90.79 *Crescimento!#REF!) - (3.13 * Crescimento!#REF!*Crescimento!#REF!)</f>
        <v>#REF!</v>
      </c>
      <c r="T88" s="16" t="e">
        <f>(U87+(Crescimento!#REF!-(U87*0.64))/0.8)/1000</f>
        <v>#REF!</v>
      </c>
      <c r="U88" s="17" t="e">
        <f>-53.07 + (304.89 * (T88)) + (90.79 *Crescimento!#REF!) - (3.13 * Crescimento!#REF!*Crescimento!#REF!)</f>
        <v>#REF!</v>
      </c>
      <c r="W88" s="16" t="e">
        <f>(X87+(Crescimento!#REF!-(X87*0.64))/0.8)/1000</f>
        <v>#REF!</v>
      </c>
      <c r="X88" s="17" t="e">
        <f>-53.07 + (304.89 * (W88)) + (90.79 *Crescimento!#REF!) - (3.13 * Crescimento!#REF!*Crescimento!#REF!)</f>
        <v>#REF!</v>
      </c>
      <c r="Y88" s="6"/>
      <c r="Z88" s="16" t="e">
        <f>(AA87+(Crescimento!#REF!-(AA87*0.64))/0.8)/1000</f>
        <v>#REF!</v>
      </c>
      <c r="AA88" s="17" t="e">
        <f>-53.07 + (304.89 * (Z88)) + (90.79 *Crescimento!#REF!) - (3.13 * Crescimento!#REF!*Crescimento!#REF!)</f>
        <v>#REF!</v>
      </c>
      <c r="AB88" s="6"/>
      <c r="AC88" s="16" t="e">
        <f>(AD87+(Crescimento!#REF!-(AD87*0.64))/0.8)/1000</f>
        <v>#REF!</v>
      </c>
      <c r="AD88" s="17" t="e">
        <f>-53.07 + (304.89 * (AC88)) + (90.79 *Crescimento!#REF!) - (3.13 * Crescimento!#REF!*Crescimento!#REF!)</f>
        <v>#REF!</v>
      </c>
      <c r="AE88" s="17"/>
      <c r="AF88" s="16" t="e">
        <f>(AG87+(Crescimento!#REF!-(AG87*0.64))/0.8)/1000</f>
        <v>#REF!</v>
      </c>
      <c r="AG88" s="17" t="e">
        <f>-53.07 + (304.89 * (AF88)) + (90.79 *Crescimento!#REF!) - (3.13 * Crescimento!#REF!*Crescimento!#REF!)</f>
        <v>#REF!</v>
      </c>
      <c r="AI88" s="16" t="e">
        <f>(AJ87+(Crescimento!#REF!-(AJ87*0.64))/0.8)/1000</f>
        <v>#REF!</v>
      </c>
      <c r="AJ88" s="17" t="e">
        <f>-53.07 + (304.89 * (AI88)) + (90.79 *Crescimento!#REF!) - (3.13 * Crescimento!#REF!*Crescimento!#REF!)</f>
        <v>#REF!</v>
      </c>
      <c r="AL88" s="16" t="e">
        <f>(AM87+(Crescimento!#REF!-(AM87*0.64))/0.8)/1000</f>
        <v>#REF!</v>
      </c>
      <c r="AM88" s="17" t="e">
        <f>-53.07 + (304.89 * (AL88)) + (90.79 *Crescimento!#REF!) - (3.13 * Crescimento!#REF!*Crescimento!#REF!)</f>
        <v>#REF!</v>
      </c>
      <c r="AO88" s="16" t="e">
        <f>(AP87+(Crescimento!#REF!-(AP87*0.64))/0.8)/1000</f>
        <v>#REF!</v>
      </c>
      <c r="AP88" s="17" t="e">
        <f>-53.07 + (304.89 * (AO88)) + (90.79 *Crescimento!#REF!) - (3.13 * Crescimento!#REF!*Crescimento!#REF!)</f>
        <v>#REF!</v>
      </c>
      <c r="AR88" s="16" t="e">
        <f>(AS87+(Crescimento!#REF!-(AS87*0.64))/0.8)/1000</f>
        <v>#REF!</v>
      </c>
      <c r="AS88" s="17" t="e">
        <f>-53.07 + (304.89 * (AR88)) + (90.79 *Crescimento!#REF!) - (3.13 * Crescimento!#REF!*Crescimento!#REF!)</f>
        <v>#REF!</v>
      </c>
      <c r="AU88" s="16" t="e">
        <f>(AV87+(Crescimento!#REF!-(AV87*0.64))/0.8)/1000</f>
        <v>#REF!</v>
      </c>
      <c r="AV88" s="17" t="e">
        <f>-53.07 + (304.89 * (AU88)) + (90.79 *Crescimento!#REF!) - (3.13 * Crescimento!#REF!*Crescimento!#REF!)</f>
        <v>#REF!</v>
      </c>
      <c r="AX88" s="16" t="e">
        <f>(AY87+(Crescimento!#REF!-(AY87*0.64))/0.8)/1000</f>
        <v>#REF!</v>
      </c>
      <c r="AY88" s="17" t="e">
        <f>-53.07 + (304.89 * (AX88)) + (90.79 *Crescimento!#REF!) - (3.13 * Crescimento!#REF!*Crescimento!#REF!)</f>
        <v>#REF!</v>
      </c>
      <c r="BA88" s="16" t="e">
        <f>(BB87+(Crescimento!#REF!-(BB87*0.64))/0.8)/1000</f>
        <v>#REF!</v>
      </c>
      <c r="BB88" s="17" t="e">
        <f>-53.07 + (304.89 * (BA88)) + (90.79 *Crescimento!#REF!) - (3.13 * Crescimento!#REF!*Crescimento!#REF!)</f>
        <v>#REF!</v>
      </c>
      <c r="BD88" s="16" t="e">
        <f>(BE87+(Crescimento!#REF!-(BE87*0.64))/0.8)/1000</f>
        <v>#REF!</v>
      </c>
      <c r="BE88" s="17" t="e">
        <f>-53.07 + (304.89 * (BD88)) + (90.79 *Crescimento!#REF!) - (3.13 * Crescimento!#REF!*Crescimento!#REF!)</f>
        <v>#REF!</v>
      </c>
      <c r="BG88" s="16" t="e">
        <f>(BH87+(Crescimento!#REF!-(BH87*0.64))/0.8)/1000</f>
        <v>#REF!</v>
      </c>
      <c r="BH88" s="17" t="e">
        <f>-53.07 + (304.89 * (BG88)) + (90.79 *Crescimento!#REF!) - (3.13 * Crescimento!#REF!*Crescimento!#REF!)</f>
        <v>#REF!</v>
      </c>
      <c r="BJ88" s="16" t="e">
        <f>(BK87+(Crescimento!#REF!-(BK87*0.64))/0.8)/1000</f>
        <v>#REF!</v>
      </c>
      <c r="BK88" s="17" t="e">
        <f>-53.07 + (304.89 * (BJ88)) + (90.79 *Crescimento!#REF!) - (3.13 * Crescimento!#REF!*Crescimento!#REF!)</f>
        <v>#REF!</v>
      </c>
      <c r="BM88" s="16" t="e">
        <f>(BN87+(Crescimento!#REF!-(BN87*0.64))/0.8)/1000</f>
        <v>#REF!</v>
      </c>
      <c r="BN88" s="17" t="e">
        <f>-53.07 + (304.89 * (BM88)) + (90.79 *Crescimento!#REF!) - (3.13 * Crescimento!#REF!*Crescimento!#REF!)</f>
        <v>#REF!</v>
      </c>
      <c r="BP88" s="16" t="e">
        <f>(BQ87+(Crescimento!#REF!-(BQ87*0.64))/0.8)/1000</f>
        <v>#REF!</v>
      </c>
      <c r="BQ88" s="17" t="e">
        <f>-53.07 + (304.89 * (BP88)) + (90.79 *Crescimento!#REF!) - (3.13 * Crescimento!#REF!*Crescimento!#REF!)</f>
        <v>#REF!</v>
      </c>
      <c r="BS88" s="16" t="e">
        <f>(BT87+(Crescimento!#REF!-(BT87*0.64))/0.8)/1000</f>
        <v>#REF!</v>
      </c>
      <c r="BT88" s="17" t="e">
        <f>-53.07 + (304.89 * (BS88)) + (90.79 *Crescimento!#REF!) - (3.13 * Crescimento!#REF!*Crescimento!#REF!)</f>
        <v>#REF!</v>
      </c>
      <c r="BV88" s="16" t="e">
        <f>(BW87+(Crescimento!#REF!-(BW87*0.64))/0.8)/1000</f>
        <v>#REF!</v>
      </c>
      <c r="BW88" s="17" t="e">
        <f>-53.07 + (304.89 * (BV88)) + (90.79 *Crescimento!#REF!) - (3.13 * Crescimento!#REF!*Crescimento!#REF!)</f>
        <v>#REF!</v>
      </c>
      <c r="BY88" s="16" t="e">
        <f>(BZ87+(Crescimento!#REF!-(BZ87*0.64))/0.8)/1000</f>
        <v>#REF!</v>
      </c>
      <c r="BZ88" s="17" t="e">
        <f>-53.07 + (304.89 * (BY88)) + (90.79 *Crescimento!#REF!) - (3.13 * Crescimento!#REF!*Crescimento!#REF!)</f>
        <v>#REF!</v>
      </c>
      <c r="CB88" s="16" t="e">
        <f>(CC87+(Crescimento!#REF!-(CC87*0.64))/0.8)/1000</f>
        <v>#REF!</v>
      </c>
      <c r="CC88" s="17" t="e">
        <f>-53.07 + (304.89 * (CB88)) + (90.79 *Crescimento!#REF!) - (3.13 * Crescimento!#REF!*Crescimento!#REF!)</f>
        <v>#REF!</v>
      </c>
      <c r="CE88" s="16" t="e">
        <f>(CF87+(Crescimento!#REF!-(CF87*0.64))/0.8)/1000</f>
        <v>#REF!</v>
      </c>
      <c r="CF88" s="17" t="e">
        <f>-53.07 + (304.89 * (CE88)) + (90.79 *Crescimento!#REF!) - (3.13 * Crescimento!#REF!*Crescimento!#REF!)</f>
        <v>#REF!</v>
      </c>
      <c r="CH88" s="16" t="e">
        <f>(CI87+(Crescimento!#REF!-(CI87*0.64))/0.8)/1000</f>
        <v>#REF!</v>
      </c>
      <c r="CI88" s="17" t="e">
        <f>-53.07 + (304.89 * (CH88)) + (90.79 *Crescimento!#REF!) - (3.13 * Crescimento!#REF!*Crescimento!#REF!)</f>
        <v>#REF!</v>
      </c>
      <c r="CK88" s="16" t="e">
        <f>(CL87+(Crescimento!#REF!-(CL87*0.64))/0.8)/1000</f>
        <v>#REF!</v>
      </c>
      <c r="CL88" s="17" t="e">
        <f>-53.07 + (304.89 * (CK88)) + (90.79 *Crescimento!#REF!) - (3.13 * Crescimento!#REF!*Crescimento!#REF!)</f>
        <v>#REF!</v>
      </c>
    </row>
    <row r="89" spans="2:90" x14ac:dyDescent="0.25">
      <c r="B89" s="16">
        <f>(C88+('Vacas e Bezerros'!$O$29-(C88*0.64))/0.8)/1000</f>
        <v>1.1219974776113528</v>
      </c>
      <c r="C89" s="17">
        <f>-53.07 + (304.89 * (B89)) + (90.79 *'Vacas e Bezerros'!$O$23) - (3.13 * 'Vacas e Bezerros'!$O$23*'Vacas e Bezerros'!$O$23)</f>
        <v>715.77733851110622</v>
      </c>
      <c r="E89" s="16" t="e">
        <f>(F88+(Crescimento!#REF!-(F88*0.64))/0.8)/1000</f>
        <v>#REF!</v>
      </c>
      <c r="F89" s="17" t="e">
        <f>-53.07 + (304.89 * (E89)) + (90.79 *Crescimento!#REF!) - (3.13 * Crescimento!#REF!*Crescimento!#REF!)</f>
        <v>#REF!</v>
      </c>
      <c r="G89" s="1"/>
      <c r="H89" s="16" t="e">
        <f>(I88+(Crescimento!#REF!-(I88*0.64))/0.8)/1000</f>
        <v>#REF!</v>
      </c>
      <c r="I89" s="17" t="e">
        <f>-53.07 + (304.89 * (H89)) + (90.79 *Crescimento!#REF!) - (3.13 * Crescimento!#REF!*Crescimento!#REF!)</f>
        <v>#REF!</v>
      </c>
      <c r="K89" s="16" t="e">
        <f>(L88+(Crescimento!#REF!-(L88*0.64))/0.8)/1000</f>
        <v>#REF!</v>
      </c>
      <c r="L89" s="17" t="e">
        <f>-53.07 + (304.89 * (K89)) + (90.79 *Crescimento!#REF!) - (3.13 * Crescimento!#REF!*Crescimento!#REF!)</f>
        <v>#REF!</v>
      </c>
      <c r="N89" s="16" t="e">
        <f>(O88+(Crescimento!#REF!-(O88*0.64))/0.8)/1000</f>
        <v>#REF!</v>
      </c>
      <c r="O89" s="17" t="e">
        <f>-53.07 + (304.89 * (N89)) + (90.79 *Crescimento!#REF!) - (3.13 * Crescimento!#REF!*Crescimento!#REF!)</f>
        <v>#REF!</v>
      </c>
      <c r="Q89" s="16" t="e">
        <f>(R88+(Crescimento!#REF!-(R88*0.64))/0.8)/1000</f>
        <v>#REF!</v>
      </c>
      <c r="R89" s="17" t="e">
        <f>-53.07 + (304.89 * (Q89)) + (90.79 *Crescimento!#REF!) - (3.13 * Crescimento!#REF!*Crescimento!#REF!)</f>
        <v>#REF!</v>
      </c>
      <c r="T89" s="16" t="e">
        <f>(U88+(Crescimento!#REF!-(U88*0.64))/0.8)/1000</f>
        <v>#REF!</v>
      </c>
      <c r="U89" s="17" t="e">
        <f>-53.07 + (304.89 * (T89)) + (90.79 *Crescimento!#REF!) - (3.13 * Crescimento!#REF!*Crescimento!#REF!)</f>
        <v>#REF!</v>
      </c>
      <c r="W89" s="16" t="e">
        <f>(X88+(Crescimento!#REF!-(X88*0.64))/0.8)/1000</f>
        <v>#REF!</v>
      </c>
      <c r="X89" s="17" t="e">
        <f>-53.07 + (304.89 * (W89)) + (90.79 *Crescimento!#REF!) - (3.13 * Crescimento!#REF!*Crescimento!#REF!)</f>
        <v>#REF!</v>
      </c>
      <c r="Y89" s="6"/>
      <c r="Z89" s="16" t="e">
        <f>(AA88+(Crescimento!#REF!-(AA88*0.64))/0.8)/1000</f>
        <v>#REF!</v>
      </c>
      <c r="AA89" s="17" t="e">
        <f>-53.07 + (304.89 * (Z89)) + (90.79 *Crescimento!#REF!) - (3.13 * Crescimento!#REF!*Crescimento!#REF!)</f>
        <v>#REF!</v>
      </c>
      <c r="AB89" s="6"/>
      <c r="AC89" s="16" t="e">
        <f>(AD88+(Crescimento!#REF!-(AD88*0.64))/0.8)/1000</f>
        <v>#REF!</v>
      </c>
      <c r="AD89" s="17" t="e">
        <f>-53.07 + (304.89 * (AC89)) + (90.79 *Crescimento!#REF!) - (3.13 * Crescimento!#REF!*Crescimento!#REF!)</f>
        <v>#REF!</v>
      </c>
      <c r="AE89" s="17"/>
      <c r="AF89" s="16" t="e">
        <f>(AG88+(Crescimento!#REF!-(AG88*0.64))/0.8)/1000</f>
        <v>#REF!</v>
      </c>
      <c r="AG89" s="17" t="e">
        <f>-53.07 + (304.89 * (AF89)) + (90.79 *Crescimento!#REF!) - (3.13 * Crescimento!#REF!*Crescimento!#REF!)</f>
        <v>#REF!</v>
      </c>
      <c r="AI89" s="16" t="e">
        <f>(AJ88+(Crescimento!#REF!-(AJ88*0.64))/0.8)/1000</f>
        <v>#REF!</v>
      </c>
      <c r="AJ89" s="17" t="e">
        <f>-53.07 + (304.89 * (AI89)) + (90.79 *Crescimento!#REF!) - (3.13 * Crescimento!#REF!*Crescimento!#REF!)</f>
        <v>#REF!</v>
      </c>
      <c r="AL89" s="16" t="e">
        <f>(AM88+(Crescimento!#REF!-(AM88*0.64))/0.8)/1000</f>
        <v>#REF!</v>
      </c>
      <c r="AM89" s="17" t="e">
        <f>-53.07 + (304.89 * (AL89)) + (90.79 *Crescimento!#REF!) - (3.13 * Crescimento!#REF!*Crescimento!#REF!)</f>
        <v>#REF!</v>
      </c>
      <c r="AO89" s="16" t="e">
        <f>(AP88+(Crescimento!#REF!-(AP88*0.64))/0.8)/1000</f>
        <v>#REF!</v>
      </c>
      <c r="AP89" s="17" t="e">
        <f>-53.07 + (304.89 * (AO89)) + (90.79 *Crescimento!#REF!) - (3.13 * Crescimento!#REF!*Crescimento!#REF!)</f>
        <v>#REF!</v>
      </c>
      <c r="AR89" s="16" t="e">
        <f>(AS88+(Crescimento!#REF!-(AS88*0.64))/0.8)/1000</f>
        <v>#REF!</v>
      </c>
      <c r="AS89" s="17" t="e">
        <f>-53.07 + (304.89 * (AR89)) + (90.79 *Crescimento!#REF!) - (3.13 * Crescimento!#REF!*Crescimento!#REF!)</f>
        <v>#REF!</v>
      </c>
      <c r="AU89" s="16" t="e">
        <f>(AV88+(Crescimento!#REF!-(AV88*0.64))/0.8)/1000</f>
        <v>#REF!</v>
      </c>
      <c r="AV89" s="17" t="e">
        <f>-53.07 + (304.89 * (AU89)) + (90.79 *Crescimento!#REF!) - (3.13 * Crescimento!#REF!*Crescimento!#REF!)</f>
        <v>#REF!</v>
      </c>
      <c r="AX89" s="16" t="e">
        <f>(AY88+(Crescimento!#REF!-(AY88*0.64))/0.8)/1000</f>
        <v>#REF!</v>
      </c>
      <c r="AY89" s="17" t="e">
        <f>-53.07 + (304.89 * (AX89)) + (90.79 *Crescimento!#REF!) - (3.13 * Crescimento!#REF!*Crescimento!#REF!)</f>
        <v>#REF!</v>
      </c>
      <c r="BA89" s="16" t="e">
        <f>(BB88+(Crescimento!#REF!-(BB88*0.64))/0.8)/1000</f>
        <v>#REF!</v>
      </c>
      <c r="BB89" s="17" t="e">
        <f>-53.07 + (304.89 * (BA89)) + (90.79 *Crescimento!#REF!) - (3.13 * Crescimento!#REF!*Crescimento!#REF!)</f>
        <v>#REF!</v>
      </c>
      <c r="BD89" s="16" t="e">
        <f>(BE88+(Crescimento!#REF!-(BE88*0.64))/0.8)/1000</f>
        <v>#REF!</v>
      </c>
      <c r="BE89" s="17" t="e">
        <f>-53.07 + (304.89 * (BD89)) + (90.79 *Crescimento!#REF!) - (3.13 * Crescimento!#REF!*Crescimento!#REF!)</f>
        <v>#REF!</v>
      </c>
      <c r="BG89" s="16" t="e">
        <f>(BH88+(Crescimento!#REF!-(BH88*0.64))/0.8)/1000</f>
        <v>#REF!</v>
      </c>
      <c r="BH89" s="17" t="e">
        <f>-53.07 + (304.89 * (BG89)) + (90.79 *Crescimento!#REF!) - (3.13 * Crescimento!#REF!*Crescimento!#REF!)</f>
        <v>#REF!</v>
      </c>
      <c r="BJ89" s="16" t="e">
        <f>(BK88+(Crescimento!#REF!-(BK88*0.64))/0.8)/1000</f>
        <v>#REF!</v>
      </c>
      <c r="BK89" s="17" t="e">
        <f>-53.07 + (304.89 * (BJ89)) + (90.79 *Crescimento!#REF!) - (3.13 * Crescimento!#REF!*Crescimento!#REF!)</f>
        <v>#REF!</v>
      </c>
      <c r="BM89" s="16" t="e">
        <f>(BN88+(Crescimento!#REF!-(BN88*0.64))/0.8)/1000</f>
        <v>#REF!</v>
      </c>
      <c r="BN89" s="17" t="e">
        <f>-53.07 + (304.89 * (BM89)) + (90.79 *Crescimento!#REF!) - (3.13 * Crescimento!#REF!*Crescimento!#REF!)</f>
        <v>#REF!</v>
      </c>
      <c r="BP89" s="16" t="e">
        <f>(BQ88+(Crescimento!#REF!-(BQ88*0.64))/0.8)/1000</f>
        <v>#REF!</v>
      </c>
      <c r="BQ89" s="17" t="e">
        <f>-53.07 + (304.89 * (BP89)) + (90.79 *Crescimento!#REF!) - (3.13 * Crescimento!#REF!*Crescimento!#REF!)</f>
        <v>#REF!</v>
      </c>
      <c r="BS89" s="16" t="e">
        <f>(BT88+(Crescimento!#REF!-(BT88*0.64))/0.8)/1000</f>
        <v>#REF!</v>
      </c>
      <c r="BT89" s="17" t="e">
        <f>-53.07 + (304.89 * (BS89)) + (90.79 *Crescimento!#REF!) - (3.13 * Crescimento!#REF!*Crescimento!#REF!)</f>
        <v>#REF!</v>
      </c>
      <c r="BV89" s="16" t="e">
        <f>(BW88+(Crescimento!#REF!-(BW88*0.64))/0.8)/1000</f>
        <v>#REF!</v>
      </c>
      <c r="BW89" s="17" t="e">
        <f>-53.07 + (304.89 * (BV89)) + (90.79 *Crescimento!#REF!) - (3.13 * Crescimento!#REF!*Crescimento!#REF!)</f>
        <v>#REF!</v>
      </c>
      <c r="BY89" s="16" t="e">
        <f>(BZ88+(Crescimento!#REF!-(BZ88*0.64))/0.8)/1000</f>
        <v>#REF!</v>
      </c>
      <c r="BZ89" s="17" t="e">
        <f>-53.07 + (304.89 * (BY89)) + (90.79 *Crescimento!#REF!) - (3.13 * Crescimento!#REF!*Crescimento!#REF!)</f>
        <v>#REF!</v>
      </c>
      <c r="CB89" s="16" t="e">
        <f>(CC88+(Crescimento!#REF!-(CC88*0.64))/0.8)/1000</f>
        <v>#REF!</v>
      </c>
      <c r="CC89" s="17" t="e">
        <f>-53.07 + (304.89 * (CB89)) + (90.79 *Crescimento!#REF!) - (3.13 * Crescimento!#REF!*Crescimento!#REF!)</f>
        <v>#REF!</v>
      </c>
      <c r="CE89" s="16" t="e">
        <f>(CF88+(Crescimento!#REF!-(CF88*0.64))/0.8)/1000</f>
        <v>#REF!</v>
      </c>
      <c r="CF89" s="17" t="e">
        <f>-53.07 + (304.89 * (CE89)) + (90.79 *Crescimento!#REF!) - (3.13 * Crescimento!#REF!*Crescimento!#REF!)</f>
        <v>#REF!</v>
      </c>
      <c r="CH89" s="16" t="e">
        <f>(CI88+(Crescimento!#REF!-(CI88*0.64))/0.8)/1000</f>
        <v>#REF!</v>
      </c>
      <c r="CI89" s="17" t="e">
        <f>-53.07 + (304.89 * (CH89)) + (90.79 *Crescimento!#REF!) - (3.13 * Crescimento!#REF!*Crescimento!#REF!)</f>
        <v>#REF!</v>
      </c>
      <c r="CK89" s="16" t="e">
        <f>(CL88+(Crescimento!#REF!-(CL88*0.64))/0.8)/1000</f>
        <v>#REF!</v>
      </c>
      <c r="CL89" s="17" t="e">
        <f>-53.07 + (304.89 * (CK89)) + (90.79 *Crescimento!#REF!) - (3.13 * Crescimento!#REF!*Crescimento!#REF!)</f>
        <v>#REF!</v>
      </c>
    </row>
    <row r="90" spans="2:90" x14ac:dyDescent="0.25">
      <c r="B90" s="16">
        <f>(C89+('Vacas e Bezerros'!$O$29-(C89*0.64))/0.8)/1000</f>
        <v>1.1219974776113528</v>
      </c>
      <c r="C90" s="17">
        <f>-53.07 + (304.89 * (B90)) + (90.79 *'Vacas e Bezerros'!$O$23) - (3.13 * 'Vacas e Bezerros'!$O$23*'Vacas e Bezerros'!$O$23)</f>
        <v>715.77733851110622</v>
      </c>
      <c r="E90" s="16" t="e">
        <f>(F89+(Crescimento!#REF!-(F89*0.64))/0.8)/1000</f>
        <v>#REF!</v>
      </c>
      <c r="F90" s="17" t="e">
        <f>-53.07 + (304.89 * (E90)) + (90.79 *Crescimento!#REF!) - (3.13 * Crescimento!#REF!*Crescimento!#REF!)</f>
        <v>#REF!</v>
      </c>
      <c r="G90" s="1"/>
      <c r="H90" s="16" t="e">
        <f>(I89+(Crescimento!#REF!-(I89*0.64))/0.8)/1000</f>
        <v>#REF!</v>
      </c>
      <c r="I90" s="17" t="e">
        <f>-53.07 + (304.89 * (H90)) + (90.79 *Crescimento!#REF!) - (3.13 * Crescimento!#REF!*Crescimento!#REF!)</f>
        <v>#REF!</v>
      </c>
      <c r="K90" s="16" t="e">
        <f>(L89+(Crescimento!#REF!-(L89*0.64))/0.8)/1000</f>
        <v>#REF!</v>
      </c>
      <c r="L90" s="17" t="e">
        <f>-53.07 + (304.89 * (K90)) + (90.79 *Crescimento!#REF!) - (3.13 * Crescimento!#REF!*Crescimento!#REF!)</f>
        <v>#REF!</v>
      </c>
      <c r="N90" s="16" t="e">
        <f>(O89+(Crescimento!#REF!-(O89*0.64))/0.8)/1000</f>
        <v>#REF!</v>
      </c>
      <c r="O90" s="17" t="e">
        <f>-53.07 + (304.89 * (N90)) + (90.79 *Crescimento!#REF!) - (3.13 * Crescimento!#REF!*Crescimento!#REF!)</f>
        <v>#REF!</v>
      </c>
      <c r="Q90" s="16" t="e">
        <f>(R89+(Crescimento!#REF!-(R89*0.64))/0.8)/1000</f>
        <v>#REF!</v>
      </c>
      <c r="R90" s="17" t="e">
        <f>-53.07 + (304.89 * (Q90)) + (90.79 *Crescimento!#REF!) - (3.13 * Crescimento!#REF!*Crescimento!#REF!)</f>
        <v>#REF!</v>
      </c>
      <c r="T90" s="16" t="e">
        <f>(U89+(Crescimento!#REF!-(U89*0.64))/0.8)/1000</f>
        <v>#REF!</v>
      </c>
      <c r="U90" s="17" t="e">
        <f>-53.07 + (304.89 * (T90)) + (90.79 *Crescimento!#REF!) - (3.13 * Crescimento!#REF!*Crescimento!#REF!)</f>
        <v>#REF!</v>
      </c>
      <c r="W90" s="16" t="e">
        <f>(X89+(Crescimento!#REF!-(X89*0.64))/0.8)/1000</f>
        <v>#REF!</v>
      </c>
      <c r="X90" s="17" t="e">
        <f>-53.07 + (304.89 * (W90)) + (90.79 *Crescimento!#REF!) - (3.13 * Crescimento!#REF!*Crescimento!#REF!)</f>
        <v>#REF!</v>
      </c>
      <c r="Y90" s="6"/>
      <c r="Z90" s="16" t="e">
        <f>(AA89+(Crescimento!#REF!-(AA89*0.64))/0.8)/1000</f>
        <v>#REF!</v>
      </c>
      <c r="AA90" s="17" t="e">
        <f>-53.07 + (304.89 * (Z90)) + (90.79 *Crescimento!#REF!) - (3.13 * Crescimento!#REF!*Crescimento!#REF!)</f>
        <v>#REF!</v>
      </c>
      <c r="AB90" s="6"/>
      <c r="AC90" s="16" t="e">
        <f>(AD89+(Crescimento!#REF!-(AD89*0.64))/0.8)/1000</f>
        <v>#REF!</v>
      </c>
      <c r="AD90" s="17" t="e">
        <f>-53.07 + (304.89 * (AC90)) + (90.79 *Crescimento!#REF!) - (3.13 * Crescimento!#REF!*Crescimento!#REF!)</f>
        <v>#REF!</v>
      </c>
      <c r="AE90" s="17"/>
      <c r="AF90" s="16" t="e">
        <f>(AG89+(Crescimento!#REF!-(AG89*0.64))/0.8)/1000</f>
        <v>#REF!</v>
      </c>
      <c r="AG90" s="17" t="e">
        <f>-53.07 + (304.89 * (AF90)) + (90.79 *Crescimento!#REF!) - (3.13 * Crescimento!#REF!*Crescimento!#REF!)</f>
        <v>#REF!</v>
      </c>
      <c r="AI90" s="16" t="e">
        <f>(AJ89+(Crescimento!#REF!-(AJ89*0.64))/0.8)/1000</f>
        <v>#REF!</v>
      </c>
      <c r="AJ90" s="17" t="e">
        <f>-53.07 + (304.89 * (AI90)) + (90.79 *Crescimento!#REF!) - (3.13 * Crescimento!#REF!*Crescimento!#REF!)</f>
        <v>#REF!</v>
      </c>
      <c r="AL90" s="16" t="e">
        <f>(AM89+(Crescimento!#REF!-(AM89*0.64))/0.8)/1000</f>
        <v>#REF!</v>
      </c>
      <c r="AM90" s="17" t="e">
        <f>-53.07 + (304.89 * (AL90)) + (90.79 *Crescimento!#REF!) - (3.13 * Crescimento!#REF!*Crescimento!#REF!)</f>
        <v>#REF!</v>
      </c>
      <c r="AO90" s="16" t="e">
        <f>(AP89+(Crescimento!#REF!-(AP89*0.64))/0.8)/1000</f>
        <v>#REF!</v>
      </c>
      <c r="AP90" s="17" t="e">
        <f>-53.07 + (304.89 * (AO90)) + (90.79 *Crescimento!#REF!) - (3.13 * Crescimento!#REF!*Crescimento!#REF!)</f>
        <v>#REF!</v>
      </c>
      <c r="AR90" s="16" t="e">
        <f>(AS89+(Crescimento!#REF!-(AS89*0.64))/0.8)/1000</f>
        <v>#REF!</v>
      </c>
      <c r="AS90" s="17" t="e">
        <f>-53.07 + (304.89 * (AR90)) + (90.79 *Crescimento!#REF!) - (3.13 * Crescimento!#REF!*Crescimento!#REF!)</f>
        <v>#REF!</v>
      </c>
      <c r="AU90" s="16" t="e">
        <f>(AV89+(Crescimento!#REF!-(AV89*0.64))/0.8)/1000</f>
        <v>#REF!</v>
      </c>
      <c r="AV90" s="17" t="e">
        <f>-53.07 + (304.89 * (AU90)) + (90.79 *Crescimento!#REF!) - (3.13 * Crescimento!#REF!*Crescimento!#REF!)</f>
        <v>#REF!</v>
      </c>
      <c r="AX90" s="16" t="e">
        <f>(AY89+(Crescimento!#REF!-(AY89*0.64))/0.8)/1000</f>
        <v>#REF!</v>
      </c>
      <c r="AY90" s="17" t="e">
        <f>-53.07 + (304.89 * (AX90)) + (90.79 *Crescimento!#REF!) - (3.13 * Crescimento!#REF!*Crescimento!#REF!)</f>
        <v>#REF!</v>
      </c>
      <c r="BA90" s="16" t="e">
        <f>(BB89+(Crescimento!#REF!-(BB89*0.64))/0.8)/1000</f>
        <v>#REF!</v>
      </c>
      <c r="BB90" s="17" t="e">
        <f>-53.07 + (304.89 * (BA90)) + (90.79 *Crescimento!#REF!) - (3.13 * Crescimento!#REF!*Crescimento!#REF!)</f>
        <v>#REF!</v>
      </c>
      <c r="BD90" s="16" t="e">
        <f>(BE89+(Crescimento!#REF!-(BE89*0.64))/0.8)/1000</f>
        <v>#REF!</v>
      </c>
      <c r="BE90" s="17" t="e">
        <f>-53.07 + (304.89 * (BD90)) + (90.79 *Crescimento!#REF!) - (3.13 * Crescimento!#REF!*Crescimento!#REF!)</f>
        <v>#REF!</v>
      </c>
      <c r="BG90" s="16" t="e">
        <f>(BH89+(Crescimento!#REF!-(BH89*0.64))/0.8)/1000</f>
        <v>#REF!</v>
      </c>
      <c r="BH90" s="17" t="e">
        <f>-53.07 + (304.89 * (BG90)) + (90.79 *Crescimento!#REF!) - (3.13 * Crescimento!#REF!*Crescimento!#REF!)</f>
        <v>#REF!</v>
      </c>
      <c r="BJ90" s="16" t="e">
        <f>(BK89+(Crescimento!#REF!-(BK89*0.64))/0.8)/1000</f>
        <v>#REF!</v>
      </c>
      <c r="BK90" s="17" t="e">
        <f>-53.07 + (304.89 * (BJ90)) + (90.79 *Crescimento!#REF!) - (3.13 * Crescimento!#REF!*Crescimento!#REF!)</f>
        <v>#REF!</v>
      </c>
      <c r="BM90" s="16" t="e">
        <f>(BN89+(Crescimento!#REF!-(BN89*0.64))/0.8)/1000</f>
        <v>#REF!</v>
      </c>
      <c r="BN90" s="17" t="e">
        <f>-53.07 + (304.89 * (BM90)) + (90.79 *Crescimento!#REF!) - (3.13 * Crescimento!#REF!*Crescimento!#REF!)</f>
        <v>#REF!</v>
      </c>
      <c r="BP90" s="16" t="e">
        <f>(BQ89+(Crescimento!#REF!-(BQ89*0.64))/0.8)/1000</f>
        <v>#REF!</v>
      </c>
      <c r="BQ90" s="17" t="e">
        <f>-53.07 + (304.89 * (BP90)) + (90.79 *Crescimento!#REF!) - (3.13 * Crescimento!#REF!*Crescimento!#REF!)</f>
        <v>#REF!</v>
      </c>
      <c r="BS90" s="16" t="e">
        <f>(BT89+(Crescimento!#REF!-(BT89*0.64))/0.8)/1000</f>
        <v>#REF!</v>
      </c>
      <c r="BT90" s="17" t="e">
        <f>-53.07 + (304.89 * (BS90)) + (90.79 *Crescimento!#REF!) - (3.13 * Crescimento!#REF!*Crescimento!#REF!)</f>
        <v>#REF!</v>
      </c>
      <c r="BV90" s="16" t="e">
        <f>(BW89+(Crescimento!#REF!-(BW89*0.64))/0.8)/1000</f>
        <v>#REF!</v>
      </c>
      <c r="BW90" s="17" t="e">
        <f>-53.07 + (304.89 * (BV90)) + (90.79 *Crescimento!#REF!) - (3.13 * Crescimento!#REF!*Crescimento!#REF!)</f>
        <v>#REF!</v>
      </c>
      <c r="BY90" s="16" t="e">
        <f>(BZ89+(Crescimento!#REF!-(BZ89*0.64))/0.8)/1000</f>
        <v>#REF!</v>
      </c>
      <c r="BZ90" s="17" t="e">
        <f>-53.07 + (304.89 * (BY90)) + (90.79 *Crescimento!#REF!) - (3.13 * Crescimento!#REF!*Crescimento!#REF!)</f>
        <v>#REF!</v>
      </c>
      <c r="CB90" s="16" t="e">
        <f>(CC89+(Crescimento!#REF!-(CC89*0.64))/0.8)/1000</f>
        <v>#REF!</v>
      </c>
      <c r="CC90" s="17" t="e">
        <f>-53.07 + (304.89 * (CB90)) + (90.79 *Crescimento!#REF!) - (3.13 * Crescimento!#REF!*Crescimento!#REF!)</f>
        <v>#REF!</v>
      </c>
      <c r="CE90" s="16" t="e">
        <f>(CF89+(Crescimento!#REF!-(CF89*0.64))/0.8)/1000</f>
        <v>#REF!</v>
      </c>
      <c r="CF90" s="17" t="e">
        <f>-53.07 + (304.89 * (CE90)) + (90.79 *Crescimento!#REF!) - (3.13 * Crescimento!#REF!*Crescimento!#REF!)</f>
        <v>#REF!</v>
      </c>
      <c r="CH90" s="16" t="e">
        <f>(CI89+(Crescimento!#REF!-(CI89*0.64))/0.8)/1000</f>
        <v>#REF!</v>
      </c>
      <c r="CI90" s="17" t="e">
        <f>-53.07 + (304.89 * (CH90)) + (90.79 *Crescimento!#REF!) - (3.13 * Crescimento!#REF!*Crescimento!#REF!)</f>
        <v>#REF!</v>
      </c>
      <c r="CK90" s="16" t="e">
        <f>(CL89+(Crescimento!#REF!-(CL89*0.64))/0.8)/1000</f>
        <v>#REF!</v>
      </c>
      <c r="CL90" s="17" t="e">
        <f>-53.07 + (304.89 * (CK90)) + (90.79 *Crescimento!#REF!) - (3.13 * Crescimento!#REF!*Crescimento!#REF!)</f>
        <v>#REF!</v>
      </c>
    </row>
    <row r="91" spans="2:90" x14ac:dyDescent="0.25">
      <c r="B91" s="16">
        <f>(C90+('Vacas e Bezerros'!$O$29-(C90*0.64))/0.8)/1000</f>
        <v>1.1219974776113528</v>
      </c>
      <c r="C91" s="17">
        <f>-53.07 + (304.89 * (B91)) + (90.79 *'Vacas e Bezerros'!$O$23) - (3.13 * 'Vacas e Bezerros'!$O$23*'Vacas e Bezerros'!$O$23)</f>
        <v>715.77733851110622</v>
      </c>
      <c r="E91" s="16" t="e">
        <f>(F90+(Crescimento!#REF!-(F90*0.64))/0.8)/1000</f>
        <v>#REF!</v>
      </c>
      <c r="F91" s="17" t="e">
        <f>-53.07 + (304.89 * (E91)) + (90.79 *Crescimento!#REF!) - (3.13 * Crescimento!#REF!*Crescimento!#REF!)</f>
        <v>#REF!</v>
      </c>
      <c r="G91" s="1"/>
      <c r="H91" s="16" t="e">
        <f>(I90+(Crescimento!#REF!-(I90*0.64))/0.8)/1000</f>
        <v>#REF!</v>
      </c>
      <c r="I91" s="17" t="e">
        <f>-53.07 + (304.89 * (H91)) + (90.79 *Crescimento!#REF!) - (3.13 * Crescimento!#REF!*Crescimento!#REF!)</f>
        <v>#REF!</v>
      </c>
      <c r="K91" s="16" t="e">
        <f>(L90+(Crescimento!#REF!-(L90*0.64))/0.8)/1000</f>
        <v>#REF!</v>
      </c>
      <c r="L91" s="17" t="e">
        <f>-53.07 + (304.89 * (K91)) + (90.79 *Crescimento!#REF!) - (3.13 * Crescimento!#REF!*Crescimento!#REF!)</f>
        <v>#REF!</v>
      </c>
      <c r="N91" s="16" t="e">
        <f>(O90+(Crescimento!#REF!-(O90*0.64))/0.8)/1000</f>
        <v>#REF!</v>
      </c>
      <c r="O91" s="17" t="e">
        <f>-53.07 + (304.89 * (N91)) + (90.79 *Crescimento!#REF!) - (3.13 * Crescimento!#REF!*Crescimento!#REF!)</f>
        <v>#REF!</v>
      </c>
      <c r="Q91" s="16" t="e">
        <f>(R90+(Crescimento!#REF!-(R90*0.64))/0.8)/1000</f>
        <v>#REF!</v>
      </c>
      <c r="R91" s="17" t="e">
        <f>-53.07 + (304.89 * (Q91)) + (90.79 *Crescimento!#REF!) - (3.13 * Crescimento!#REF!*Crescimento!#REF!)</f>
        <v>#REF!</v>
      </c>
      <c r="T91" s="16" t="e">
        <f>(U90+(Crescimento!#REF!-(U90*0.64))/0.8)/1000</f>
        <v>#REF!</v>
      </c>
      <c r="U91" s="17" t="e">
        <f>-53.07 + (304.89 * (T91)) + (90.79 *Crescimento!#REF!) - (3.13 * Crescimento!#REF!*Crescimento!#REF!)</f>
        <v>#REF!</v>
      </c>
      <c r="W91" s="16" t="e">
        <f>(X90+(Crescimento!#REF!-(X90*0.64))/0.8)/1000</f>
        <v>#REF!</v>
      </c>
      <c r="X91" s="17" t="e">
        <f>-53.07 + (304.89 * (W91)) + (90.79 *Crescimento!#REF!) - (3.13 * Crescimento!#REF!*Crescimento!#REF!)</f>
        <v>#REF!</v>
      </c>
      <c r="Y91" s="6"/>
      <c r="Z91" s="16" t="e">
        <f>(AA90+(Crescimento!#REF!-(AA90*0.64))/0.8)/1000</f>
        <v>#REF!</v>
      </c>
      <c r="AA91" s="17" t="e">
        <f>-53.07 + (304.89 * (Z91)) + (90.79 *Crescimento!#REF!) - (3.13 * Crescimento!#REF!*Crescimento!#REF!)</f>
        <v>#REF!</v>
      </c>
      <c r="AB91" s="6"/>
      <c r="AC91" s="16" t="e">
        <f>(AD90+(Crescimento!#REF!-(AD90*0.64))/0.8)/1000</f>
        <v>#REF!</v>
      </c>
      <c r="AD91" s="17" t="e">
        <f>-53.07 + (304.89 * (AC91)) + (90.79 *Crescimento!#REF!) - (3.13 * Crescimento!#REF!*Crescimento!#REF!)</f>
        <v>#REF!</v>
      </c>
      <c r="AE91" s="17"/>
      <c r="AF91" s="16" t="e">
        <f>(AG90+(Crescimento!#REF!-(AG90*0.64))/0.8)/1000</f>
        <v>#REF!</v>
      </c>
      <c r="AG91" s="17" t="e">
        <f>-53.07 + (304.89 * (AF91)) + (90.79 *Crescimento!#REF!) - (3.13 * Crescimento!#REF!*Crescimento!#REF!)</f>
        <v>#REF!</v>
      </c>
      <c r="AI91" s="16" t="e">
        <f>(AJ90+(Crescimento!#REF!-(AJ90*0.64))/0.8)/1000</f>
        <v>#REF!</v>
      </c>
      <c r="AJ91" s="17" t="e">
        <f>-53.07 + (304.89 * (AI91)) + (90.79 *Crescimento!#REF!) - (3.13 * Crescimento!#REF!*Crescimento!#REF!)</f>
        <v>#REF!</v>
      </c>
      <c r="AL91" s="16" t="e">
        <f>(AM90+(Crescimento!#REF!-(AM90*0.64))/0.8)/1000</f>
        <v>#REF!</v>
      </c>
      <c r="AM91" s="17" t="e">
        <f>-53.07 + (304.89 * (AL91)) + (90.79 *Crescimento!#REF!) - (3.13 * Crescimento!#REF!*Crescimento!#REF!)</f>
        <v>#REF!</v>
      </c>
      <c r="AO91" s="16" t="e">
        <f>(AP90+(Crescimento!#REF!-(AP90*0.64))/0.8)/1000</f>
        <v>#REF!</v>
      </c>
      <c r="AP91" s="17" t="e">
        <f>-53.07 + (304.89 * (AO91)) + (90.79 *Crescimento!#REF!) - (3.13 * Crescimento!#REF!*Crescimento!#REF!)</f>
        <v>#REF!</v>
      </c>
      <c r="AR91" s="16" t="e">
        <f>(AS90+(Crescimento!#REF!-(AS90*0.64))/0.8)/1000</f>
        <v>#REF!</v>
      </c>
      <c r="AS91" s="17" t="e">
        <f>-53.07 + (304.89 * (AR91)) + (90.79 *Crescimento!#REF!) - (3.13 * Crescimento!#REF!*Crescimento!#REF!)</f>
        <v>#REF!</v>
      </c>
      <c r="AU91" s="16" t="e">
        <f>(AV90+(Crescimento!#REF!-(AV90*0.64))/0.8)/1000</f>
        <v>#REF!</v>
      </c>
      <c r="AV91" s="17" t="e">
        <f>-53.07 + (304.89 * (AU91)) + (90.79 *Crescimento!#REF!) - (3.13 * Crescimento!#REF!*Crescimento!#REF!)</f>
        <v>#REF!</v>
      </c>
      <c r="AX91" s="16" t="e">
        <f>(AY90+(Crescimento!#REF!-(AY90*0.64))/0.8)/1000</f>
        <v>#REF!</v>
      </c>
      <c r="AY91" s="17" t="e">
        <f>-53.07 + (304.89 * (AX91)) + (90.79 *Crescimento!#REF!) - (3.13 * Crescimento!#REF!*Crescimento!#REF!)</f>
        <v>#REF!</v>
      </c>
      <c r="BA91" s="16" t="e">
        <f>(BB90+(Crescimento!#REF!-(BB90*0.64))/0.8)/1000</f>
        <v>#REF!</v>
      </c>
      <c r="BB91" s="17" t="e">
        <f>-53.07 + (304.89 * (BA91)) + (90.79 *Crescimento!#REF!) - (3.13 * Crescimento!#REF!*Crescimento!#REF!)</f>
        <v>#REF!</v>
      </c>
      <c r="BD91" s="16" t="e">
        <f>(BE90+(Crescimento!#REF!-(BE90*0.64))/0.8)/1000</f>
        <v>#REF!</v>
      </c>
      <c r="BE91" s="17" t="e">
        <f>-53.07 + (304.89 * (BD91)) + (90.79 *Crescimento!#REF!) - (3.13 * Crescimento!#REF!*Crescimento!#REF!)</f>
        <v>#REF!</v>
      </c>
      <c r="BG91" s="16" t="e">
        <f>(BH90+(Crescimento!#REF!-(BH90*0.64))/0.8)/1000</f>
        <v>#REF!</v>
      </c>
      <c r="BH91" s="17" t="e">
        <f>-53.07 + (304.89 * (BG91)) + (90.79 *Crescimento!#REF!) - (3.13 * Crescimento!#REF!*Crescimento!#REF!)</f>
        <v>#REF!</v>
      </c>
      <c r="BJ91" s="16" t="e">
        <f>(BK90+(Crescimento!#REF!-(BK90*0.64))/0.8)/1000</f>
        <v>#REF!</v>
      </c>
      <c r="BK91" s="17" t="e">
        <f>-53.07 + (304.89 * (BJ91)) + (90.79 *Crescimento!#REF!) - (3.13 * Crescimento!#REF!*Crescimento!#REF!)</f>
        <v>#REF!</v>
      </c>
      <c r="BM91" s="16" t="e">
        <f>(BN90+(Crescimento!#REF!-(BN90*0.64))/0.8)/1000</f>
        <v>#REF!</v>
      </c>
      <c r="BN91" s="17" t="e">
        <f>-53.07 + (304.89 * (BM91)) + (90.79 *Crescimento!#REF!) - (3.13 * Crescimento!#REF!*Crescimento!#REF!)</f>
        <v>#REF!</v>
      </c>
      <c r="BP91" s="16" t="e">
        <f>(BQ90+(Crescimento!#REF!-(BQ90*0.64))/0.8)/1000</f>
        <v>#REF!</v>
      </c>
      <c r="BQ91" s="17" t="e">
        <f>-53.07 + (304.89 * (BP91)) + (90.79 *Crescimento!#REF!) - (3.13 * Crescimento!#REF!*Crescimento!#REF!)</f>
        <v>#REF!</v>
      </c>
      <c r="BS91" s="16" t="e">
        <f>(BT90+(Crescimento!#REF!-(BT90*0.64))/0.8)/1000</f>
        <v>#REF!</v>
      </c>
      <c r="BT91" s="17" t="e">
        <f>-53.07 + (304.89 * (BS91)) + (90.79 *Crescimento!#REF!) - (3.13 * Crescimento!#REF!*Crescimento!#REF!)</f>
        <v>#REF!</v>
      </c>
      <c r="BV91" s="16" t="e">
        <f>(BW90+(Crescimento!#REF!-(BW90*0.64))/0.8)/1000</f>
        <v>#REF!</v>
      </c>
      <c r="BW91" s="17" t="e">
        <f>-53.07 + (304.89 * (BV91)) + (90.79 *Crescimento!#REF!) - (3.13 * Crescimento!#REF!*Crescimento!#REF!)</f>
        <v>#REF!</v>
      </c>
      <c r="BY91" s="16" t="e">
        <f>(BZ90+(Crescimento!#REF!-(BZ90*0.64))/0.8)/1000</f>
        <v>#REF!</v>
      </c>
      <c r="BZ91" s="17" t="e">
        <f>-53.07 + (304.89 * (BY91)) + (90.79 *Crescimento!#REF!) - (3.13 * Crescimento!#REF!*Crescimento!#REF!)</f>
        <v>#REF!</v>
      </c>
      <c r="CB91" s="16" t="e">
        <f>(CC90+(Crescimento!#REF!-(CC90*0.64))/0.8)/1000</f>
        <v>#REF!</v>
      </c>
      <c r="CC91" s="17" t="e">
        <f>-53.07 + (304.89 * (CB91)) + (90.79 *Crescimento!#REF!) - (3.13 * Crescimento!#REF!*Crescimento!#REF!)</f>
        <v>#REF!</v>
      </c>
      <c r="CE91" s="16" t="e">
        <f>(CF90+(Crescimento!#REF!-(CF90*0.64))/0.8)/1000</f>
        <v>#REF!</v>
      </c>
      <c r="CF91" s="17" t="e">
        <f>-53.07 + (304.89 * (CE91)) + (90.79 *Crescimento!#REF!) - (3.13 * Crescimento!#REF!*Crescimento!#REF!)</f>
        <v>#REF!</v>
      </c>
      <c r="CH91" s="16" t="e">
        <f>(CI90+(Crescimento!#REF!-(CI90*0.64))/0.8)/1000</f>
        <v>#REF!</v>
      </c>
      <c r="CI91" s="17" t="e">
        <f>-53.07 + (304.89 * (CH91)) + (90.79 *Crescimento!#REF!) - (3.13 * Crescimento!#REF!*Crescimento!#REF!)</f>
        <v>#REF!</v>
      </c>
      <c r="CK91" s="16" t="e">
        <f>(CL90+(Crescimento!#REF!-(CL90*0.64))/0.8)/1000</f>
        <v>#REF!</v>
      </c>
      <c r="CL91" s="17" t="e">
        <f>-53.07 + (304.89 * (CK91)) + (90.79 *Crescimento!#REF!) - (3.13 * Crescimento!#REF!*Crescimento!#REF!)</f>
        <v>#REF!</v>
      </c>
    </row>
    <row r="92" spans="2:90" x14ac:dyDescent="0.25">
      <c r="B92" s="16">
        <f>(C91+('Vacas e Bezerros'!$O$29-(C91*0.64))/0.8)/1000</f>
        <v>1.1219974776113528</v>
      </c>
      <c r="C92" s="17">
        <f>-53.07 + (304.89 * (B92)) + (90.79 *'Vacas e Bezerros'!$O$23) - (3.13 * 'Vacas e Bezerros'!$O$23*'Vacas e Bezerros'!$O$23)</f>
        <v>715.77733851110622</v>
      </c>
      <c r="E92" s="16" t="e">
        <f>(F91+(Crescimento!#REF!-(F91*0.64))/0.8)/1000</f>
        <v>#REF!</v>
      </c>
      <c r="F92" s="17" t="e">
        <f>-53.07 + (304.89 * (E92)) + (90.79 *Crescimento!#REF!) - (3.13 * Crescimento!#REF!*Crescimento!#REF!)</f>
        <v>#REF!</v>
      </c>
      <c r="G92" s="1"/>
      <c r="H92" s="16" t="e">
        <f>(I91+(Crescimento!#REF!-(I91*0.64))/0.8)/1000</f>
        <v>#REF!</v>
      </c>
      <c r="I92" s="17" t="e">
        <f>-53.07 + (304.89 * (H92)) + (90.79 *Crescimento!#REF!) - (3.13 * Crescimento!#REF!*Crescimento!#REF!)</f>
        <v>#REF!</v>
      </c>
      <c r="K92" s="16" t="e">
        <f>(L91+(Crescimento!#REF!-(L91*0.64))/0.8)/1000</f>
        <v>#REF!</v>
      </c>
      <c r="L92" s="17" t="e">
        <f>-53.07 + (304.89 * (K92)) + (90.79 *Crescimento!#REF!) - (3.13 * Crescimento!#REF!*Crescimento!#REF!)</f>
        <v>#REF!</v>
      </c>
      <c r="N92" s="16" t="e">
        <f>(O91+(Crescimento!#REF!-(O91*0.64))/0.8)/1000</f>
        <v>#REF!</v>
      </c>
      <c r="O92" s="17" t="e">
        <f>-53.07 + (304.89 * (N92)) + (90.79 *Crescimento!#REF!) - (3.13 * Crescimento!#REF!*Crescimento!#REF!)</f>
        <v>#REF!</v>
      </c>
      <c r="Q92" s="16" t="e">
        <f>(R91+(Crescimento!#REF!-(R91*0.64))/0.8)/1000</f>
        <v>#REF!</v>
      </c>
      <c r="R92" s="17" t="e">
        <f>-53.07 + (304.89 * (Q92)) + (90.79 *Crescimento!#REF!) - (3.13 * Crescimento!#REF!*Crescimento!#REF!)</f>
        <v>#REF!</v>
      </c>
      <c r="T92" s="16" t="e">
        <f>(U91+(Crescimento!#REF!-(U91*0.64))/0.8)/1000</f>
        <v>#REF!</v>
      </c>
      <c r="U92" s="17" t="e">
        <f>-53.07 + (304.89 * (T92)) + (90.79 *Crescimento!#REF!) - (3.13 * Crescimento!#REF!*Crescimento!#REF!)</f>
        <v>#REF!</v>
      </c>
      <c r="W92" s="16" t="e">
        <f>(X91+(Crescimento!#REF!-(X91*0.64))/0.8)/1000</f>
        <v>#REF!</v>
      </c>
      <c r="X92" s="17" t="e">
        <f>-53.07 + (304.89 * (W92)) + (90.79 *Crescimento!#REF!) - (3.13 * Crescimento!#REF!*Crescimento!#REF!)</f>
        <v>#REF!</v>
      </c>
      <c r="Y92" s="6"/>
      <c r="Z92" s="16" t="e">
        <f>(AA91+(Crescimento!#REF!-(AA91*0.64))/0.8)/1000</f>
        <v>#REF!</v>
      </c>
      <c r="AA92" s="17" t="e">
        <f>-53.07 + (304.89 * (Z92)) + (90.79 *Crescimento!#REF!) - (3.13 * Crescimento!#REF!*Crescimento!#REF!)</f>
        <v>#REF!</v>
      </c>
      <c r="AB92" s="6"/>
      <c r="AC92" s="16" t="e">
        <f>(AD91+(Crescimento!#REF!-(AD91*0.64))/0.8)/1000</f>
        <v>#REF!</v>
      </c>
      <c r="AD92" s="17" t="e">
        <f>-53.07 + (304.89 * (AC92)) + (90.79 *Crescimento!#REF!) - (3.13 * Crescimento!#REF!*Crescimento!#REF!)</f>
        <v>#REF!</v>
      </c>
      <c r="AE92" s="17"/>
      <c r="AF92" s="16" t="e">
        <f>(AG91+(Crescimento!#REF!-(AG91*0.64))/0.8)/1000</f>
        <v>#REF!</v>
      </c>
      <c r="AG92" s="17" t="e">
        <f>-53.07 + (304.89 * (AF92)) + (90.79 *Crescimento!#REF!) - (3.13 * Crescimento!#REF!*Crescimento!#REF!)</f>
        <v>#REF!</v>
      </c>
      <c r="AI92" s="16" t="e">
        <f>(AJ91+(Crescimento!#REF!-(AJ91*0.64))/0.8)/1000</f>
        <v>#REF!</v>
      </c>
      <c r="AJ92" s="17" t="e">
        <f>-53.07 + (304.89 * (AI92)) + (90.79 *Crescimento!#REF!) - (3.13 * Crescimento!#REF!*Crescimento!#REF!)</f>
        <v>#REF!</v>
      </c>
      <c r="AL92" s="16" t="e">
        <f>(AM91+(Crescimento!#REF!-(AM91*0.64))/0.8)/1000</f>
        <v>#REF!</v>
      </c>
      <c r="AM92" s="17" t="e">
        <f>-53.07 + (304.89 * (AL92)) + (90.79 *Crescimento!#REF!) - (3.13 * Crescimento!#REF!*Crescimento!#REF!)</f>
        <v>#REF!</v>
      </c>
      <c r="AO92" s="16" t="e">
        <f>(AP91+(Crescimento!#REF!-(AP91*0.64))/0.8)/1000</f>
        <v>#REF!</v>
      </c>
      <c r="AP92" s="17" t="e">
        <f>-53.07 + (304.89 * (AO92)) + (90.79 *Crescimento!#REF!) - (3.13 * Crescimento!#REF!*Crescimento!#REF!)</f>
        <v>#REF!</v>
      </c>
      <c r="AR92" s="16" t="e">
        <f>(AS91+(Crescimento!#REF!-(AS91*0.64))/0.8)/1000</f>
        <v>#REF!</v>
      </c>
      <c r="AS92" s="17" t="e">
        <f>-53.07 + (304.89 * (AR92)) + (90.79 *Crescimento!#REF!) - (3.13 * Crescimento!#REF!*Crescimento!#REF!)</f>
        <v>#REF!</v>
      </c>
      <c r="AU92" s="16" t="e">
        <f>(AV91+(Crescimento!#REF!-(AV91*0.64))/0.8)/1000</f>
        <v>#REF!</v>
      </c>
      <c r="AV92" s="17" t="e">
        <f>-53.07 + (304.89 * (AU92)) + (90.79 *Crescimento!#REF!) - (3.13 * Crescimento!#REF!*Crescimento!#REF!)</f>
        <v>#REF!</v>
      </c>
      <c r="AX92" s="16" t="e">
        <f>(AY91+(Crescimento!#REF!-(AY91*0.64))/0.8)/1000</f>
        <v>#REF!</v>
      </c>
      <c r="AY92" s="17" t="e">
        <f>-53.07 + (304.89 * (AX92)) + (90.79 *Crescimento!#REF!) - (3.13 * Crescimento!#REF!*Crescimento!#REF!)</f>
        <v>#REF!</v>
      </c>
      <c r="BA92" s="16" t="e">
        <f>(BB91+(Crescimento!#REF!-(BB91*0.64))/0.8)/1000</f>
        <v>#REF!</v>
      </c>
      <c r="BB92" s="17" t="e">
        <f>-53.07 + (304.89 * (BA92)) + (90.79 *Crescimento!#REF!) - (3.13 * Crescimento!#REF!*Crescimento!#REF!)</f>
        <v>#REF!</v>
      </c>
      <c r="BD92" s="16" t="e">
        <f>(BE91+(Crescimento!#REF!-(BE91*0.64))/0.8)/1000</f>
        <v>#REF!</v>
      </c>
      <c r="BE92" s="17" t="e">
        <f>-53.07 + (304.89 * (BD92)) + (90.79 *Crescimento!#REF!) - (3.13 * Crescimento!#REF!*Crescimento!#REF!)</f>
        <v>#REF!</v>
      </c>
      <c r="BG92" s="16" t="e">
        <f>(BH91+(Crescimento!#REF!-(BH91*0.64))/0.8)/1000</f>
        <v>#REF!</v>
      </c>
      <c r="BH92" s="17" t="e">
        <f>-53.07 + (304.89 * (BG92)) + (90.79 *Crescimento!#REF!) - (3.13 * Crescimento!#REF!*Crescimento!#REF!)</f>
        <v>#REF!</v>
      </c>
      <c r="BJ92" s="16" t="e">
        <f>(BK91+(Crescimento!#REF!-(BK91*0.64))/0.8)/1000</f>
        <v>#REF!</v>
      </c>
      <c r="BK92" s="17" t="e">
        <f>-53.07 + (304.89 * (BJ92)) + (90.79 *Crescimento!#REF!) - (3.13 * Crescimento!#REF!*Crescimento!#REF!)</f>
        <v>#REF!</v>
      </c>
      <c r="BM92" s="16" t="e">
        <f>(BN91+(Crescimento!#REF!-(BN91*0.64))/0.8)/1000</f>
        <v>#REF!</v>
      </c>
      <c r="BN92" s="17" t="e">
        <f>-53.07 + (304.89 * (BM92)) + (90.79 *Crescimento!#REF!) - (3.13 * Crescimento!#REF!*Crescimento!#REF!)</f>
        <v>#REF!</v>
      </c>
      <c r="BP92" s="16" t="e">
        <f>(BQ91+(Crescimento!#REF!-(BQ91*0.64))/0.8)/1000</f>
        <v>#REF!</v>
      </c>
      <c r="BQ92" s="17" t="e">
        <f>-53.07 + (304.89 * (BP92)) + (90.79 *Crescimento!#REF!) - (3.13 * Crescimento!#REF!*Crescimento!#REF!)</f>
        <v>#REF!</v>
      </c>
      <c r="BS92" s="16" t="e">
        <f>(BT91+(Crescimento!#REF!-(BT91*0.64))/0.8)/1000</f>
        <v>#REF!</v>
      </c>
      <c r="BT92" s="17" t="e">
        <f>-53.07 + (304.89 * (BS92)) + (90.79 *Crescimento!#REF!) - (3.13 * Crescimento!#REF!*Crescimento!#REF!)</f>
        <v>#REF!</v>
      </c>
      <c r="BV92" s="16" t="e">
        <f>(BW91+(Crescimento!#REF!-(BW91*0.64))/0.8)/1000</f>
        <v>#REF!</v>
      </c>
      <c r="BW92" s="17" t="e">
        <f>-53.07 + (304.89 * (BV92)) + (90.79 *Crescimento!#REF!) - (3.13 * Crescimento!#REF!*Crescimento!#REF!)</f>
        <v>#REF!</v>
      </c>
      <c r="BY92" s="16" t="e">
        <f>(BZ91+(Crescimento!#REF!-(BZ91*0.64))/0.8)/1000</f>
        <v>#REF!</v>
      </c>
      <c r="BZ92" s="17" t="e">
        <f>-53.07 + (304.89 * (BY92)) + (90.79 *Crescimento!#REF!) - (3.13 * Crescimento!#REF!*Crescimento!#REF!)</f>
        <v>#REF!</v>
      </c>
      <c r="CB92" s="16" t="e">
        <f>(CC91+(Crescimento!#REF!-(CC91*0.64))/0.8)/1000</f>
        <v>#REF!</v>
      </c>
      <c r="CC92" s="17" t="e">
        <f>-53.07 + (304.89 * (CB92)) + (90.79 *Crescimento!#REF!) - (3.13 * Crescimento!#REF!*Crescimento!#REF!)</f>
        <v>#REF!</v>
      </c>
      <c r="CE92" s="16" t="e">
        <f>(CF91+(Crescimento!#REF!-(CF91*0.64))/0.8)/1000</f>
        <v>#REF!</v>
      </c>
      <c r="CF92" s="17" t="e">
        <f>-53.07 + (304.89 * (CE92)) + (90.79 *Crescimento!#REF!) - (3.13 * Crescimento!#REF!*Crescimento!#REF!)</f>
        <v>#REF!</v>
      </c>
      <c r="CH92" s="16" t="e">
        <f>(CI91+(Crescimento!#REF!-(CI91*0.64))/0.8)/1000</f>
        <v>#REF!</v>
      </c>
      <c r="CI92" s="17" t="e">
        <f>-53.07 + (304.89 * (CH92)) + (90.79 *Crescimento!#REF!) - (3.13 * Crescimento!#REF!*Crescimento!#REF!)</f>
        <v>#REF!</v>
      </c>
      <c r="CK92" s="16" t="e">
        <f>(CL91+(Crescimento!#REF!-(CL91*0.64))/0.8)/1000</f>
        <v>#REF!</v>
      </c>
      <c r="CL92" s="17" t="e">
        <f>-53.07 + (304.89 * (CK92)) + (90.79 *Crescimento!#REF!) - (3.13 * Crescimento!#REF!*Crescimento!#REF!)</f>
        <v>#REF!</v>
      </c>
    </row>
    <row r="93" spans="2:90" x14ac:dyDescent="0.25">
      <c r="B93" s="16">
        <f>(C92+('Vacas e Bezerros'!$O$29-(C92*0.64))/0.8)/1000</f>
        <v>1.1219974776113528</v>
      </c>
      <c r="C93" s="17">
        <f>-53.07 + (304.89 * (B93)) + (90.79 *'Vacas e Bezerros'!$O$23) - (3.13 * 'Vacas e Bezerros'!$O$23*'Vacas e Bezerros'!$O$23)</f>
        <v>715.77733851110622</v>
      </c>
      <c r="E93" s="16" t="e">
        <f>(F92+(Crescimento!#REF!-(F92*0.64))/0.8)/1000</f>
        <v>#REF!</v>
      </c>
      <c r="F93" s="17" t="e">
        <f>-53.07 + (304.89 * (E93)) + (90.79 *Crescimento!#REF!) - (3.13 * Crescimento!#REF!*Crescimento!#REF!)</f>
        <v>#REF!</v>
      </c>
      <c r="G93" s="1"/>
      <c r="H93" s="16" t="e">
        <f>(I92+(Crescimento!#REF!-(I92*0.64))/0.8)/1000</f>
        <v>#REF!</v>
      </c>
      <c r="I93" s="17" t="e">
        <f>-53.07 + (304.89 * (H93)) + (90.79 *Crescimento!#REF!) - (3.13 * Crescimento!#REF!*Crescimento!#REF!)</f>
        <v>#REF!</v>
      </c>
      <c r="K93" s="16" t="e">
        <f>(L92+(Crescimento!#REF!-(L92*0.64))/0.8)/1000</f>
        <v>#REF!</v>
      </c>
      <c r="L93" s="17" t="e">
        <f>-53.07 + (304.89 * (K93)) + (90.79 *Crescimento!#REF!) - (3.13 * Crescimento!#REF!*Crescimento!#REF!)</f>
        <v>#REF!</v>
      </c>
      <c r="N93" s="16" t="e">
        <f>(O92+(Crescimento!#REF!-(O92*0.64))/0.8)/1000</f>
        <v>#REF!</v>
      </c>
      <c r="O93" s="17" t="e">
        <f>-53.07 + (304.89 * (N93)) + (90.79 *Crescimento!#REF!) - (3.13 * Crescimento!#REF!*Crescimento!#REF!)</f>
        <v>#REF!</v>
      </c>
      <c r="Q93" s="16" t="e">
        <f>(R92+(Crescimento!#REF!-(R92*0.64))/0.8)/1000</f>
        <v>#REF!</v>
      </c>
      <c r="R93" s="17" t="e">
        <f>-53.07 + (304.89 * (Q93)) + (90.79 *Crescimento!#REF!) - (3.13 * Crescimento!#REF!*Crescimento!#REF!)</f>
        <v>#REF!</v>
      </c>
      <c r="T93" s="16" t="e">
        <f>(U92+(Crescimento!#REF!-(U92*0.64))/0.8)/1000</f>
        <v>#REF!</v>
      </c>
      <c r="U93" s="17" t="e">
        <f>-53.07 + (304.89 * (T93)) + (90.79 *Crescimento!#REF!) - (3.13 * Crescimento!#REF!*Crescimento!#REF!)</f>
        <v>#REF!</v>
      </c>
      <c r="W93" s="16" t="e">
        <f>(X92+(Crescimento!#REF!-(X92*0.64))/0.8)/1000</f>
        <v>#REF!</v>
      </c>
      <c r="X93" s="17" t="e">
        <f>-53.07 + (304.89 * (W93)) + (90.79 *Crescimento!#REF!) - (3.13 * Crescimento!#REF!*Crescimento!#REF!)</f>
        <v>#REF!</v>
      </c>
      <c r="Y93" s="6"/>
      <c r="Z93" s="16" t="e">
        <f>(AA92+(Crescimento!#REF!-(AA92*0.64))/0.8)/1000</f>
        <v>#REF!</v>
      </c>
      <c r="AA93" s="17" t="e">
        <f>-53.07 + (304.89 * (Z93)) + (90.79 *Crescimento!#REF!) - (3.13 * Crescimento!#REF!*Crescimento!#REF!)</f>
        <v>#REF!</v>
      </c>
      <c r="AB93" s="6"/>
      <c r="AC93" s="16" t="e">
        <f>(AD92+(Crescimento!#REF!-(AD92*0.64))/0.8)/1000</f>
        <v>#REF!</v>
      </c>
      <c r="AD93" s="17" t="e">
        <f>-53.07 + (304.89 * (AC93)) + (90.79 *Crescimento!#REF!) - (3.13 * Crescimento!#REF!*Crescimento!#REF!)</f>
        <v>#REF!</v>
      </c>
      <c r="AE93" s="17"/>
      <c r="AF93" s="16" t="e">
        <f>(AG92+(Crescimento!#REF!-(AG92*0.64))/0.8)/1000</f>
        <v>#REF!</v>
      </c>
      <c r="AG93" s="17" t="e">
        <f>-53.07 + (304.89 * (AF93)) + (90.79 *Crescimento!#REF!) - (3.13 * Crescimento!#REF!*Crescimento!#REF!)</f>
        <v>#REF!</v>
      </c>
      <c r="AI93" s="16" t="e">
        <f>(AJ92+(Crescimento!#REF!-(AJ92*0.64))/0.8)/1000</f>
        <v>#REF!</v>
      </c>
      <c r="AJ93" s="17" t="e">
        <f>-53.07 + (304.89 * (AI93)) + (90.79 *Crescimento!#REF!) - (3.13 * Crescimento!#REF!*Crescimento!#REF!)</f>
        <v>#REF!</v>
      </c>
      <c r="AL93" s="16" t="e">
        <f>(AM92+(Crescimento!#REF!-(AM92*0.64))/0.8)/1000</f>
        <v>#REF!</v>
      </c>
      <c r="AM93" s="17" t="e">
        <f>-53.07 + (304.89 * (AL93)) + (90.79 *Crescimento!#REF!) - (3.13 * Crescimento!#REF!*Crescimento!#REF!)</f>
        <v>#REF!</v>
      </c>
      <c r="AO93" s="16" t="e">
        <f>(AP92+(Crescimento!#REF!-(AP92*0.64))/0.8)/1000</f>
        <v>#REF!</v>
      </c>
      <c r="AP93" s="17" t="e">
        <f>-53.07 + (304.89 * (AO93)) + (90.79 *Crescimento!#REF!) - (3.13 * Crescimento!#REF!*Crescimento!#REF!)</f>
        <v>#REF!</v>
      </c>
      <c r="AR93" s="16" t="e">
        <f>(AS92+(Crescimento!#REF!-(AS92*0.64))/0.8)/1000</f>
        <v>#REF!</v>
      </c>
      <c r="AS93" s="17" t="e">
        <f>-53.07 + (304.89 * (AR93)) + (90.79 *Crescimento!#REF!) - (3.13 * Crescimento!#REF!*Crescimento!#REF!)</f>
        <v>#REF!</v>
      </c>
      <c r="AU93" s="16" t="e">
        <f>(AV92+(Crescimento!#REF!-(AV92*0.64))/0.8)/1000</f>
        <v>#REF!</v>
      </c>
      <c r="AV93" s="17" t="e">
        <f>-53.07 + (304.89 * (AU93)) + (90.79 *Crescimento!#REF!) - (3.13 * Crescimento!#REF!*Crescimento!#REF!)</f>
        <v>#REF!</v>
      </c>
      <c r="AX93" s="16" t="e">
        <f>(AY92+(Crescimento!#REF!-(AY92*0.64))/0.8)/1000</f>
        <v>#REF!</v>
      </c>
      <c r="AY93" s="17" t="e">
        <f>-53.07 + (304.89 * (AX93)) + (90.79 *Crescimento!#REF!) - (3.13 * Crescimento!#REF!*Crescimento!#REF!)</f>
        <v>#REF!</v>
      </c>
      <c r="BA93" s="16" t="e">
        <f>(BB92+(Crescimento!#REF!-(BB92*0.64))/0.8)/1000</f>
        <v>#REF!</v>
      </c>
      <c r="BB93" s="17" t="e">
        <f>-53.07 + (304.89 * (BA93)) + (90.79 *Crescimento!#REF!) - (3.13 * Crescimento!#REF!*Crescimento!#REF!)</f>
        <v>#REF!</v>
      </c>
      <c r="BD93" s="16" t="e">
        <f>(BE92+(Crescimento!#REF!-(BE92*0.64))/0.8)/1000</f>
        <v>#REF!</v>
      </c>
      <c r="BE93" s="17" t="e">
        <f>-53.07 + (304.89 * (BD93)) + (90.79 *Crescimento!#REF!) - (3.13 * Crescimento!#REF!*Crescimento!#REF!)</f>
        <v>#REF!</v>
      </c>
      <c r="BG93" s="16" t="e">
        <f>(BH92+(Crescimento!#REF!-(BH92*0.64))/0.8)/1000</f>
        <v>#REF!</v>
      </c>
      <c r="BH93" s="17" t="e">
        <f>-53.07 + (304.89 * (BG93)) + (90.79 *Crescimento!#REF!) - (3.13 * Crescimento!#REF!*Crescimento!#REF!)</f>
        <v>#REF!</v>
      </c>
      <c r="BJ93" s="16" t="e">
        <f>(BK92+(Crescimento!#REF!-(BK92*0.64))/0.8)/1000</f>
        <v>#REF!</v>
      </c>
      <c r="BK93" s="17" t="e">
        <f>-53.07 + (304.89 * (BJ93)) + (90.79 *Crescimento!#REF!) - (3.13 * Crescimento!#REF!*Crescimento!#REF!)</f>
        <v>#REF!</v>
      </c>
      <c r="BM93" s="16" t="e">
        <f>(BN92+(Crescimento!#REF!-(BN92*0.64))/0.8)/1000</f>
        <v>#REF!</v>
      </c>
      <c r="BN93" s="17" t="e">
        <f>-53.07 + (304.89 * (BM93)) + (90.79 *Crescimento!#REF!) - (3.13 * Crescimento!#REF!*Crescimento!#REF!)</f>
        <v>#REF!</v>
      </c>
      <c r="BP93" s="16" t="e">
        <f>(BQ92+(Crescimento!#REF!-(BQ92*0.64))/0.8)/1000</f>
        <v>#REF!</v>
      </c>
      <c r="BQ93" s="17" t="e">
        <f>-53.07 + (304.89 * (BP93)) + (90.79 *Crescimento!#REF!) - (3.13 * Crescimento!#REF!*Crescimento!#REF!)</f>
        <v>#REF!</v>
      </c>
      <c r="BS93" s="16" t="e">
        <f>(BT92+(Crescimento!#REF!-(BT92*0.64))/0.8)/1000</f>
        <v>#REF!</v>
      </c>
      <c r="BT93" s="17" t="e">
        <f>-53.07 + (304.89 * (BS93)) + (90.79 *Crescimento!#REF!) - (3.13 * Crescimento!#REF!*Crescimento!#REF!)</f>
        <v>#REF!</v>
      </c>
      <c r="BV93" s="16" t="e">
        <f>(BW92+(Crescimento!#REF!-(BW92*0.64))/0.8)/1000</f>
        <v>#REF!</v>
      </c>
      <c r="BW93" s="17" t="e">
        <f>-53.07 + (304.89 * (BV93)) + (90.79 *Crescimento!#REF!) - (3.13 * Crescimento!#REF!*Crescimento!#REF!)</f>
        <v>#REF!</v>
      </c>
      <c r="BY93" s="16" t="e">
        <f>(BZ92+(Crescimento!#REF!-(BZ92*0.64))/0.8)/1000</f>
        <v>#REF!</v>
      </c>
      <c r="BZ93" s="17" t="e">
        <f>-53.07 + (304.89 * (BY93)) + (90.79 *Crescimento!#REF!) - (3.13 * Crescimento!#REF!*Crescimento!#REF!)</f>
        <v>#REF!</v>
      </c>
      <c r="CB93" s="16" t="e">
        <f>(CC92+(Crescimento!#REF!-(CC92*0.64))/0.8)/1000</f>
        <v>#REF!</v>
      </c>
      <c r="CC93" s="17" t="e">
        <f>-53.07 + (304.89 * (CB93)) + (90.79 *Crescimento!#REF!) - (3.13 * Crescimento!#REF!*Crescimento!#REF!)</f>
        <v>#REF!</v>
      </c>
      <c r="CE93" s="16" t="e">
        <f>(CF92+(Crescimento!#REF!-(CF92*0.64))/0.8)/1000</f>
        <v>#REF!</v>
      </c>
      <c r="CF93" s="17" t="e">
        <f>-53.07 + (304.89 * (CE93)) + (90.79 *Crescimento!#REF!) - (3.13 * Crescimento!#REF!*Crescimento!#REF!)</f>
        <v>#REF!</v>
      </c>
      <c r="CH93" s="16" t="e">
        <f>(CI92+(Crescimento!#REF!-(CI92*0.64))/0.8)/1000</f>
        <v>#REF!</v>
      </c>
      <c r="CI93" s="17" t="e">
        <f>-53.07 + (304.89 * (CH93)) + (90.79 *Crescimento!#REF!) - (3.13 * Crescimento!#REF!*Crescimento!#REF!)</f>
        <v>#REF!</v>
      </c>
      <c r="CK93" s="16" t="e">
        <f>(CL92+(Crescimento!#REF!-(CL92*0.64))/0.8)/1000</f>
        <v>#REF!</v>
      </c>
      <c r="CL93" s="17" t="e">
        <f>-53.07 + (304.89 * (CK93)) + (90.79 *Crescimento!#REF!) - (3.13 * Crescimento!#REF!*Crescimento!#REF!)</f>
        <v>#REF!</v>
      </c>
    </row>
    <row r="94" spans="2:90" x14ac:dyDescent="0.25">
      <c r="B94" s="16">
        <f>(C93+('Vacas e Bezerros'!$O$29-(C93*0.64))/0.8)/1000</f>
        <v>1.1219974776113528</v>
      </c>
      <c r="C94" s="17">
        <f>-53.07 + (304.89 * (B94)) + (90.79 *'Vacas e Bezerros'!$O$23) - (3.13 * 'Vacas e Bezerros'!$O$23*'Vacas e Bezerros'!$O$23)</f>
        <v>715.77733851110622</v>
      </c>
      <c r="E94" s="16" t="e">
        <f>(F93+(Crescimento!#REF!-(F93*0.64))/0.8)/1000</f>
        <v>#REF!</v>
      </c>
      <c r="F94" s="17" t="e">
        <f>-53.07 + (304.89 * (E94)) + (90.79 *Crescimento!#REF!) - (3.13 * Crescimento!#REF!*Crescimento!#REF!)</f>
        <v>#REF!</v>
      </c>
      <c r="G94" s="1"/>
      <c r="H94" s="16" t="e">
        <f>(I93+(Crescimento!#REF!-(I93*0.64))/0.8)/1000</f>
        <v>#REF!</v>
      </c>
      <c r="I94" s="17" t="e">
        <f>-53.07 + (304.89 * (H94)) + (90.79 *Crescimento!#REF!) - (3.13 * Crescimento!#REF!*Crescimento!#REF!)</f>
        <v>#REF!</v>
      </c>
      <c r="K94" s="16" t="e">
        <f>(L93+(Crescimento!#REF!-(L93*0.64))/0.8)/1000</f>
        <v>#REF!</v>
      </c>
      <c r="L94" s="17" t="e">
        <f>-53.07 + (304.89 * (K94)) + (90.79 *Crescimento!#REF!) - (3.13 * Crescimento!#REF!*Crescimento!#REF!)</f>
        <v>#REF!</v>
      </c>
      <c r="N94" s="16" t="e">
        <f>(O93+(Crescimento!#REF!-(O93*0.64))/0.8)/1000</f>
        <v>#REF!</v>
      </c>
      <c r="O94" s="17" t="e">
        <f>-53.07 + (304.89 * (N94)) + (90.79 *Crescimento!#REF!) - (3.13 * Crescimento!#REF!*Crescimento!#REF!)</f>
        <v>#REF!</v>
      </c>
      <c r="Q94" s="16" t="e">
        <f>(R93+(Crescimento!#REF!-(R93*0.64))/0.8)/1000</f>
        <v>#REF!</v>
      </c>
      <c r="R94" s="17" t="e">
        <f>-53.07 + (304.89 * (Q94)) + (90.79 *Crescimento!#REF!) - (3.13 * Crescimento!#REF!*Crescimento!#REF!)</f>
        <v>#REF!</v>
      </c>
      <c r="T94" s="16" t="e">
        <f>(U93+(Crescimento!#REF!-(U93*0.64))/0.8)/1000</f>
        <v>#REF!</v>
      </c>
      <c r="U94" s="17" t="e">
        <f>-53.07 + (304.89 * (T94)) + (90.79 *Crescimento!#REF!) - (3.13 * Crescimento!#REF!*Crescimento!#REF!)</f>
        <v>#REF!</v>
      </c>
      <c r="W94" s="16" t="e">
        <f>(X93+(Crescimento!#REF!-(X93*0.64))/0.8)/1000</f>
        <v>#REF!</v>
      </c>
      <c r="X94" s="17" t="e">
        <f>-53.07 + (304.89 * (W94)) + (90.79 *Crescimento!#REF!) - (3.13 * Crescimento!#REF!*Crescimento!#REF!)</f>
        <v>#REF!</v>
      </c>
      <c r="Y94" s="6"/>
      <c r="Z94" s="16" t="e">
        <f>(AA93+(Crescimento!#REF!-(AA93*0.64))/0.8)/1000</f>
        <v>#REF!</v>
      </c>
      <c r="AA94" s="17" t="e">
        <f>-53.07 + (304.89 * (Z94)) + (90.79 *Crescimento!#REF!) - (3.13 * Crescimento!#REF!*Crescimento!#REF!)</f>
        <v>#REF!</v>
      </c>
      <c r="AB94" s="6"/>
      <c r="AC94" s="16" t="e">
        <f>(AD93+(Crescimento!#REF!-(AD93*0.64))/0.8)/1000</f>
        <v>#REF!</v>
      </c>
      <c r="AD94" s="17" t="e">
        <f>-53.07 + (304.89 * (AC94)) + (90.79 *Crescimento!#REF!) - (3.13 * Crescimento!#REF!*Crescimento!#REF!)</f>
        <v>#REF!</v>
      </c>
      <c r="AE94" s="17"/>
      <c r="AF94" s="16" t="e">
        <f>(AG93+(Crescimento!#REF!-(AG93*0.64))/0.8)/1000</f>
        <v>#REF!</v>
      </c>
      <c r="AG94" s="17" t="e">
        <f>-53.07 + (304.89 * (AF94)) + (90.79 *Crescimento!#REF!) - (3.13 * Crescimento!#REF!*Crescimento!#REF!)</f>
        <v>#REF!</v>
      </c>
      <c r="AI94" s="16" t="e">
        <f>(AJ93+(Crescimento!#REF!-(AJ93*0.64))/0.8)/1000</f>
        <v>#REF!</v>
      </c>
      <c r="AJ94" s="17" t="e">
        <f>-53.07 + (304.89 * (AI94)) + (90.79 *Crescimento!#REF!) - (3.13 * Crescimento!#REF!*Crescimento!#REF!)</f>
        <v>#REF!</v>
      </c>
      <c r="AL94" s="16" t="e">
        <f>(AM93+(Crescimento!#REF!-(AM93*0.64))/0.8)/1000</f>
        <v>#REF!</v>
      </c>
      <c r="AM94" s="17" t="e">
        <f>-53.07 + (304.89 * (AL94)) + (90.79 *Crescimento!#REF!) - (3.13 * Crescimento!#REF!*Crescimento!#REF!)</f>
        <v>#REF!</v>
      </c>
      <c r="AO94" s="16" t="e">
        <f>(AP93+(Crescimento!#REF!-(AP93*0.64))/0.8)/1000</f>
        <v>#REF!</v>
      </c>
      <c r="AP94" s="17" t="e">
        <f>-53.07 + (304.89 * (AO94)) + (90.79 *Crescimento!#REF!) - (3.13 * Crescimento!#REF!*Crescimento!#REF!)</f>
        <v>#REF!</v>
      </c>
      <c r="AR94" s="16" t="e">
        <f>(AS93+(Crescimento!#REF!-(AS93*0.64))/0.8)/1000</f>
        <v>#REF!</v>
      </c>
      <c r="AS94" s="17" t="e">
        <f>-53.07 + (304.89 * (AR94)) + (90.79 *Crescimento!#REF!) - (3.13 * Crescimento!#REF!*Crescimento!#REF!)</f>
        <v>#REF!</v>
      </c>
      <c r="AU94" s="16" t="e">
        <f>(AV93+(Crescimento!#REF!-(AV93*0.64))/0.8)/1000</f>
        <v>#REF!</v>
      </c>
      <c r="AV94" s="17" t="e">
        <f>-53.07 + (304.89 * (AU94)) + (90.79 *Crescimento!#REF!) - (3.13 * Crescimento!#REF!*Crescimento!#REF!)</f>
        <v>#REF!</v>
      </c>
      <c r="AX94" s="16" t="e">
        <f>(AY93+(Crescimento!#REF!-(AY93*0.64))/0.8)/1000</f>
        <v>#REF!</v>
      </c>
      <c r="AY94" s="17" t="e">
        <f>-53.07 + (304.89 * (AX94)) + (90.79 *Crescimento!#REF!) - (3.13 * Crescimento!#REF!*Crescimento!#REF!)</f>
        <v>#REF!</v>
      </c>
      <c r="BA94" s="16" t="e">
        <f>(BB93+(Crescimento!#REF!-(BB93*0.64))/0.8)/1000</f>
        <v>#REF!</v>
      </c>
      <c r="BB94" s="17" t="e">
        <f>-53.07 + (304.89 * (BA94)) + (90.79 *Crescimento!#REF!) - (3.13 * Crescimento!#REF!*Crescimento!#REF!)</f>
        <v>#REF!</v>
      </c>
      <c r="BD94" s="16" t="e">
        <f>(BE93+(Crescimento!#REF!-(BE93*0.64))/0.8)/1000</f>
        <v>#REF!</v>
      </c>
      <c r="BE94" s="17" t="e">
        <f>-53.07 + (304.89 * (BD94)) + (90.79 *Crescimento!#REF!) - (3.13 * Crescimento!#REF!*Crescimento!#REF!)</f>
        <v>#REF!</v>
      </c>
      <c r="BG94" s="16" t="e">
        <f>(BH93+(Crescimento!#REF!-(BH93*0.64))/0.8)/1000</f>
        <v>#REF!</v>
      </c>
      <c r="BH94" s="17" t="e">
        <f>-53.07 + (304.89 * (BG94)) + (90.79 *Crescimento!#REF!) - (3.13 * Crescimento!#REF!*Crescimento!#REF!)</f>
        <v>#REF!</v>
      </c>
      <c r="BJ94" s="16" t="e">
        <f>(BK93+(Crescimento!#REF!-(BK93*0.64))/0.8)/1000</f>
        <v>#REF!</v>
      </c>
      <c r="BK94" s="17" t="e">
        <f>-53.07 + (304.89 * (BJ94)) + (90.79 *Crescimento!#REF!) - (3.13 * Crescimento!#REF!*Crescimento!#REF!)</f>
        <v>#REF!</v>
      </c>
      <c r="BM94" s="16" t="e">
        <f>(BN93+(Crescimento!#REF!-(BN93*0.64))/0.8)/1000</f>
        <v>#REF!</v>
      </c>
      <c r="BN94" s="17" t="e">
        <f>-53.07 + (304.89 * (BM94)) + (90.79 *Crescimento!#REF!) - (3.13 * Crescimento!#REF!*Crescimento!#REF!)</f>
        <v>#REF!</v>
      </c>
      <c r="BP94" s="16" t="e">
        <f>(BQ93+(Crescimento!#REF!-(BQ93*0.64))/0.8)/1000</f>
        <v>#REF!</v>
      </c>
      <c r="BQ94" s="17" t="e">
        <f>-53.07 + (304.89 * (BP94)) + (90.79 *Crescimento!#REF!) - (3.13 * Crescimento!#REF!*Crescimento!#REF!)</f>
        <v>#REF!</v>
      </c>
      <c r="BS94" s="16" t="e">
        <f>(BT93+(Crescimento!#REF!-(BT93*0.64))/0.8)/1000</f>
        <v>#REF!</v>
      </c>
      <c r="BT94" s="17" t="e">
        <f>-53.07 + (304.89 * (BS94)) + (90.79 *Crescimento!#REF!) - (3.13 * Crescimento!#REF!*Crescimento!#REF!)</f>
        <v>#REF!</v>
      </c>
      <c r="BV94" s="16" t="e">
        <f>(BW93+(Crescimento!#REF!-(BW93*0.64))/0.8)/1000</f>
        <v>#REF!</v>
      </c>
      <c r="BW94" s="17" t="e">
        <f>-53.07 + (304.89 * (BV94)) + (90.79 *Crescimento!#REF!) - (3.13 * Crescimento!#REF!*Crescimento!#REF!)</f>
        <v>#REF!</v>
      </c>
      <c r="BY94" s="16" t="e">
        <f>(BZ93+(Crescimento!#REF!-(BZ93*0.64))/0.8)/1000</f>
        <v>#REF!</v>
      </c>
      <c r="BZ94" s="17" t="e">
        <f>-53.07 + (304.89 * (BY94)) + (90.79 *Crescimento!#REF!) - (3.13 * Crescimento!#REF!*Crescimento!#REF!)</f>
        <v>#REF!</v>
      </c>
      <c r="CB94" s="16" t="e">
        <f>(CC93+(Crescimento!#REF!-(CC93*0.64))/0.8)/1000</f>
        <v>#REF!</v>
      </c>
      <c r="CC94" s="17" t="e">
        <f>-53.07 + (304.89 * (CB94)) + (90.79 *Crescimento!#REF!) - (3.13 * Crescimento!#REF!*Crescimento!#REF!)</f>
        <v>#REF!</v>
      </c>
      <c r="CE94" s="16" t="e">
        <f>(CF93+(Crescimento!#REF!-(CF93*0.64))/0.8)/1000</f>
        <v>#REF!</v>
      </c>
      <c r="CF94" s="17" t="e">
        <f>-53.07 + (304.89 * (CE94)) + (90.79 *Crescimento!#REF!) - (3.13 * Crescimento!#REF!*Crescimento!#REF!)</f>
        <v>#REF!</v>
      </c>
      <c r="CH94" s="16" t="e">
        <f>(CI93+(Crescimento!#REF!-(CI93*0.64))/0.8)/1000</f>
        <v>#REF!</v>
      </c>
      <c r="CI94" s="17" t="e">
        <f>-53.07 + (304.89 * (CH94)) + (90.79 *Crescimento!#REF!) - (3.13 * Crescimento!#REF!*Crescimento!#REF!)</f>
        <v>#REF!</v>
      </c>
      <c r="CK94" s="16" t="e">
        <f>(CL93+(Crescimento!#REF!-(CL93*0.64))/0.8)/1000</f>
        <v>#REF!</v>
      </c>
      <c r="CL94" s="17" t="e">
        <f>-53.07 + (304.89 * (CK94)) + (90.79 *Crescimento!#REF!) - (3.13 * Crescimento!#REF!*Crescimento!#REF!)</f>
        <v>#REF!</v>
      </c>
    </row>
    <row r="95" spans="2:90" x14ac:dyDescent="0.25">
      <c r="B95" s="16">
        <f>(C94+('Vacas e Bezerros'!$O$29-(C94*0.64))/0.8)/1000</f>
        <v>1.1219974776113528</v>
      </c>
      <c r="C95" s="17">
        <f>-53.07 + (304.89 * (B95)) + (90.79 *'Vacas e Bezerros'!$O$23) - (3.13 * 'Vacas e Bezerros'!$O$23*'Vacas e Bezerros'!$O$23)</f>
        <v>715.77733851110622</v>
      </c>
      <c r="E95" s="16" t="e">
        <f>(F94+(Crescimento!#REF!-(F94*0.64))/0.8)/1000</f>
        <v>#REF!</v>
      </c>
      <c r="F95" s="17" t="e">
        <f>-53.07 + (304.89 * (E95)) + (90.79 *Crescimento!#REF!) - (3.13 * Crescimento!#REF!*Crescimento!#REF!)</f>
        <v>#REF!</v>
      </c>
      <c r="G95" s="1"/>
      <c r="H95" s="16" t="e">
        <f>(I94+(Crescimento!#REF!-(I94*0.64))/0.8)/1000</f>
        <v>#REF!</v>
      </c>
      <c r="I95" s="17" t="e">
        <f>-53.07 + (304.89 * (H95)) + (90.79 *Crescimento!#REF!) - (3.13 * Crescimento!#REF!*Crescimento!#REF!)</f>
        <v>#REF!</v>
      </c>
      <c r="K95" s="16" t="e">
        <f>(L94+(Crescimento!#REF!-(L94*0.64))/0.8)/1000</f>
        <v>#REF!</v>
      </c>
      <c r="L95" s="17" t="e">
        <f>-53.07 + (304.89 * (K95)) + (90.79 *Crescimento!#REF!) - (3.13 * Crescimento!#REF!*Crescimento!#REF!)</f>
        <v>#REF!</v>
      </c>
      <c r="N95" s="16" t="e">
        <f>(O94+(Crescimento!#REF!-(O94*0.64))/0.8)/1000</f>
        <v>#REF!</v>
      </c>
      <c r="O95" s="17" t="e">
        <f>-53.07 + (304.89 * (N95)) + (90.79 *Crescimento!#REF!) - (3.13 * Crescimento!#REF!*Crescimento!#REF!)</f>
        <v>#REF!</v>
      </c>
      <c r="Q95" s="16" t="e">
        <f>(R94+(Crescimento!#REF!-(R94*0.64))/0.8)/1000</f>
        <v>#REF!</v>
      </c>
      <c r="R95" s="17" t="e">
        <f>-53.07 + (304.89 * (Q95)) + (90.79 *Crescimento!#REF!) - (3.13 * Crescimento!#REF!*Crescimento!#REF!)</f>
        <v>#REF!</v>
      </c>
      <c r="T95" s="16" t="e">
        <f>(U94+(Crescimento!#REF!-(U94*0.64))/0.8)/1000</f>
        <v>#REF!</v>
      </c>
      <c r="U95" s="17" t="e">
        <f>-53.07 + (304.89 * (T95)) + (90.79 *Crescimento!#REF!) - (3.13 * Crescimento!#REF!*Crescimento!#REF!)</f>
        <v>#REF!</v>
      </c>
      <c r="W95" s="16" t="e">
        <f>(X94+(Crescimento!#REF!-(X94*0.64))/0.8)/1000</f>
        <v>#REF!</v>
      </c>
      <c r="X95" s="17" t="e">
        <f>-53.07 + (304.89 * (W95)) + (90.79 *Crescimento!#REF!) - (3.13 * Crescimento!#REF!*Crescimento!#REF!)</f>
        <v>#REF!</v>
      </c>
      <c r="Y95" s="6"/>
      <c r="Z95" s="16" t="e">
        <f>(AA94+(Crescimento!#REF!-(AA94*0.64))/0.8)/1000</f>
        <v>#REF!</v>
      </c>
      <c r="AA95" s="17" t="e">
        <f>-53.07 + (304.89 * (Z95)) + (90.79 *Crescimento!#REF!) - (3.13 * Crescimento!#REF!*Crescimento!#REF!)</f>
        <v>#REF!</v>
      </c>
      <c r="AB95" s="6"/>
      <c r="AC95" s="16" t="e">
        <f>(AD94+(Crescimento!#REF!-(AD94*0.64))/0.8)/1000</f>
        <v>#REF!</v>
      </c>
      <c r="AD95" s="17" t="e">
        <f>-53.07 + (304.89 * (AC95)) + (90.79 *Crescimento!#REF!) - (3.13 * Crescimento!#REF!*Crescimento!#REF!)</f>
        <v>#REF!</v>
      </c>
      <c r="AE95" s="17"/>
      <c r="AF95" s="16" t="e">
        <f>(AG94+(Crescimento!#REF!-(AG94*0.64))/0.8)/1000</f>
        <v>#REF!</v>
      </c>
      <c r="AG95" s="17" t="e">
        <f>-53.07 + (304.89 * (AF95)) + (90.79 *Crescimento!#REF!) - (3.13 * Crescimento!#REF!*Crescimento!#REF!)</f>
        <v>#REF!</v>
      </c>
      <c r="AI95" s="16" t="e">
        <f>(AJ94+(Crescimento!#REF!-(AJ94*0.64))/0.8)/1000</f>
        <v>#REF!</v>
      </c>
      <c r="AJ95" s="17" t="e">
        <f>-53.07 + (304.89 * (AI95)) + (90.79 *Crescimento!#REF!) - (3.13 * Crescimento!#REF!*Crescimento!#REF!)</f>
        <v>#REF!</v>
      </c>
      <c r="AL95" s="16" t="e">
        <f>(AM94+(Crescimento!#REF!-(AM94*0.64))/0.8)/1000</f>
        <v>#REF!</v>
      </c>
      <c r="AM95" s="17" t="e">
        <f>-53.07 + (304.89 * (AL95)) + (90.79 *Crescimento!#REF!) - (3.13 * Crescimento!#REF!*Crescimento!#REF!)</f>
        <v>#REF!</v>
      </c>
      <c r="AO95" s="16" t="e">
        <f>(AP94+(Crescimento!#REF!-(AP94*0.64))/0.8)/1000</f>
        <v>#REF!</v>
      </c>
      <c r="AP95" s="17" t="e">
        <f>-53.07 + (304.89 * (AO95)) + (90.79 *Crescimento!#REF!) - (3.13 * Crescimento!#REF!*Crescimento!#REF!)</f>
        <v>#REF!</v>
      </c>
      <c r="AR95" s="16" t="e">
        <f>(AS94+(Crescimento!#REF!-(AS94*0.64))/0.8)/1000</f>
        <v>#REF!</v>
      </c>
      <c r="AS95" s="17" t="e">
        <f>-53.07 + (304.89 * (AR95)) + (90.79 *Crescimento!#REF!) - (3.13 * Crescimento!#REF!*Crescimento!#REF!)</f>
        <v>#REF!</v>
      </c>
      <c r="AU95" s="16" t="e">
        <f>(AV94+(Crescimento!#REF!-(AV94*0.64))/0.8)/1000</f>
        <v>#REF!</v>
      </c>
      <c r="AV95" s="17" t="e">
        <f>-53.07 + (304.89 * (AU95)) + (90.79 *Crescimento!#REF!) - (3.13 * Crescimento!#REF!*Crescimento!#REF!)</f>
        <v>#REF!</v>
      </c>
      <c r="AX95" s="16" t="e">
        <f>(AY94+(Crescimento!#REF!-(AY94*0.64))/0.8)/1000</f>
        <v>#REF!</v>
      </c>
      <c r="AY95" s="17" t="e">
        <f>-53.07 + (304.89 * (AX95)) + (90.79 *Crescimento!#REF!) - (3.13 * Crescimento!#REF!*Crescimento!#REF!)</f>
        <v>#REF!</v>
      </c>
      <c r="BA95" s="16" t="e">
        <f>(BB94+(Crescimento!#REF!-(BB94*0.64))/0.8)/1000</f>
        <v>#REF!</v>
      </c>
      <c r="BB95" s="17" t="e">
        <f>-53.07 + (304.89 * (BA95)) + (90.79 *Crescimento!#REF!) - (3.13 * Crescimento!#REF!*Crescimento!#REF!)</f>
        <v>#REF!</v>
      </c>
      <c r="BD95" s="16" t="e">
        <f>(BE94+(Crescimento!#REF!-(BE94*0.64))/0.8)/1000</f>
        <v>#REF!</v>
      </c>
      <c r="BE95" s="17" t="e">
        <f>-53.07 + (304.89 * (BD95)) + (90.79 *Crescimento!#REF!) - (3.13 * Crescimento!#REF!*Crescimento!#REF!)</f>
        <v>#REF!</v>
      </c>
      <c r="BG95" s="16" t="e">
        <f>(BH94+(Crescimento!#REF!-(BH94*0.64))/0.8)/1000</f>
        <v>#REF!</v>
      </c>
      <c r="BH95" s="17" t="e">
        <f>-53.07 + (304.89 * (BG95)) + (90.79 *Crescimento!#REF!) - (3.13 * Crescimento!#REF!*Crescimento!#REF!)</f>
        <v>#REF!</v>
      </c>
      <c r="BJ95" s="16" t="e">
        <f>(BK94+(Crescimento!#REF!-(BK94*0.64))/0.8)/1000</f>
        <v>#REF!</v>
      </c>
      <c r="BK95" s="17" t="e">
        <f>-53.07 + (304.89 * (BJ95)) + (90.79 *Crescimento!#REF!) - (3.13 * Crescimento!#REF!*Crescimento!#REF!)</f>
        <v>#REF!</v>
      </c>
      <c r="BM95" s="16" t="e">
        <f>(BN94+(Crescimento!#REF!-(BN94*0.64))/0.8)/1000</f>
        <v>#REF!</v>
      </c>
      <c r="BN95" s="17" t="e">
        <f>-53.07 + (304.89 * (BM95)) + (90.79 *Crescimento!#REF!) - (3.13 * Crescimento!#REF!*Crescimento!#REF!)</f>
        <v>#REF!</v>
      </c>
      <c r="BP95" s="16" t="e">
        <f>(BQ94+(Crescimento!#REF!-(BQ94*0.64))/0.8)/1000</f>
        <v>#REF!</v>
      </c>
      <c r="BQ95" s="17" t="e">
        <f>-53.07 + (304.89 * (BP95)) + (90.79 *Crescimento!#REF!) - (3.13 * Crescimento!#REF!*Crescimento!#REF!)</f>
        <v>#REF!</v>
      </c>
      <c r="BS95" s="16" t="e">
        <f>(BT94+(Crescimento!#REF!-(BT94*0.64))/0.8)/1000</f>
        <v>#REF!</v>
      </c>
      <c r="BT95" s="17" t="e">
        <f>-53.07 + (304.89 * (BS95)) + (90.79 *Crescimento!#REF!) - (3.13 * Crescimento!#REF!*Crescimento!#REF!)</f>
        <v>#REF!</v>
      </c>
      <c r="BV95" s="16" t="e">
        <f>(BW94+(Crescimento!#REF!-(BW94*0.64))/0.8)/1000</f>
        <v>#REF!</v>
      </c>
      <c r="BW95" s="17" t="e">
        <f>-53.07 + (304.89 * (BV95)) + (90.79 *Crescimento!#REF!) - (3.13 * Crescimento!#REF!*Crescimento!#REF!)</f>
        <v>#REF!</v>
      </c>
      <c r="BY95" s="16" t="e">
        <f>(BZ94+(Crescimento!#REF!-(BZ94*0.64))/0.8)/1000</f>
        <v>#REF!</v>
      </c>
      <c r="BZ95" s="17" t="e">
        <f>-53.07 + (304.89 * (BY95)) + (90.79 *Crescimento!#REF!) - (3.13 * Crescimento!#REF!*Crescimento!#REF!)</f>
        <v>#REF!</v>
      </c>
      <c r="CB95" s="16" t="e">
        <f>(CC94+(Crescimento!#REF!-(CC94*0.64))/0.8)/1000</f>
        <v>#REF!</v>
      </c>
      <c r="CC95" s="17" t="e">
        <f>-53.07 + (304.89 * (CB95)) + (90.79 *Crescimento!#REF!) - (3.13 * Crescimento!#REF!*Crescimento!#REF!)</f>
        <v>#REF!</v>
      </c>
      <c r="CE95" s="16" t="e">
        <f>(CF94+(Crescimento!#REF!-(CF94*0.64))/0.8)/1000</f>
        <v>#REF!</v>
      </c>
      <c r="CF95" s="17" t="e">
        <f>-53.07 + (304.89 * (CE95)) + (90.79 *Crescimento!#REF!) - (3.13 * Crescimento!#REF!*Crescimento!#REF!)</f>
        <v>#REF!</v>
      </c>
      <c r="CH95" s="16" t="e">
        <f>(CI94+(Crescimento!#REF!-(CI94*0.64))/0.8)/1000</f>
        <v>#REF!</v>
      </c>
      <c r="CI95" s="17" t="e">
        <f>-53.07 + (304.89 * (CH95)) + (90.79 *Crescimento!#REF!) - (3.13 * Crescimento!#REF!*Crescimento!#REF!)</f>
        <v>#REF!</v>
      </c>
      <c r="CK95" s="16" t="e">
        <f>(CL94+(Crescimento!#REF!-(CL94*0.64))/0.8)/1000</f>
        <v>#REF!</v>
      </c>
      <c r="CL95" s="17" t="e">
        <f>-53.07 + (304.89 * (CK95)) + (90.79 *Crescimento!#REF!) - (3.13 * Crescimento!#REF!*Crescimento!#REF!)</f>
        <v>#REF!</v>
      </c>
    </row>
    <row r="96" spans="2:90" x14ac:dyDescent="0.25">
      <c r="B96" s="16">
        <f>(C95+('Vacas e Bezerros'!$O$29-(C95*0.64))/0.8)/1000</f>
        <v>1.1219974776113528</v>
      </c>
      <c r="C96" s="17">
        <f>-53.07 + (304.89 * (B96)) + (90.79 *'Vacas e Bezerros'!$O$23) - (3.13 * 'Vacas e Bezerros'!$O$23*'Vacas e Bezerros'!$O$23)</f>
        <v>715.77733851110622</v>
      </c>
      <c r="E96" s="16" t="e">
        <f>(F95+(Crescimento!#REF!-(F95*0.64))/0.8)/1000</f>
        <v>#REF!</v>
      </c>
      <c r="F96" s="17" t="e">
        <f>-53.07 + (304.89 * (E96)) + (90.79 *Crescimento!#REF!) - (3.13 * Crescimento!#REF!*Crescimento!#REF!)</f>
        <v>#REF!</v>
      </c>
      <c r="G96" s="1"/>
      <c r="H96" s="16" t="e">
        <f>(I95+(Crescimento!#REF!-(I95*0.64))/0.8)/1000</f>
        <v>#REF!</v>
      </c>
      <c r="I96" s="17" t="e">
        <f>-53.07 + (304.89 * (H96)) + (90.79 *Crescimento!#REF!) - (3.13 * Crescimento!#REF!*Crescimento!#REF!)</f>
        <v>#REF!</v>
      </c>
      <c r="K96" s="16" t="e">
        <f>(L95+(Crescimento!#REF!-(L95*0.64))/0.8)/1000</f>
        <v>#REF!</v>
      </c>
      <c r="L96" s="17" t="e">
        <f>-53.07 + (304.89 * (K96)) + (90.79 *Crescimento!#REF!) - (3.13 * Crescimento!#REF!*Crescimento!#REF!)</f>
        <v>#REF!</v>
      </c>
      <c r="N96" s="16" t="e">
        <f>(O95+(Crescimento!#REF!-(O95*0.64))/0.8)/1000</f>
        <v>#REF!</v>
      </c>
      <c r="O96" s="17" t="e">
        <f>-53.07 + (304.89 * (N96)) + (90.79 *Crescimento!#REF!) - (3.13 * Crescimento!#REF!*Crescimento!#REF!)</f>
        <v>#REF!</v>
      </c>
      <c r="Q96" s="16" t="e">
        <f>(R95+(Crescimento!#REF!-(R95*0.64))/0.8)/1000</f>
        <v>#REF!</v>
      </c>
      <c r="R96" s="17" t="e">
        <f>-53.07 + (304.89 * (Q96)) + (90.79 *Crescimento!#REF!) - (3.13 * Crescimento!#REF!*Crescimento!#REF!)</f>
        <v>#REF!</v>
      </c>
      <c r="T96" s="16" t="e">
        <f>(U95+(Crescimento!#REF!-(U95*0.64))/0.8)/1000</f>
        <v>#REF!</v>
      </c>
      <c r="U96" s="17" t="e">
        <f>-53.07 + (304.89 * (T96)) + (90.79 *Crescimento!#REF!) - (3.13 * Crescimento!#REF!*Crescimento!#REF!)</f>
        <v>#REF!</v>
      </c>
      <c r="W96" s="16" t="e">
        <f>(X95+(Crescimento!#REF!-(X95*0.64))/0.8)/1000</f>
        <v>#REF!</v>
      </c>
      <c r="X96" s="17" t="e">
        <f>-53.07 + (304.89 * (W96)) + (90.79 *Crescimento!#REF!) - (3.13 * Crescimento!#REF!*Crescimento!#REF!)</f>
        <v>#REF!</v>
      </c>
      <c r="Y96" s="6"/>
      <c r="Z96" s="16" t="e">
        <f>(AA95+(Crescimento!#REF!-(AA95*0.64))/0.8)/1000</f>
        <v>#REF!</v>
      </c>
      <c r="AA96" s="17" t="e">
        <f>-53.07 + (304.89 * (Z96)) + (90.79 *Crescimento!#REF!) - (3.13 * Crescimento!#REF!*Crescimento!#REF!)</f>
        <v>#REF!</v>
      </c>
      <c r="AB96" s="6"/>
      <c r="AC96" s="16" t="e">
        <f>(AD95+(Crescimento!#REF!-(AD95*0.64))/0.8)/1000</f>
        <v>#REF!</v>
      </c>
      <c r="AD96" s="17" t="e">
        <f>-53.07 + (304.89 * (AC96)) + (90.79 *Crescimento!#REF!) - (3.13 * Crescimento!#REF!*Crescimento!#REF!)</f>
        <v>#REF!</v>
      </c>
      <c r="AE96" s="17"/>
      <c r="AF96" s="16" t="e">
        <f>(AG95+(Crescimento!#REF!-(AG95*0.64))/0.8)/1000</f>
        <v>#REF!</v>
      </c>
      <c r="AG96" s="17" t="e">
        <f>-53.07 + (304.89 * (AF96)) + (90.79 *Crescimento!#REF!) - (3.13 * Crescimento!#REF!*Crescimento!#REF!)</f>
        <v>#REF!</v>
      </c>
      <c r="AI96" s="16" t="e">
        <f>(AJ95+(Crescimento!#REF!-(AJ95*0.64))/0.8)/1000</f>
        <v>#REF!</v>
      </c>
      <c r="AJ96" s="17" t="e">
        <f>-53.07 + (304.89 * (AI96)) + (90.79 *Crescimento!#REF!) - (3.13 * Crescimento!#REF!*Crescimento!#REF!)</f>
        <v>#REF!</v>
      </c>
      <c r="AL96" s="16" t="e">
        <f>(AM95+(Crescimento!#REF!-(AM95*0.64))/0.8)/1000</f>
        <v>#REF!</v>
      </c>
      <c r="AM96" s="17" t="e">
        <f>-53.07 + (304.89 * (AL96)) + (90.79 *Crescimento!#REF!) - (3.13 * Crescimento!#REF!*Crescimento!#REF!)</f>
        <v>#REF!</v>
      </c>
      <c r="AO96" s="16" t="e">
        <f>(AP95+(Crescimento!#REF!-(AP95*0.64))/0.8)/1000</f>
        <v>#REF!</v>
      </c>
      <c r="AP96" s="17" t="e">
        <f>-53.07 + (304.89 * (AO96)) + (90.79 *Crescimento!#REF!) - (3.13 * Crescimento!#REF!*Crescimento!#REF!)</f>
        <v>#REF!</v>
      </c>
      <c r="AR96" s="16" t="e">
        <f>(AS95+(Crescimento!#REF!-(AS95*0.64))/0.8)/1000</f>
        <v>#REF!</v>
      </c>
      <c r="AS96" s="17" t="e">
        <f>-53.07 + (304.89 * (AR96)) + (90.79 *Crescimento!#REF!) - (3.13 * Crescimento!#REF!*Crescimento!#REF!)</f>
        <v>#REF!</v>
      </c>
      <c r="AU96" s="16" t="e">
        <f>(AV95+(Crescimento!#REF!-(AV95*0.64))/0.8)/1000</f>
        <v>#REF!</v>
      </c>
      <c r="AV96" s="17" t="e">
        <f>-53.07 + (304.89 * (AU96)) + (90.79 *Crescimento!#REF!) - (3.13 * Crescimento!#REF!*Crescimento!#REF!)</f>
        <v>#REF!</v>
      </c>
      <c r="AX96" s="16" t="e">
        <f>(AY95+(Crescimento!#REF!-(AY95*0.64))/0.8)/1000</f>
        <v>#REF!</v>
      </c>
      <c r="AY96" s="17" t="e">
        <f>-53.07 + (304.89 * (AX96)) + (90.79 *Crescimento!#REF!) - (3.13 * Crescimento!#REF!*Crescimento!#REF!)</f>
        <v>#REF!</v>
      </c>
      <c r="BA96" s="16" t="e">
        <f>(BB95+(Crescimento!#REF!-(BB95*0.64))/0.8)/1000</f>
        <v>#REF!</v>
      </c>
      <c r="BB96" s="17" t="e">
        <f>-53.07 + (304.89 * (BA96)) + (90.79 *Crescimento!#REF!) - (3.13 * Crescimento!#REF!*Crescimento!#REF!)</f>
        <v>#REF!</v>
      </c>
      <c r="BD96" s="16" t="e">
        <f>(BE95+(Crescimento!#REF!-(BE95*0.64))/0.8)/1000</f>
        <v>#REF!</v>
      </c>
      <c r="BE96" s="17" t="e">
        <f>-53.07 + (304.89 * (BD96)) + (90.79 *Crescimento!#REF!) - (3.13 * Crescimento!#REF!*Crescimento!#REF!)</f>
        <v>#REF!</v>
      </c>
      <c r="BG96" s="16" t="e">
        <f>(BH95+(Crescimento!#REF!-(BH95*0.64))/0.8)/1000</f>
        <v>#REF!</v>
      </c>
      <c r="BH96" s="17" t="e">
        <f>-53.07 + (304.89 * (BG96)) + (90.79 *Crescimento!#REF!) - (3.13 * Crescimento!#REF!*Crescimento!#REF!)</f>
        <v>#REF!</v>
      </c>
      <c r="BJ96" s="16" t="e">
        <f>(BK95+(Crescimento!#REF!-(BK95*0.64))/0.8)/1000</f>
        <v>#REF!</v>
      </c>
      <c r="BK96" s="17" t="e">
        <f>-53.07 + (304.89 * (BJ96)) + (90.79 *Crescimento!#REF!) - (3.13 * Crescimento!#REF!*Crescimento!#REF!)</f>
        <v>#REF!</v>
      </c>
      <c r="BM96" s="16" t="e">
        <f>(BN95+(Crescimento!#REF!-(BN95*0.64))/0.8)/1000</f>
        <v>#REF!</v>
      </c>
      <c r="BN96" s="17" t="e">
        <f>-53.07 + (304.89 * (BM96)) + (90.79 *Crescimento!#REF!) - (3.13 * Crescimento!#REF!*Crescimento!#REF!)</f>
        <v>#REF!</v>
      </c>
      <c r="BP96" s="16" t="e">
        <f>(BQ95+(Crescimento!#REF!-(BQ95*0.64))/0.8)/1000</f>
        <v>#REF!</v>
      </c>
      <c r="BQ96" s="17" t="e">
        <f>-53.07 + (304.89 * (BP96)) + (90.79 *Crescimento!#REF!) - (3.13 * Crescimento!#REF!*Crescimento!#REF!)</f>
        <v>#REF!</v>
      </c>
      <c r="BS96" s="16" t="e">
        <f>(BT95+(Crescimento!#REF!-(BT95*0.64))/0.8)/1000</f>
        <v>#REF!</v>
      </c>
      <c r="BT96" s="17" t="e">
        <f>-53.07 + (304.89 * (BS96)) + (90.79 *Crescimento!#REF!) - (3.13 * Crescimento!#REF!*Crescimento!#REF!)</f>
        <v>#REF!</v>
      </c>
      <c r="BV96" s="16" t="e">
        <f>(BW95+(Crescimento!#REF!-(BW95*0.64))/0.8)/1000</f>
        <v>#REF!</v>
      </c>
      <c r="BW96" s="17" t="e">
        <f>-53.07 + (304.89 * (BV96)) + (90.79 *Crescimento!#REF!) - (3.13 * Crescimento!#REF!*Crescimento!#REF!)</f>
        <v>#REF!</v>
      </c>
      <c r="BY96" s="16" t="e">
        <f>(BZ95+(Crescimento!#REF!-(BZ95*0.64))/0.8)/1000</f>
        <v>#REF!</v>
      </c>
      <c r="BZ96" s="17" t="e">
        <f>-53.07 + (304.89 * (BY96)) + (90.79 *Crescimento!#REF!) - (3.13 * Crescimento!#REF!*Crescimento!#REF!)</f>
        <v>#REF!</v>
      </c>
      <c r="CB96" s="16" t="e">
        <f>(CC95+(Crescimento!#REF!-(CC95*0.64))/0.8)/1000</f>
        <v>#REF!</v>
      </c>
      <c r="CC96" s="17" t="e">
        <f>-53.07 + (304.89 * (CB96)) + (90.79 *Crescimento!#REF!) - (3.13 * Crescimento!#REF!*Crescimento!#REF!)</f>
        <v>#REF!</v>
      </c>
      <c r="CE96" s="16" t="e">
        <f>(CF95+(Crescimento!#REF!-(CF95*0.64))/0.8)/1000</f>
        <v>#REF!</v>
      </c>
      <c r="CF96" s="17" t="e">
        <f>-53.07 + (304.89 * (CE96)) + (90.79 *Crescimento!#REF!) - (3.13 * Crescimento!#REF!*Crescimento!#REF!)</f>
        <v>#REF!</v>
      </c>
      <c r="CH96" s="16" t="e">
        <f>(CI95+(Crescimento!#REF!-(CI95*0.64))/0.8)/1000</f>
        <v>#REF!</v>
      </c>
      <c r="CI96" s="17" t="e">
        <f>-53.07 + (304.89 * (CH96)) + (90.79 *Crescimento!#REF!) - (3.13 * Crescimento!#REF!*Crescimento!#REF!)</f>
        <v>#REF!</v>
      </c>
      <c r="CK96" s="16" t="e">
        <f>(CL95+(Crescimento!#REF!-(CL95*0.64))/0.8)/1000</f>
        <v>#REF!</v>
      </c>
      <c r="CL96" s="17" t="e">
        <f>-53.07 + (304.89 * (CK96)) + (90.79 *Crescimento!#REF!) - (3.13 * Crescimento!#REF!*Crescimento!#REF!)</f>
        <v>#REF!</v>
      </c>
    </row>
    <row r="97" spans="2:90" x14ac:dyDescent="0.25">
      <c r="B97" s="16">
        <f>(C96+('Vacas e Bezerros'!$O$29-(C96*0.64))/0.8)/1000</f>
        <v>1.1219974776113528</v>
      </c>
      <c r="C97" s="17">
        <f>-53.07 + (304.89 * (B97)) + (90.79 *'Vacas e Bezerros'!$O$23) - (3.13 * 'Vacas e Bezerros'!$O$23*'Vacas e Bezerros'!$O$23)</f>
        <v>715.77733851110622</v>
      </c>
      <c r="E97" s="16" t="e">
        <f>(F96+(Crescimento!#REF!-(F96*0.64))/0.8)/1000</f>
        <v>#REF!</v>
      </c>
      <c r="F97" s="17" t="e">
        <f>-53.07 + (304.89 * (E97)) + (90.79 *Crescimento!#REF!) - (3.13 * Crescimento!#REF!*Crescimento!#REF!)</f>
        <v>#REF!</v>
      </c>
      <c r="G97" s="1"/>
      <c r="H97" s="16" t="e">
        <f>(I96+(Crescimento!#REF!-(I96*0.64))/0.8)/1000</f>
        <v>#REF!</v>
      </c>
      <c r="I97" s="17" t="e">
        <f>-53.07 + (304.89 * (H97)) + (90.79 *Crescimento!#REF!) - (3.13 * Crescimento!#REF!*Crescimento!#REF!)</f>
        <v>#REF!</v>
      </c>
      <c r="K97" s="16" t="e">
        <f>(L96+(Crescimento!#REF!-(L96*0.64))/0.8)/1000</f>
        <v>#REF!</v>
      </c>
      <c r="L97" s="17" t="e">
        <f>-53.07 + (304.89 * (K97)) + (90.79 *Crescimento!#REF!) - (3.13 * Crescimento!#REF!*Crescimento!#REF!)</f>
        <v>#REF!</v>
      </c>
      <c r="N97" s="16" t="e">
        <f>(O96+(Crescimento!#REF!-(O96*0.64))/0.8)/1000</f>
        <v>#REF!</v>
      </c>
      <c r="O97" s="17" t="e">
        <f>-53.07 + (304.89 * (N97)) + (90.79 *Crescimento!#REF!) - (3.13 * Crescimento!#REF!*Crescimento!#REF!)</f>
        <v>#REF!</v>
      </c>
      <c r="Q97" s="16" t="e">
        <f>(R96+(Crescimento!#REF!-(R96*0.64))/0.8)/1000</f>
        <v>#REF!</v>
      </c>
      <c r="R97" s="17" t="e">
        <f>-53.07 + (304.89 * (Q97)) + (90.79 *Crescimento!#REF!) - (3.13 * Crescimento!#REF!*Crescimento!#REF!)</f>
        <v>#REF!</v>
      </c>
      <c r="T97" s="16" t="e">
        <f>(U96+(Crescimento!#REF!-(U96*0.64))/0.8)/1000</f>
        <v>#REF!</v>
      </c>
      <c r="U97" s="17" t="e">
        <f>-53.07 + (304.89 * (T97)) + (90.79 *Crescimento!#REF!) - (3.13 * Crescimento!#REF!*Crescimento!#REF!)</f>
        <v>#REF!</v>
      </c>
      <c r="W97" s="16" t="e">
        <f>(X96+(Crescimento!#REF!-(X96*0.64))/0.8)/1000</f>
        <v>#REF!</v>
      </c>
      <c r="X97" s="17" t="e">
        <f>-53.07 + (304.89 * (W97)) + (90.79 *Crescimento!#REF!) - (3.13 * Crescimento!#REF!*Crescimento!#REF!)</f>
        <v>#REF!</v>
      </c>
      <c r="Y97" s="6"/>
      <c r="Z97" s="16" t="e">
        <f>(AA96+(Crescimento!#REF!-(AA96*0.64))/0.8)/1000</f>
        <v>#REF!</v>
      </c>
      <c r="AA97" s="17" t="e">
        <f>-53.07 + (304.89 * (Z97)) + (90.79 *Crescimento!#REF!) - (3.13 * Crescimento!#REF!*Crescimento!#REF!)</f>
        <v>#REF!</v>
      </c>
      <c r="AB97" s="6"/>
      <c r="AC97" s="16" t="e">
        <f>(AD96+(Crescimento!#REF!-(AD96*0.64))/0.8)/1000</f>
        <v>#REF!</v>
      </c>
      <c r="AD97" s="17" t="e">
        <f>-53.07 + (304.89 * (AC97)) + (90.79 *Crescimento!#REF!) - (3.13 * Crescimento!#REF!*Crescimento!#REF!)</f>
        <v>#REF!</v>
      </c>
      <c r="AE97" s="17"/>
      <c r="AF97" s="16" t="e">
        <f>(AG96+(Crescimento!#REF!-(AG96*0.64))/0.8)/1000</f>
        <v>#REF!</v>
      </c>
      <c r="AG97" s="17" t="e">
        <f>-53.07 + (304.89 * (AF97)) + (90.79 *Crescimento!#REF!) - (3.13 * Crescimento!#REF!*Crescimento!#REF!)</f>
        <v>#REF!</v>
      </c>
      <c r="AI97" s="16" t="e">
        <f>(AJ96+(Crescimento!#REF!-(AJ96*0.64))/0.8)/1000</f>
        <v>#REF!</v>
      </c>
      <c r="AJ97" s="17" t="e">
        <f>-53.07 + (304.89 * (AI97)) + (90.79 *Crescimento!#REF!) - (3.13 * Crescimento!#REF!*Crescimento!#REF!)</f>
        <v>#REF!</v>
      </c>
      <c r="AL97" s="16" t="e">
        <f>(AM96+(Crescimento!#REF!-(AM96*0.64))/0.8)/1000</f>
        <v>#REF!</v>
      </c>
      <c r="AM97" s="17" t="e">
        <f>-53.07 + (304.89 * (AL97)) + (90.79 *Crescimento!#REF!) - (3.13 * Crescimento!#REF!*Crescimento!#REF!)</f>
        <v>#REF!</v>
      </c>
      <c r="AO97" s="16" t="e">
        <f>(AP96+(Crescimento!#REF!-(AP96*0.64))/0.8)/1000</f>
        <v>#REF!</v>
      </c>
      <c r="AP97" s="17" t="e">
        <f>-53.07 + (304.89 * (AO97)) + (90.79 *Crescimento!#REF!) - (3.13 * Crescimento!#REF!*Crescimento!#REF!)</f>
        <v>#REF!</v>
      </c>
      <c r="AR97" s="16" t="e">
        <f>(AS96+(Crescimento!#REF!-(AS96*0.64))/0.8)/1000</f>
        <v>#REF!</v>
      </c>
      <c r="AS97" s="17" t="e">
        <f>-53.07 + (304.89 * (AR97)) + (90.79 *Crescimento!#REF!) - (3.13 * Crescimento!#REF!*Crescimento!#REF!)</f>
        <v>#REF!</v>
      </c>
      <c r="AU97" s="16" t="e">
        <f>(AV96+(Crescimento!#REF!-(AV96*0.64))/0.8)/1000</f>
        <v>#REF!</v>
      </c>
      <c r="AV97" s="17" t="e">
        <f>-53.07 + (304.89 * (AU97)) + (90.79 *Crescimento!#REF!) - (3.13 * Crescimento!#REF!*Crescimento!#REF!)</f>
        <v>#REF!</v>
      </c>
      <c r="AX97" s="16" t="e">
        <f>(AY96+(Crescimento!#REF!-(AY96*0.64))/0.8)/1000</f>
        <v>#REF!</v>
      </c>
      <c r="AY97" s="17" t="e">
        <f>-53.07 + (304.89 * (AX97)) + (90.79 *Crescimento!#REF!) - (3.13 * Crescimento!#REF!*Crescimento!#REF!)</f>
        <v>#REF!</v>
      </c>
      <c r="BA97" s="16" t="e">
        <f>(BB96+(Crescimento!#REF!-(BB96*0.64))/0.8)/1000</f>
        <v>#REF!</v>
      </c>
      <c r="BB97" s="17" t="e">
        <f>-53.07 + (304.89 * (BA97)) + (90.79 *Crescimento!#REF!) - (3.13 * Crescimento!#REF!*Crescimento!#REF!)</f>
        <v>#REF!</v>
      </c>
      <c r="BD97" s="16" t="e">
        <f>(BE96+(Crescimento!#REF!-(BE96*0.64))/0.8)/1000</f>
        <v>#REF!</v>
      </c>
      <c r="BE97" s="17" t="e">
        <f>-53.07 + (304.89 * (BD97)) + (90.79 *Crescimento!#REF!) - (3.13 * Crescimento!#REF!*Crescimento!#REF!)</f>
        <v>#REF!</v>
      </c>
      <c r="BG97" s="16" t="e">
        <f>(BH96+(Crescimento!#REF!-(BH96*0.64))/0.8)/1000</f>
        <v>#REF!</v>
      </c>
      <c r="BH97" s="17" t="e">
        <f>-53.07 + (304.89 * (BG97)) + (90.79 *Crescimento!#REF!) - (3.13 * Crescimento!#REF!*Crescimento!#REF!)</f>
        <v>#REF!</v>
      </c>
      <c r="BJ97" s="16" t="e">
        <f>(BK96+(Crescimento!#REF!-(BK96*0.64))/0.8)/1000</f>
        <v>#REF!</v>
      </c>
      <c r="BK97" s="17" t="e">
        <f>-53.07 + (304.89 * (BJ97)) + (90.79 *Crescimento!#REF!) - (3.13 * Crescimento!#REF!*Crescimento!#REF!)</f>
        <v>#REF!</v>
      </c>
      <c r="BM97" s="16" t="e">
        <f>(BN96+(Crescimento!#REF!-(BN96*0.64))/0.8)/1000</f>
        <v>#REF!</v>
      </c>
      <c r="BN97" s="17" t="e">
        <f>-53.07 + (304.89 * (BM97)) + (90.79 *Crescimento!#REF!) - (3.13 * Crescimento!#REF!*Crescimento!#REF!)</f>
        <v>#REF!</v>
      </c>
      <c r="BP97" s="16" t="e">
        <f>(BQ96+(Crescimento!#REF!-(BQ96*0.64))/0.8)/1000</f>
        <v>#REF!</v>
      </c>
      <c r="BQ97" s="17" t="e">
        <f>-53.07 + (304.89 * (BP97)) + (90.79 *Crescimento!#REF!) - (3.13 * Crescimento!#REF!*Crescimento!#REF!)</f>
        <v>#REF!</v>
      </c>
      <c r="BS97" s="16" t="e">
        <f>(BT96+(Crescimento!#REF!-(BT96*0.64))/0.8)/1000</f>
        <v>#REF!</v>
      </c>
      <c r="BT97" s="17" t="e">
        <f>-53.07 + (304.89 * (BS97)) + (90.79 *Crescimento!#REF!) - (3.13 * Crescimento!#REF!*Crescimento!#REF!)</f>
        <v>#REF!</v>
      </c>
      <c r="BV97" s="16" t="e">
        <f>(BW96+(Crescimento!#REF!-(BW96*0.64))/0.8)/1000</f>
        <v>#REF!</v>
      </c>
      <c r="BW97" s="17" t="e">
        <f>-53.07 + (304.89 * (BV97)) + (90.79 *Crescimento!#REF!) - (3.13 * Crescimento!#REF!*Crescimento!#REF!)</f>
        <v>#REF!</v>
      </c>
      <c r="BY97" s="16" t="e">
        <f>(BZ96+(Crescimento!#REF!-(BZ96*0.64))/0.8)/1000</f>
        <v>#REF!</v>
      </c>
      <c r="BZ97" s="17" t="e">
        <f>-53.07 + (304.89 * (BY97)) + (90.79 *Crescimento!#REF!) - (3.13 * Crescimento!#REF!*Crescimento!#REF!)</f>
        <v>#REF!</v>
      </c>
      <c r="CB97" s="16" t="e">
        <f>(CC96+(Crescimento!#REF!-(CC96*0.64))/0.8)/1000</f>
        <v>#REF!</v>
      </c>
      <c r="CC97" s="17" t="e">
        <f>-53.07 + (304.89 * (CB97)) + (90.79 *Crescimento!#REF!) - (3.13 * Crescimento!#REF!*Crescimento!#REF!)</f>
        <v>#REF!</v>
      </c>
      <c r="CE97" s="16" t="e">
        <f>(CF96+(Crescimento!#REF!-(CF96*0.64))/0.8)/1000</f>
        <v>#REF!</v>
      </c>
      <c r="CF97" s="17" t="e">
        <f>-53.07 + (304.89 * (CE97)) + (90.79 *Crescimento!#REF!) - (3.13 * Crescimento!#REF!*Crescimento!#REF!)</f>
        <v>#REF!</v>
      </c>
      <c r="CH97" s="16" t="e">
        <f>(CI96+(Crescimento!#REF!-(CI96*0.64))/0.8)/1000</f>
        <v>#REF!</v>
      </c>
      <c r="CI97" s="17" t="e">
        <f>-53.07 + (304.89 * (CH97)) + (90.79 *Crescimento!#REF!) - (3.13 * Crescimento!#REF!*Crescimento!#REF!)</f>
        <v>#REF!</v>
      </c>
      <c r="CK97" s="16" t="e">
        <f>(CL96+(Crescimento!#REF!-(CL96*0.64))/0.8)/1000</f>
        <v>#REF!</v>
      </c>
      <c r="CL97" s="17" t="e">
        <f>-53.07 + (304.89 * (CK97)) + (90.79 *Crescimento!#REF!) - (3.13 * Crescimento!#REF!*Crescimento!#REF!)</f>
        <v>#REF!</v>
      </c>
    </row>
    <row r="98" spans="2:90" x14ac:dyDescent="0.25">
      <c r="B98" s="16">
        <f>(C97+('Vacas e Bezerros'!$O$29-(C97*0.64))/0.8)/1000</f>
        <v>1.1219974776113528</v>
      </c>
      <c r="C98" s="17">
        <f>-53.07 + (304.89 * (B98)) + (90.79 *'Vacas e Bezerros'!$O$23) - (3.13 * 'Vacas e Bezerros'!$O$23*'Vacas e Bezerros'!$O$23)</f>
        <v>715.77733851110622</v>
      </c>
      <c r="E98" s="16" t="e">
        <f>(F97+(Crescimento!#REF!-(F97*0.64))/0.8)/1000</f>
        <v>#REF!</v>
      </c>
      <c r="F98" s="17" t="e">
        <f>-53.07 + (304.89 * (E98)) + (90.79 *Crescimento!#REF!) - (3.13 * Crescimento!#REF!*Crescimento!#REF!)</f>
        <v>#REF!</v>
      </c>
      <c r="G98" s="1"/>
      <c r="H98" s="16" t="e">
        <f>(I97+(Crescimento!#REF!-(I97*0.64))/0.8)/1000</f>
        <v>#REF!</v>
      </c>
      <c r="I98" s="17" t="e">
        <f>-53.07 + (304.89 * (H98)) + (90.79 *Crescimento!#REF!) - (3.13 * Crescimento!#REF!*Crescimento!#REF!)</f>
        <v>#REF!</v>
      </c>
      <c r="K98" s="16" t="e">
        <f>(L97+(Crescimento!#REF!-(L97*0.64))/0.8)/1000</f>
        <v>#REF!</v>
      </c>
      <c r="L98" s="17" t="e">
        <f>-53.07 + (304.89 * (K98)) + (90.79 *Crescimento!#REF!) - (3.13 * Crescimento!#REF!*Crescimento!#REF!)</f>
        <v>#REF!</v>
      </c>
      <c r="N98" s="16" t="e">
        <f>(O97+(Crescimento!#REF!-(O97*0.64))/0.8)/1000</f>
        <v>#REF!</v>
      </c>
      <c r="O98" s="17" t="e">
        <f>-53.07 + (304.89 * (N98)) + (90.79 *Crescimento!#REF!) - (3.13 * Crescimento!#REF!*Crescimento!#REF!)</f>
        <v>#REF!</v>
      </c>
      <c r="Q98" s="16" t="e">
        <f>(R97+(Crescimento!#REF!-(R97*0.64))/0.8)/1000</f>
        <v>#REF!</v>
      </c>
      <c r="R98" s="17" t="e">
        <f>-53.07 + (304.89 * (Q98)) + (90.79 *Crescimento!#REF!) - (3.13 * Crescimento!#REF!*Crescimento!#REF!)</f>
        <v>#REF!</v>
      </c>
      <c r="T98" s="16" t="e">
        <f>(U97+(Crescimento!#REF!-(U97*0.64))/0.8)/1000</f>
        <v>#REF!</v>
      </c>
      <c r="U98" s="17" t="e">
        <f>-53.07 + (304.89 * (T98)) + (90.79 *Crescimento!#REF!) - (3.13 * Crescimento!#REF!*Crescimento!#REF!)</f>
        <v>#REF!</v>
      </c>
      <c r="W98" s="16" t="e">
        <f>(X97+(Crescimento!#REF!-(X97*0.64))/0.8)/1000</f>
        <v>#REF!</v>
      </c>
      <c r="X98" s="17" t="e">
        <f>-53.07 + (304.89 * (W98)) + (90.79 *Crescimento!#REF!) - (3.13 * Crescimento!#REF!*Crescimento!#REF!)</f>
        <v>#REF!</v>
      </c>
      <c r="Y98" s="6"/>
      <c r="Z98" s="16" t="e">
        <f>(AA97+(Crescimento!#REF!-(AA97*0.64))/0.8)/1000</f>
        <v>#REF!</v>
      </c>
      <c r="AA98" s="17" t="e">
        <f>-53.07 + (304.89 * (Z98)) + (90.79 *Crescimento!#REF!) - (3.13 * Crescimento!#REF!*Crescimento!#REF!)</f>
        <v>#REF!</v>
      </c>
      <c r="AB98" s="6"/>
      <c r="AC98" s="16" t="e">
        <f>(AD97+(Crescimento!#REF!-(AD97*0.64))/0.8)/1000</f>
        <v>#REF!</v>
      </c>
      <c r="AD98" s="17" t="e">
        <f>-53.07 + (304.89 * (AC98)) + (90.79 *Crescimento!#REF!) - (3.13 * Crescimento!#REF!*Crescimento!#REF!)</f>
        <v>#REF!</v>
      </c>
      <c r="AE98" s="17"/>
      <c r="AF98" s="16" t="e">
        <f>(AG97+(Crescimento!#REF!-(AG97*0.64))/0.8)/1000</f>
        <v>#REF!</v>
      </c>
      <c r="AG98" s="17" t="e">
        <f>-53.07 + (304.89 * (AF98)) + (90.79 *Crescimento!#REF!) - (3.13 * Crescimento!#REF!*Crescimento!#REF!)</f>
        <v>#REF!</v>
      </c>
      <c r="AI98" s="16" t="e">
        <f>(AJ97+(Crescimento!#REF!-(AJ97*0.64))/0.8)/1000</f>
        <v>#REF!</v>
      </c>
      <c r="AJ98" s="17" t="e">
        <f>-53.07 + (304.89 * (AI98)) + (90.79 *Crescimento!#REF!) - (3.13 * Crescimento!#REF!*Crescimento!#REF!)</f>
        <v>#REF!</v>
      </c>
      <c r="AL98" s="16" t="e">
        <f>(AM97+(Crescimento!#REF!-(AM97*0.64))/0.8)/1000</f>
        <v>#REF!</v>
      </c>
      <c r="AM98" s="17" t="e">
        <f>-53.07 + (304.89 * (AL98)) + (90.79 *Crescimento!#REF!) - (3.13 * Crescimento!#REF!*Crescimento!#REF!)</f>
        <v>#REF!</v>
      </c>
      <c r="AO98" s="16" t="e">
        <f>(AP97+(Crescimento!#REF!-(AP97*0.64))/0.8)/1000</f>
        <v>#REF!</v>
      </c>
      <c r="AP98" s="17" t="e">
        <f>-53.07 + (304.89 * (AO98)) + (90.79 *Crescimento!#REF!) - (3.13 * Crescimento!#REF!*Crescimento!#REF!)</f>
        <v>#REF!</v>
      </c>
      <c r="AR98" s="16" t="e">
        <f>(AS97+(Crescimento!#REF!-(AS97*0.64))/0.8)/1000</f>
        <v>#REF!</v>
      </c>
      <c r="AS98" s="17" t="e">
        <f>-53.07 + (304.89 * (AR98)) + (90.79 *Crescimento!#REF!) - (3.13 * Crescimento!#REF!*Crescimento!#REF!)</f>
        <v>#REF!</v>
      </c>
      <c r="AU98" s="16" t="e">
        <f>(AV97+(Crescimento!#REF!-(AV97*0.64))/0.8)/1000</f>
        <v>#REF!</v>
      </c>
      <c r="AV98" s="17" t="e">
        <f>-53.07 + (304.89 * (AU98)) + (90.79 *Crescimento!#REF!) - (3.13 * Crescimento!#REF!*Crescimento!#REF!)</f>
        <v>#REF!</v>
      </c>
      <c r="AX98" s="16" t="e">
        <f>(AY97+(Crescimento!#REF!-(AY97*0.64))/0.8)/1000</f>
        <v>#REF!</v>
      </c>
      <c r="AY98" s="17" t="e">
        <f>-53.07 + (304.89 * (AX98)) + (90.79 *Crescimento!#REF!) - (3.13 * Crescimento!#REF!*Crescimento!#REF!)</f>
        <v>#REF!</v>
      </c>
      <c r="BA98" s="16" t="e">
        <f>(BB97+(Crescimento!#REF!-(BB97*0.64))/0.8)/1000</f>
        <v>#REF!</v>
      </c>
      <c r="BB98" s="17" t="e">
        <f>-53.07 + (304.89 * (BA98)) + (90.79 *Crescimento!#REF!) - (3.13 * Crescimento!#REF!*Crescimento!#REF!)</f>
        <v>#REF!</v>
      </c>
      <c r="BD98" s="16" t="e">
        <f>(BE97+(Crescimento!#REF!-(BE97*0.64))/0.8)/1000</f>
        <v>#REF!</v>
      </c>
      <c r="BE98" s="17" t="e">
        <f>-53.07 + (304.89 * (BD98)) + (90.79 *Crescimento!#REF!) - (3.13 * Crescimento!#REF!*Crescimento!#REF!)</f>
        <v>#REF!</v>
      </c>
      <c r="BG98" s="16" t="e">
        <f>(BH97+(Crescimento!#REF!-(BH97*0.64))/0.8)/1000</f>
        <v>#REF!</v>
      </c>
      <c r="BH98" s="17" t="e">
        <f>-53.07 + (304.89 * (BG98)) + (90.79 *Crescimento!#REF!) - (3.13 * Crescimento!#REF!*Crescimento!#REF!)</f>
        <v>#REF!</v>
      </c>
      <c r="BJ98" s="16" t="e">
        <f>(BK97+(Crescimento!#REF!-(BK97*0.64))/0.8)/1000</f>
        <v>#REF!</v>
      </c>
      <c r="BK98" s="17" t="e">
        <f>-53.07 + (304.89 * (BJ98)) + (90.79 *Crescimento!#REF!) - (3.13 * Crescimento!#REF!*Crescimento!#REF!)</f>
        <v>#REF!</v>
      </c>
      <c r="BM98" s="16" t="e">
        <f>(BN97+(Crescimento!#REF!-(BN97*0.64))/0.8)/1000</f>
        <v>#REF!</v>
      </c>
      <c r="BN98" s="17" t="e">
        <f>-53.07 + (304.89 * (BM98)) + (90.79 *Crescimento!#REF!) - (3.13 * Crescimento!#REF!*Crescimento!#REF!)</f>
        <v>#REF!</v>
      </c>
      <c r="BP98" s="16" t="e">
        <f>(BQ97+(Crescimento!#REF!-(BQ97*0.64))/0.8)/1000</f>
        <v>#REF!</v>
      </c>
      <c r="BQ98" s="17" t="e">
        <f>-53.07 + (304.89 * (BP98)) + (90.79 *Crescimento!#REF!) - (3.13 * Crescimento!#REF!*Crescimento!#REF!)</f>
        <v>#REF!</v>
      </c>
      <c r="BS98" s="16" t="e">
        <f>(BT97+(Crescimento!#REF!-(BT97*0.64))/0.8)/1000</f>
        <v>#REF!</v>
      </c>
      <c r="BT98" s="17" t="e">
        <f>-53.07 + (304.89 * (BS98)) + (90.79 *Crescimento!#REF!) - (3.13 * Crescimento!#REF!*Crescimento!#REF!)</f>
        <v>#REF!</v>
      </c>
      <c r="BV98" s="16" t="e">
        <f>(BW97+(Crescimento!#REF!-(BW97*0.64))/0.8)/1000</f>
        <v>#REF!</v>
      </c>
      <c r="BW98" s="17" t="e">
        <f>-53.07 + (304.89 * (BV98)) + (90.79 *Crescimento!#REF!) - (3.13 * Crescimento!#REF!*Crescimento!#REF!)</f>
        <v>#REF!</v>
      </c>
      <c r="BY98" s="16" t="e">
        <f>(BZ97+(Crescimento!#REF!-(BZ97*0.64))/0.8)/1000</f>
        <v>#REF!</v>
      </c>
      <c r="BZ98" s="17" t="e">
        <f>-53.07 + (304.89 * (BY98)) + (90.79 *Crescimento!#REF!) - (3.13 * Crescimento!#REF!*Crescimento!#REF!)</f>
        <v>#REF!</v>
      </c>
      <c r="CB98" s="16" t="e">
        <f>(CC97+(Crescimento!#REF!-(CC97*0.64))/0.8)/1000</f>
        <v>#REF!</v>
      </c>
      <c r="CC98" s="17" t="e">
        <f>-53.07 + (304.89 * (CB98)) + (90.79 *Crescimento!#REF!) - (3.13 * Crescimento!#REF!*Crescimento!#REF!)</f>
        <v>#REF!</v>
      </c>
      <c r="CE98" s="16" t="e">
        <f>(CF97+(Crescimento!#REF!-(CF97*0.64))/0.8)/1000</f>
        <v>#REF!</v>
      </c>
      <c r="CF98" s="17" t="e">
        <f>-53.07 + (304.89 * (CE98)) + (90.79 *Crescimento!#REF!) - (3.13 * Crescimento!#REF!*Crescimento!#REF!)</f>
        <v>#REF!</v>
      </c>
      <c r="CH98" s="16" t="e">
        <f>(CI97+(Crescimento!#REF!-(CI97*0.64))/0.8)/1000</f>
        <v>#REF!</v>
      </c>
      <c r="CI98" s="17" t="e">
        <f>-53.07 + (304.89 * (CH98)) + (90.79 *Crescimento!#REF!) - (3.13 * Crescimento!#REF!*Crescimento!#REF!)</f>
        <v>#REF!</v>
      </c>
      <c r="CK98" s="16" t="e">
        <f>(CL97+(Crescimento!#REF!-(CL97*0.64))/0.8)/1000</f>
        <v>#REF!</v>
      </c>
      <c r="CL98" s="17" t="e">
        <f>-53.07 + (304.89 * (CK98)) + (90.79 *Crescimento!#REF!) - (3.13 * Crescimento!#REF!*Crescimento!#REF!)</f>
        <v>#REF!</v>
      </c>
    </row>
    <row r="99" spans="2:90" x14ac:dyDescent="0.25">
      <c r="B99" s="16">
        <f>(C98+('Vacas e Bezerros'!$O$29-(C98*0.64))/0.8)/1000</f>
        <v>1.1219974776113528</v>
      </c>
      <c r="C99" s="17">
        <f>-53.07 + (304.89 * (B99)) + (90.79 *'Vacas e Bezerros'!$O$23) - (3.13 * 'Vacas e Bezerros'!$O$23*'Vacas e Bezerros'!$O$23)</f>
        <v>715.77733851110622</v>
      </c>
      <c r="E99" s="16" t="e">
        <f>(F98+(Crescimento!#REF!-(F98*0.64))/0.8)/1000</f>
        <v>#REF!</v>
      </c>
      <c r="F99" s="17" t="e">
        <f>-53.07 + (304.89 * (E99)) + (90.79 *Crescimento!#REF!) - (3.13 * Crescimento!#REF!*Crescimento!#REF!)</f>
        <v>#REF!</v>
      </c>
      <c r="G99" s="1"/>
      <c r="H99" s="16" t="e">
        <f>(I98+(Crescimento!#REF!-(I98*0.64))/0.8)/1000</f>
        <v>#REF!</v>
      </c>
      <c r="I99" s="17" t="e">
        <f>-53.07 + (304.89 * (H99)) + (90.79 *Crescimento!#REF!) - (3.13 * Crescimento!#REF!*Crescimento!#REF!)</f>
        <v>#REF!</v>
      </c>
      <c r="K99" s="16" t="e">
        <f>(L98+(Crescimento!#REF!-(L98*0.64))/0.8)/1000</f>
        <v>#REF!</v>
      </c>
      <c r="L99" s="17" t="e">
        <f>-53.07 + (304.89 * (K99)) + (90.79 *Crescimento!#REF!) - (3.13 * Crescimento!#REF!*Crescimento!#REF!)</f>
        <v>#REF!</v>
      </c>
      <c r="N99" s="16" t="e">
        <f>(O98+(Crescimento!#REF!-(O98*0.64))/0.8)/1000</f>
        <v>#REF!</v>
      </c>
      <c r="O99" s="17" t="e">
        <f>-53.07 + (304.89 * (N99)) + (90.79 *Crescimento!#REF!) - (3.13 * Crescimento!#REF!*Crescimento!#REF!)</f>
        <v>#REF!</v>
      </c>
      <c r="Q99" s="16" t="e">
        <f>(R98+(Crescimento!#REF!-(R98*0.64))/0.8)/1000</f>
        <v>#REF!</v>
      </c>
      <c r="R99" s="17" t="e">
        <f>-53.07 + (304.89 * (Q99)) + (90.79 *Crescimento!#REF!) - (3.13 * Crescimento!#REF!*Crescimento!#REF!)</f>
        <v>#REF!</v>
      </c>
      <c r="T99" s="16" t="e">
        <f>(U98+(Crescimento!#REF!-(U98*0.64))/0.8)/1000</f>
        <v>#REF!</v>
      </c>
      <c r="U99" s="17" t="e">
        <f>-53.07 + (304.89 * (T99)) + (90.79 *Crescimento!#REF!) - (3.13 * Crescimento!#REF!*Crescimento!#REF!)</f>
        <v>#REF!</v>
      </c>
      <c r="W99" s="16" t="e">
        <f>(X98+(Crescimento!#REF!-(X98*0.64))/0.8)/1000</f>
        <v>#REF!</v>
      </c>
      <c r="X99" s="17" t="e">
        <f>-53.07 + (304.89 * (W99)) + (90.79 *Crescimento!#REF!) - (3.13 * Crescimento!#REF!*Crescimento!#REF!)</f>
        <v>#REF!</v>
      </c>
      <c r="Y99" s="6"/>
      <c r="Z99" s="16" t="e">
        <f>(AA98+(Crescimento!#REF!-(AA98*0.64))/0.8)/1000</f>
        <v>#REF!</v>
      </c>
      <c r="AA99" s="17" t="e">
        <f>-53.07 + (304.89 * (Z99)) + (90.79 *Crescimento!#REF!) - (3.13 * Crescimento!#REF!*Crescimento!#REF!)</f>
        <v>#REF!</v>
      </c>
      <c r="AB99" s="6"/>
      <c r="AC99" s="16" t="e">
        <f>(AD98+(Crescimento!#REF!-(AD98*0.64))/0.8)/1000</f>
        <v>#REF!</v>
      </c>
      <c r="AD99" s="17" t="e">
        <f>-53.07 + (304.89 * (AC99)) + (90.79 *Crescimento!#REF!) - (3.13 * Crescimento!#REF!*Crescimento!#REF!)</f>
        <v>#REF!</v>
      </c>
      <c r="AE99" s="17"/>
      <c r="AF99" s="16" t="e">
        <f>(AG98+(Crescimento!#REF!-(AG98*0.64))/0.8)/1000</f>
        <v>#REF!</v>
      </c>
      <c r="AG99" s="17" t="e">
        <f>-53.07 + (304.89 * (AF99)) + (90.79 *Crescimento!#REF!) - (3.13 * Crescimento!#REF!*Crescimento!#REF!)</f>
        <v>#REF!</v>
      </c>
      <c r="AI99" s="16" t="e">
        <f>(AJ98+(Crescimento!#REF!-(AJ98*0.64))/0.8)/1000</f>
        <v>#REF!</v>
      </c>
      <c r="AJ99" s="17" t="e">
        <f>-53.07 + (304.89 * (AI99)) + (90.79 *Crescimento!#REF!) - (3.13 * Crescimento!#REF!*Crescimento!#REF!)</f>
        <v>#REF!</v>
      </c>
      <c r="AL99" s="16" t="e">
        <f>(AM98+(Crescimento!#REF!-(AM98*0.64))/0.8)/1000</f>
        <v>#REF!</v>
      </c>
      <c r="AM99" s="17" t="e">
        <f>-53.07 + (304.89 * (AL99)) + (90.79 *Crescimento!#REF!) - (3.13 * Crescimento!#REF!*Crescimento!#REF!)</f>
        <v>#REF!</v>
      </c>
      <c r="AO99" s="16" t="e">
        <f>(AP98+(Crescimento!#REF!-(AP98*0.64))/0.8)/1000</f>
        <v>#REF!</v>
      </c>
      <c r="AP99" s="17" t="e">
        <f>-53.07 + (304.89 * (AO99)) + (90.79 *Crescimento!#REF!) - (3.13 * Crescimento!#REF!*Crescimento!#REF!)</f>
        <v>#REF!</v>
      </c>
      <c r="AR99" s="16" t="e">
        <f>(AS98+(Crescimento!#REF!-(AS98*0.64))/0.8)/1000</f>
        <v>#REF!</v>
      </c>
      <c r="AS99" s="17" t="e">
        <f>-53.07 + (304.89 * (AR99)) + (90.79 *Crescimento!#REF!) - (3.13 * Crescimento!#REF!*Crescimento!#REF!)</f>
        <v>#REF!</v>
      </c>
      <c r="AU99" s="16" t="e">
        <f>(AV98+(Crescimento!#REF!-(AV98*0.64))/0.8)/1000</f>
        <v>#REF!</v>
      </c>
      <c r="AV99" s="17" t="e">
        <f>-53.07 + (304.89 * (AU99)) + (90.79 *Crescimento!#REF!) - (3.13 * Crescimento!#REF!*Crescimento!#REF!)</f>
        <v>#REF!</v>
      </c>
      <c r="AX99" s="16" t="e">
        <f>(AY98+(Crescimento!#REF!-(AY98*0.64))/0.8)/1000</f>
        <v>#REF!</v>
      </c>
      <c r="AY99" s="17" t="e">
        <f>-53.07 + (304.89 * (AX99)) + (90.79 *Crescimento!#REF!) - (3.13 * Crescimento!#REF!*Crescimento!#REF!)</f>
        <v>#REF!</v>
      </c>
      <c r="BA99" s="16" t="e">
        <f>(BB98+(Crescimento!#REF!-(BB98*0.64))/0.8)/1000</f>
        <v>#REF!</v>
      </c>
      <c r="BB99" s="17" t="e">
        <f>-53.07 + (304.89 * (BA99)) + (90.79 *Crescimento!#REF!) - (3.13 * Crescimento!#REF!*Crescimento!#REF!)</f>
        <v>#REF!</v>
      </c>
      <c r="BD99" s="16" t="e">
        <f>(BE98+(Crescimento!#REF!-(BE98*0.64))/0.8)/1000</f>
        <v>#REF!</v>
      </c>
      <c r="BE99" s="17" t="e">
        <f>-53.07 + (304.89 * (BD99)) + (90.79 *Crescimento!#REF!) - (3.13 * Crescimento!#REF!*Crescimento!#REF!)</f>
        <v>#REF!</v>
      </c>
      <c r="BG99" s="16" t="e">
        <f>(BH98+(Crescimento!#REF!-(BH98*0.64))/0.8)/1000</f>
        <v>#REF!</v>
      </c>
      <c r="BH99" s="17" t="e">
        <f>-53.07 + (304.89 * (BG99)) + (90.79 *Crescimento!#REF!) - (3.13 * Crescimento!#REF!*Crescimento!#REF!)</f>
        <v>#REF!</v>
      </c>
      <c r="BJ99" s="16" t="e">
        <f>(BK98+(Crescimento!#REF!-(BK98*0.64))/0.8)/1000</f>
        <v>#REF!</v>
      </c>
      <c r="BK99" s="17" t="e">
        <f>-53.07 + (304.89 * (BJ99)) + (90.79 *Crescimento!#REF!) - (3.13 * Crescimento!#REF!*Crescimento!#REF!)</f>
        <v>#REF!</v>
      </c>
      <c r="BM99" s="16" t="e">
        <f>(BN98+(Crescimento!#REF!-(BN98*0.64))/0.8)/1000</f>
        <v>#REF!</v>
      </c>
      <c r="BN99" s="17" t="e">
        <f>-53.07 + (304.89 * (BM99)) + (90.79 *Crescimento!#REF!) - (3.13 * Crescimento!#REF!*Crescimento!#REF!)</f>
        <v>#REF!</v>
      </c>
      <c r="BP99" s="16" t="e">
        <f>(BQ98+(Crescimento!#REF!-(BQ98*0.64))/0.8)/1000</f>
        <v>#REF!</v>
      </c>
      <c r="BQ99" s="17" t="e">
        <f>-53.07 + (304.89 * (BP99)) + (90.79 *Crescimento!#REF!) - (3.13 * Crescimento!#REF!*Crescimento!#REF!)</f>
        <v>#REF!</v>
      </c>
      <c r="BS99" s="16" t="e">
        <f>(BT98+(Crescimento!#REF!-(BT98*0.64))/0.8)/1000</f>
        <v>#REF!</v>
      </c>
      <c r="BT99" s="17" t="e">
        <f>-53.07 + (304.89 * (BS99)) + (90.79 *Crescimento!#REF!) - (3.13 * Crescimento!#REF!*Crescimento!#REF!)</f>
        <v>#REF!</v>
      </c>
      <c r="BV99" s="16" t="e">
        <f>(BW98+(Crescimento!#REF!-(BW98*0.64))/0.8)/1000</f>
        <v>#REF!</v>
      </c>
      <c r="BW99" s="17" t="e">
        <f>-53.07 + (304.89 * (BV99)) + (90.79 *Crescimento!#REF!) - (3.13 * Crescimento!#REF!*Crescimento!#REF!)</f>
        <v>#REF!</v>
      </c>
      <c r="BY99" s="16" t="e">
        <f>(BZ98+(Crescimento!#REF!-(BZ98*0.64))/0.8)/1000</f>
        <v>#REF!</v>
      </c>
      <c r="BZ99" s="17" t="e">
        <f>-53.07 + (304.89 * (BY99)) + (90.79 *Crescimento!#REF!) - (3.13 * Crescimento!#REF!*Crescimento!#REF!)</f>
        <v>#REF!</v>
      </c>
      <c r="CB99" s="16" t="e">
        <f>(CC98+(Crescimento!#REF!-(CC98*0.64))/0.8)/1000</f>
        <v>#REF!</v>
      </c>
      <c r="CC99" s="17" t="e">
        <f>-53.07 + (304.89 * (CB99)) + (90.79 *Crescimento!#REF!) - (3.13 * Crescimento!#REF!*Crescimento!#REF!)</f>
        <v>#REF!</v>
      </c>
      <c r="CE99" s="16" t="e">
        <f>(CF98+(Crescimento!#REF!-(CF98*0.64))/0.8)/1000</f>
        <v>#REF!</v>
      </c>
      <c r="CF99" s="17" t="e">
        <f>-53.07 + (304.89 * (CE99)) + (90.79 *Crescimento!#REF!) - (3.13 * Crescimento!#REF!*Crescimento!#REF!)</f>
        <v>#REF!</v>
      </c>
      <c r="CH99" s="16" t="e">
        <f>(CI98+(Crescimento!#REF!-(CI98*0.64))/0.8)/1000</f>
        <v>#REF!</v>
      </c>
      <c r="CI99" s="17" t="e">
        <f>-53.07 + (304.89 * (CH99)) + (90.79 *Crescimento!#REF!) - (3.13 * Crescimento!#REF!*Crescimento!#REF!)</f>
        <v>#REF!</v>
      </c>
      <c r="CK99" s="16" t="e">
        <f>(CL98+(Crescimento!#REF!-(CL98*0.64))/0.8)/1000</f>
        <v>#REF!</v>
      </c>
      <c r="CL99" s="17" t="e">
        <f>-53.07 + (304.89 * (CK99)) + (90.79 *Crescimento!#REF!) - (3.13 * Crescimento!#REF!*Crescimento!#REF!)</f>
        <v>#REF!</v>
      </c>
    </row>
    <row r="100" spans="2:90" x14ac:dyDescent="0.25">
      <c r="B100" s="16">
        <f>(C99+('Vacas e Bezerros'!$O$29-(C99*0.64))/0.8)/1000</f>
        <v>1.1219974776113528</v>
      </c>
      <c r="C100" s="17">
        <f>-53.07 + (304.89 * (B100)) + (90.79 *'Vacas e Bezerros'!$O$23) - (3.13 * 'Vacas e Bezerros'!$O$23*'Vacas e Bezerros'!$O$23)</f>
        <v>715.77733851110622</v>
      </c>
      <c r="E100" s="16" t="e">
        <f>(F99+(Crescimento!#REF!-(F99*0.64))/0.8)/1000</f>
        <v>#REF!</v>
      </c>
      <c r="F100" s="17" t="e">
        <f>-53.07 + (304.89 * (E100)) + (90.79 *Crescimento!#REF!) - (3.13 * Crescimento!#REF!*Crescimento!#REF!)</f>
        <v>#REF!</v>
      </c>
      <c r="G100" s="1"/>
      <c r="H100" s="16" t="e">
        <f>(I99+(Crescimento!#REF!-(I99*0.64))/0.8)/1000</f>
        <v>#REF!</v>
      </c>
      <c r="I100" s="17" t="e">
        <f>-53.07 + (304.89 * (H100)) + (90.79 *Crescimento!#REF!) - (3.13 * Crescimento!#REF!*Crescimento!#REF!)</f>
        <v>#REF!</v>
      </c>
      <c r="K100" s="16" t="e">
        <f>(L99+(Crescimento!#REF!-(L99*0.64))/0.8)/1000</f>
        <v>#REF!</v>
      </c>
      <c r="L100" s="17" t="e">
        <f>-53.07 + (304.89 * (K100)) + (90.79 *Crescimento!#REF!) - (3.13 * Crescimento!#REF!*Crescimento!#REF!)</f>
        <v>#REF!</v>
      </c>
      <c r="N100" s="16" t="e">
        <f>(O99+(Crescimento!#REF!-(O99*0.64))/0.8)/1000</f>
        <v>#REF!</v>
      </c>
      <c r="O100" s="17" t="e">
        <f>-53.07 + (304.89 * (N100)) + (90.79 *Crescimento!#REF!) - (3.13 * Crescimento!#REF!*Crescimento!#REF!)</f>
        <v>#REF!</v>
      </c>
      <c r="Q100" s="16" t="e">
        <f>(R99+(Crescimento!#REF!-(R99*0.64))/0.8)/1000</f>
        <v>#REF!</v>
      </c>
      <c r="R100" s="17" t="e">
        <f>-53.07 + (304.89 * (Q100)) + (90.79 *Crescimento!#REF!) - (3.13 * Crescimento!#REF!*Crescimento!#REF!)</f>
        <v>#REF!</v>
      </c>
      <c r="T100" s="16" t="e">
        <f>(U99+(Crescimento!#REF!-(U99*0.64))/0.8)/1000</f>
        <v>#REF!</v>
      </c>
      <c r="U100" s="17" t="e">
        <f>-53.07 + (304.89 * (T100)) + (90.79 *Crescimento!#REF!) - (3.13 * Crescimento!#REF!*Crescimento!#REF!)</f>
        <v>#REF!</v>
      </c>
      <c r="W100" s="16" t="e">
        <f>(X99+(Crescimento!#REF!-(X99*0.64))/0.8)/1000</f>
        <v>#REF!</v>
      </c>
      <c r="X100" s="17" t="e">
        <f>-53.07 + (304.89 * (W100)) + (90.79 *Crescimento!#REF!) - (3.13 * Crescimento!#REF!*Crescimento!#REF!)</f>
        <v>#REF!</v>
      </c>
      <c r="Y100" s="6"/>
      <c r="Z100" s="16" t="e">
        <f>(AA99+(Crescimento!#REF!-(AA99*0.64))/0.8)/1000</f>
        <v>#REF!</v>
      </c>
      <c r="AA100" s="17" t="e">
        <f>-53.07 + (304.89 * (Z100)) + (90.79 *Crescimento!#REF!) - (3.13 * Crescimento!#REF!*Crescimento!#REF!)</f>
        <v>#REF!</v>
      </c>
      <c r="AB100" s="6"/>
      <c r="AC100" s="16" t="e">
        <f>(AD99+(Crescimento!#REF!-(AD99*0.64))/0.8)/1000</f>
        <v>#REF!</v>
      </c>
      <c r="AD100" s="17" t="e">
        <f>-53.07 + (304.89 * (AC100)) + (90.79 *Crescimento!#REF!) - (3.13 * Crescimento!#REF!*Crescimento!#REF!)</f>
        <v>#REF!</v>
      </c>
      <c r="AE100" s="17"/>
      <c r="AF100" s="16" t="e">
        <f>(AG99+(Crescimento!#REF!-(AG99*0.64))/0.8)/1000</f>
        <v>#REF!</v>
      </c>
      <c r="AG100" s="17" t="e">
        <f>-53.07 + (304.89 * (AF100)) + (90.79 *Crescimento!#REF!) - (3.13 * Crescimento!#REF!*Crescimento!#REF!)</f>
        <v>#REF!</v>
      </c>
      <c r="AI100" s="16" t="e">
        <f>(AJ99+(Crescimento!#REF!-(AJ99*0.64))/0.8)/1000</f>
        <v>#REF!</v>
      </c>
      <c r="AJ100" s="17" t="e">
        <f>-53.07 + (304.89 * (AI100)) + (90.79 *Crescimento!#REF!) - (3.13 * Crescimento!#REF!*Crescimento!#REF!)</f>
        <v>#REF!</v>
      </c>
      <c r="AL100" s="16" t="e">
        <f>(AM99+(Crescimento!#REF!-(AM99*0.64))/0.8)/1000</f>
        <v>#REF!</v>
      </c>
      <c r="AM100" s="17" t="e">
        <f>-53.07 + (304.89 * (AL100)) + (90.79 *Crescimento!#REF!) - (3.13 * Crescimento!#REF!*Crescimento!#REF!)</f>
        <v>#REF!</v>
      </c>
      <c r="AO100" s="16" t="e">
        <f>(AP99+(Crescimento!#REF!-(AP99*0.64))/0.8)/1000</f>
        <v>#REF!</v>
      </c>
      <c r="AP100" s="17" t="e">
        <f>-53.07 + (304.89 * (AO100)) + (90.79 *Crescimento!#REF!) - (3.13 * Crescimento!#REF!*Crescimento!#REF!)</f>
        <v>#REF!</v>
      </c>
      <c r="AR100" s="16" t="e">
        <f>(AS99+(Crescimento!#REF!-(AS99*0.64))/0.8)/1000</f>
        <v>#REF!</v>
      </c>
      <c r="AS100" s="17" t="e">
        <f>-53.07 + (304.89 * (AR100)) + (90.79 *Crescimento!#REF!) - (3.13 * Crescimento!#REF!*Crescimento!#REF!)</f>
        <v>#REF!</v>
      </c>
      <c r="AU100" s="16" t="e">
        <f>(AV99+(Crescimento!#REF!-(AV99*0.64))/0.8)/1000</f>
        <v>#REF!</v>
      </c>
      <c r="AV100" s="17" t="e">
        <f>-53.07 + (304.89 * (AU100)) + (90.79 *Crescimento!#REF!) - (3.13 * Crescimento!#REF!*Crescimento!#REF!)</f>
        <v>#REF!</v>
      </c>
      <c r="AX100" s="16" t="e">
        <f>(AY99+(Crescimento!#REF!-(AY99*0.64))/0.8)/1000</f>
        <v>#REF!</v>
      </c>
      <c r="AY100" s="17" t="e">
        <f>-53.07 + (304.89 * (AX100)) + (90.79 *Crescimento!#REF!) - (3.13 * Crescimento!#REF!*Crescimento!#REF!)</f>
        <v>#REF!</v>
      </c>
      <c r="BA100" s="16" t="e">
        <f>(BB99+(Crescimento!#REF!-(BB99*0.64))/0.8)/1000</f>
        <v>#REF!</v>
      </c>
      <c r="BB100" s="17" t="e">
        <f>-53.07 + (304.89 * (BA100)) + (90.79 *Crescimento!#REF!) - (3.13 * Crescimento!#REF!*Crescimento!#REF!)</f>
        <v>#REF!</v>
      </c>
      <c r="BD100" s="16" t="e">
        <f>(BE99+(Crescimento!#REF!-(BE99*0.64))/0.8)/1000</f>
        <v>#REF!</v>
      </c>
      <c r="BE100" s="17" t="e">
        <f>-53.07 + (304.89 * (BD100)) + (90.79 *Crescimento!#REF!) - (3.13 * Crescimento!#REF!*Crescimento!#REF!)</f>
        <v>#REF!</v>
      </c>
      <c r="BG100" s="16" t="e">
        <f>(BH99+(Crescimento!#REF!-(BH99*0.64))/0.8)/1000</f>
        <v>#REF!</v>
      </c>
      <c r="BH100" s="17" t="e">
        <f>-53.07 + (304.89 * (BG100)) + (90.79 *Crescimento!#REF!) - (3.13 * Crescimento!#REF!*Crescimento!#REF!)</f>
        <v>#REF!</v>
      </c>
      <c r="BJ100" s="16" t="e">
        <f>(BK99+(Crescimento!#REF!-(BK99*0.64))/0.8)/1000</f>
        <v>#REF!</v>
      </c>
      <c r="BK100" s="17" t="e">
        <f>-53.07 + (304.89 * (BJ100)) + (90.79 *Crescimento!#REF!) - (3.13 * Crescimento!#REF!*Crescimento!#REF!)</f>
        <v>#REF!</v>
      </c>
      <c r="BM100" s="16" t="e">
        <f>(BN99+(Crescimento!#REF!-(BN99*0.64))/0.8)/1000</f>
        <v>#REF!</v>
      </c>
      <c r="BN100" s="17" t="e">
        <f>-53.07 + (304.89 * (BM100)) + (90.79 *Crescimento!#REF!) - (3.13 * Crescimento!#REF!*Crescimento!#REF!)</f>
        <v>#REF!</v>
      </c>
      <c r="BP100" s="16" t="e">
        <f>(BQ99+(Crescimento!#REF!-(BQ99*0.64))/0.8)/1000</f>
        <v>#REF!</v>
      </c>
      <c r="BQ100" s="17" t="e">
        <f>-53.07 + (304.89 * (BP100)) + (90.79 *Crescimento!#REF!) - (3.13 * Crescimento!#REF!*Crescimento!#REF!)</f>
        <v>#REF!</v>
      </c>
      <c r="BS100" s="16" t="e">
        <f>(BT99+(Crescimento!#REF!-(BT99*0.64))/0.8)/1000</f>
        <v>#REF!</v>
      </c>
      <c r="BT100" s="17" t="e">
        <f>-53.07 + (304.89 * (BS100)) + (90.79 *Crescimento!#REF!) - (3.13 * Crescimento!#REF!*Crescimento!#REF!)</f>
        <v>#REF!</v>
      </c>
      <c r="BV100" s="16" t="e">
        <f>(BW99+(Crescimento!#REF!-(BW99*0.64))/0.8)/1000</f>
        <v>#REF!</v>
      </c>
      <c r="BW100" s="17" t="e">
        <f>-53.07 + (304.89 * (BV100)) + (90.79 *Crescimento!#REF!) - (3.13 * Crescimento!#REF!*Crescimento!#REF!)</f>
        <v>#REF!</v>
      </c>
      <c r="BY100" s="16" t="e">
        <f>(BZ99+(Crescimento!#REF!-(BZ99*0.64))/0.8)/1000</f>
        <v>#REF!</v>
      </c>
      <c r="BZ100" s="17" t="e">
        <f>-53.07 + (304.89 * (BY100)) + (90.79 *Crescimento!#REF!) - (3.13 * Crescimento!#REF!*Crescimento!#REF!)</f>
        <v>#REF!</v>
      </c>
      <c r="CB100" s="16" t="e">
        <f>(CC99+(Crescimento!#REF!-(CC99*0.64))/0.8)/1000</f>
        <v>#REF!</v>
      </c>
      <c r="CC100" s="17" t="e">
        <f>-53.07 + (304.89 * (CB100)) + (90.79 *Crescimento!#REF!) - (3.13 * Crescimento!#REF!*Crescimento!#REF!)</f>
        <v>#REF!</v>
      </c>
      <c r="CE100" s="16" t="e">
        <f>(CF99+(Crescimento!#REF!-(CF99*0.64))/0.8)/1000</f>
        <v>#REF!</v>
      </c>
      <c r="CF100" s="17" t="e">
        <f>-53.07 + (304.89 * (CE100)) + (90.79 *Crescimento!#REF!) - (3.13 * Crescimento!#REF!*Crescimento!#REF!)</f>
        <v>#REF!</v>
      </c>
      <c r="CH100" s="16" t="e">
        <f>(CI99+(Crescimento!#REF!-(CI99*0.64))/0.8)/1000</f>
        <v>#REF!</v>
      </c>
      <c r="CI100" s="17" t="e">
        <f>-53.07 + (304.89 * (CH100)) + (90.79 *Crescimento!#REF!) - (3.13 * Crescimento!#REF!*Crescimento!#REF!)</f>
        <v>#REF!</v>
      </c>
      <c r="CK100" s="16" t="e">
        <f>(CL99+(Crescimento!#REF!-(CL99*0.64))/0.8)/1000</f>
        <v>#REF!</v>
      </c>
      <c r="CL100" s="17" t="e">
        <f>-53.07 + (304.89 * (CK100)) + (90.79 *Crescimento!#REF!) - (3.13 * Crescimento!#REF!*Crescimento!#REF!)</f>
        <v>#REF!</v>
      </c>
    </row>
    <row r="101" spans="2:90" x14ac:dyDescent="0.25">
      <c r="B101" s="16">
        <f>(C100+('Vacas e Bezerros'!$O$29-(C100*0.64))/0.8)/1000</f>
        <v>1.1219974776113528</v>
      </c>
      <c r="C101" s="17">
        <f>-53.07 + (304.89 * (B101)) + (90.79 *'Vacas e Bezerros'!$O$23) - (3.13 * 'Vacas e Bezerros'!$O$23*'Vacas e Bezerros'!$O$23)</f>
        <v>715.77733851110622</v>
      </c>
      <c r="E101" s="16" t="e">
        <f>(F100+(Crescimento!#REF!-(F100*0.64))/0.8)/1000</f>
        <v>#REF!</v>
      </c>
      <c r="F101" s="17" t="e">
        <f>-53.07 + (304.89 * (E101)) + (90.79 *Crescimento!#REF!) - (3.13 * Crescimento!#REF!*Crescimento!#REF!)</f>
        <v>#REF!</v>
      </c>
      <c r="G101" s="1"/>
      <c r="H101" s="16" t="e">
        <f>(I100+(Crescimento!#REF!-(I100*0.64))/0.8)/1000</f>
        <v>#REF!</v>
      </c>
      <c r="I101" s="17" t="e">
        <f>-53.07 + (304.89 * (H101)) + (90.79 *Crescimento!#REF!) - (3.13 * Crescimento!#REF!*Crescimento!#REF!)</f>
        <v>#REF!</v>
      </c>
      <c r="K101" s="16" t="e">
        <f>(L100+(Crescimento!#REF!-(L100*0.64))/0.8)/1000</f>
        <v>#REF!</v>
      </c>
      <c r="L101" s="17" t="e">
        <f>-53.07 + (304.89 * (K101)) + (90.79 *Crescimento!#REF!) - (3.13 * Crescimento!#REF!*Crescimento!#REF!)</f>
        <v>#REF!</v>
      </c>
      <c r="N101" s="16" t="e">
        <f>(O100+(Crescimento!#REF!-(O100*0.64))/0.8)/1000</f>
        <v>#REF!</v>
      </c>
      <c r="O101" s="17" t="e">
        <f>-53.07 + (304.89 * (N101)) + (90.79 *Crescimento!#REF!) - (3.13 * Crescimento!#REF!*Crescimento!#REF!)</f>
        <v>#REF!</v>
      </c>
      <c r="Q101" s="16" t="e">
        <f>(R100+(Crescimento!#REF!-(R100*0.64))/0.8)/1000</f>
        <v>#REF!</v>
      </c>
      <c r="R101" s="17" t="e">
        <f>-53.07 + (304.89 * (Q101)) + (90.79 *Crescimento!#REF!) - (3.13 * Crescimento!#REF!*Crescimento!#REF!)</f>
        <v>#REF!</v>
      </c>
      <c r="T101" s="16" t="e">
        <f>(U100+(Crescimento!#REF!-(U100*0.64))/0.8)/1000</f>
        <v>#REF!</v>
      </c>
      <c r="U101" s="17" t="e">
        <f>-53.07 + (304.89 * (T101)) + (90.79 *Crescimento!#REF!) - (3.13 * Crescimento!#REF!*Crescimento!#REF!)</f>
        <v>#REF!</v>
      </c>
      <c r="W101" s="16" t="e">
        <f>(X100+(Crescimento!#REF!-(X100*0.64))/0.8)/1000</f>
        <v>#REF!</v>
      </c>
      <c r="X101" s="17" t="e">
        <f>-53.07 + (304.89 * (W101)) + (90.79 *Crescimento!#REF!) - (3.13 * Crescimento!#REF!*Crescimento!#REF!)</f>
        <v>#REF!</v>
      </c>
      <c r="Y101" s="6"/>
      <c r="Z101" s="16" t="e">
        <f>(AA100+(Crescimento!#REF!-(AA100*0.64))/0.8)/1000</f>
        <v>#REF!</v>
      </c>
      <c r="AA101" s="17" t="e">
        <f>-53.07 + (304.89 * (Z101)) + (90.79 *Crescimento!#REF!) - (3.13 * Crescimento!#REF!*Crescimento!#REF!)</f>
        <v>#REF!</v>
      </c>
      <c r="AB101" s="6"/>
      <c r="AC101" s="16" t="e">
        <f>(AD100+(Crescimento!#REF!-(AD100*0.64))/0.8)/1000</f>
        <v>#REF!</v>
      </c>
      <c r="AD101" s="17" t="e">
        <f>-53.07 + (304.89 * (AC101)) + (90.79 *Crescimento!#REF!) - (3.13 * Crescimento!#REF!*Crescimento!#REF!)</f>
        <v>#REF!</v>
      </c>
      <c r="AE101" s="17"/>
      <c r="AF101" s="16" t="e">
        <f>(AG100+(Crescimento!#REF!-(AG100*0.64))/0.8)/1000</f>
        <v>#REF!</v>
      </c>
      <c r="AG101" s="17" t="e">
        <f>-53.07 + (304.89 * (AF101)) + (90.79 *Crescimento!#REF!) - (3.13 * Crescimento!#REF!*Crescimento!#REF!)</f>
        <v>#REF!</v>
      </c>
      <c r="AI101" s="16" t="e">
        <f>(AJ100+(Crescimento!#REF!-(AJ100*0.64))/0.8)/1000</f>
        <v>#REF!</v>
      </c>
      <c r="AJ101" s="17" t="e">
        <f>-53.07 + (304.89 * (AI101)) + (90.79 *Crescimento!#REF!) - (3.13 * Crescimento!#REF!*Crescimento!#REF!)</f>
        <v>#REF!</v>
      </c>
      <c r="AL101" s="16" t="e">
        <f>(AM100+(Crescimento!#REF!-(AM100*0.64))/0.8)/1000</f>
        <v>#REF!</v>
      </c>
      <c r="AM101" s="17" t="e">
        <f>-53.07 + (304.89 * (AL101)) + (90.79 *Crescimento!#REF!) - (3.13 * Crescimento!#REF!*Crescimento!#REF!)</f>
        <v>#REF!</v>
      </c>
      <c r="AO101" s="16" t="e">
        <f>(AP100+(Crescimento!#REF!-(AP100*0.64))/0.8)/1000</f>
        <v>#REF!</v>
      </c>
      <c r="AP101" s="17" t="e">
        <f>-53.07 + (304.89 * (AO101)) + (90.79 *Crescimento!#REF!) - (3.13 * Crescimento!#REF!*Crescimento!#REF!)</f>
        <v>#REF!</v>
      </c>
      <c r="AR101" s="16" t="e">
        <f>(AS100+(Crescimento!#REF!-(AS100*0.64))/0.8)/1000</f>
        <v>#REF!</v>
      </c>
      <c r="AS101" s="17" t="e">
        <f>-53.07 + (304.89 * (AR101)) + (90.79 *Crescimento!#REF!) - (3.13 * Crescimento!#REF!*Crescimento!#REF!)</f>
        <v>#REF!</v>
      </c>
      <c r="AU101" s="16" t="e">
        <f>(AV100+(Crescimento!#REF!-(AV100*0.64))/0.8)/1000</f>
        <v>#REF!</v>
      </c>
      <c r="AV101" s="17" t="e">
        <f>-53.07 + (304.89 * (AU101)) + (90.79 *Crescimento!#REF!) - (3.13 * Crescimento!#REF!*Crescimento!#REF!)</f>
        <v>#REF!</v>
      </c>
      <c r="AX101" s="16" t="e">
        <f>(AY100+(Crescimento!#REF!-(AY100*0.64))/0.8)/1000</f>
        <v>#REF!</v>
      </c>
      <c r="AY101" s="17" t="e">
        <f>-53.07 + (304.89 * (AX101)) + (90.79 *Crescimento!#REF!) - (3.13 * Crescimento!#REF!*Crescimento!#REF!)</f>
        <v>#REF!</v>
      </c>
      <c r="BA101" s="16" t="e">
        <f>(BB100+(Crescimento!#REF!-(BB100*0.64))/0.8)/1000</f>
        <v>#REF!</v>
      </c>
      <c r="BB101" s="17" t="e">
        <f>-53.07 + (304.89 * (BA101)) + (90.79 *Crescimento!#REF!) - (3.13 * Crescimento!#REF!*Crescimento!#REF!)</f>
        <v>#REF!</v>
      </c>
      <c r="BD101" s="16" t="e">
        <f>(BE100+(Crescimento!#REF!-(BE100*0.64))/0.8)/1000</f>
        <v>#REF!</v>
      </c>
      <c r="BE101" s="17" t="e">
        <f>-53.07 + (304.89 * (BD101)) + (90.79 *Crescimento!#REF!) - (3.13 * Crescimento!#REF!*Crescimento!#REF!)</f>
        <v>#REF!</v>
      </c>
      <c r="BG101" s="16" t="e">
        <f>(BH100+(Crescimento!#REF!-(BH100*0.64))/0.8)/1000</f>
        <v>#REF!</v>
      </c>
      <c r="BH101" s="17" t="e">
        <f>-53.07 + (304.89 * (BG101)) + (90.79 *Crescimento!#REF!) - (3.13 * Crescimento!#REF!*Crescimento!#REF!)</f>
        <v>#REF!</v>
      </c>
      <c r="BJ101" s="16" t="e">
        <f>(BK100+(Crescimento!#REF!-(BK100*0.64))/0.8)/1000</f>
        <v>#REF!</v>
      </c>
      <c r="BK101" s="17" t="e">
        <f>-53.07 + (304.89 * (BJ101)) + (90.79 *Crescimento!#REF!) - (3.13 * Crescimento!#REF!*Crescimento!#REF!)</f>
        <v>#REF!</v>
      </c>
      <c r="BM101" s="16" t="e">
        <f>(BN100+(Crescimento!#REF!-(BN100*0.64))/0.8)/1000</f>
        <v>#REF!</v>
      </c>
      <c r="BN101" s="17" t="e">
        <f>-53.07 + (304.89 * (BM101)) + (90.79 *Crescimento!#REF!) - (3.13 * Crescimento!#REF!*Crescimento!#REF!)</f>
        <v>#REF!</v>
      </c>
      <c r="BP101" s="16" t="e">
        <f>(BQ100+(Crescimento!#REF!-(BQ100*0.64))/0.8)/1000</f>
        <v>#REF!</v>
      </c>
      <c r="BQ101" s="17" t="e">
        <f>-53.07 + (304.89 * (BP101)) + (90.79 *Crescimento!#REF!) - (3.13 * Crescimento!#REF!*Crescimento!#REF!)</f>
        <v>#REF!</v>
      </c>
      <c r="BS101" s="16" t="e">
        <f>(BT100+(Crescimento!#REF!-(BT100*0.64))/0.8)/1000</f>
        <v>#REF!</v>
      </c>
      <c r="BT101" s="17" t="e">
        <f>-53.07 + (304.89 * (BS101)) + (90.79 *Crescimento!#REF!) - (3.13 * Crescimento!#REF!*Crescimento!#REF!)</f>
        <v>#REF!</v>
      </c>
      <c r="BV101" s="16" t="e">
        <f>(BW100+(Crescimento!#REF!-(BW100*0.64))/0.8)/1000</f>
        <v>#REF!</v>
      </c>
      <c r="BW101" s="17" t="e">
        <f>-53.07 + (304.89 * (BV101)) + (90.79 *Crescimento!#REF!) - (3.13 * Crescimento!#REF!*Crescimento!#REF!)</f>
        <v>#REF!</v>
      </c>
      <c r="BY101" s="16" t="e">
        <f>(BZ100+(Crescimento!#REF!-(BZ100*0.64))/0.8)/1000</f>
        <v>#REF!</v>
      </c>
      <c r="BZ101" s="17" t="e">
        <f>-53.07 + (304.89 * (BY101)) + (90.79 *Crescimento!#REF!) - (3.13 * Crescimento!#REF!*Crescimento!#REF!)</f>
        <v>#REF!</v>
      </c>
      <c r="CB101" s="16" t="e">
        <f>(CC100+(Crescimento!#REF!-(CC100*0.64))/0.8)/1000</f>
        <v>#REF!</v>
      </c>
      <c r="CC101" s="17" t="e">
        <f>-53.07 + (304.89 * (CB101)) + (90.79 *Crescimento!#REF!) - (3.13 * Crescimento!#REF!*Crescimento!#REF!)</f>
        <v>#REF!</v>
      </c>
      <c r="CE101" s="16" t="e">
        <f>(CF100+(Crescimento!#REF!-(CF100*0.64))/0.8)/1000</f>
        <v>#REF!</v>
      </c>
      <c r="CF101" s="17" t="e">
        <f>-53.07 + (304.89 * (CE101)) + (90.79 *Crescimento!#REF!) - (3.13 * Crescimento!#REF!*Crescimento!#REF!)</f>
        <v>#REF!</v>
      </c>
      <c r="CH101" s="16" t="e">
        <f>(CI100+(Crescimento!#REF!-(CI100*0.64))/0.8)/1000</f>
        <v>#REF!</v>
      </c>
      <c r="CI101" s="17" t="e">
        <f>-53.07 + (304.89 * (CH101)) + (90.79 *Crescimento!#REF!) - (3.13 * Crescimento!#REF!*Crescimento!#REF!)</f>
        <v>#REF!</v>
      </c>
      <c r="CK101" s="16" t="e">
        <f>(CL100+(Crescimento!#REF!-(CL100*0.64))/0.8)/1000</f>
        <v>#REF!</v>
      </c>
      <c r="CL101" s="17" t="e">
        <f>-53.07 + (304.89 * (CK101)) + (90.79 *Crescimento!#REF!) - (3.13 * Crescimento!#REF!*Crescimento!#REF!)</f>
        <v>#REF!</v>
      </c>
    </row>
    <row r="102" spans="2:90" x14ac:dyDescent="0.25">
      <c r="B102" s="16">
        <f>(C101+('Vacas e Bezerros'!$O$29-(C101*0.64))/0.8)/1000</f>
        <v>1.1219974776113528</v>
      </c>
      <c r="C102" s="17">
        <f>-53.07 + (304.89 * (B102)) + (90.79 *'Vacas e Bezerros'!$O$23) - (3.13 * 'Vacas e Bezerros'!$O$23*'Vacas e Bezerros'!$O$23)</f>
        <v>715.77733851110622</v>
      </c>
      <c r="E102" s="16" t="e">
        <f>(F101+(Crescimento!#REF!-(F101*0.64))/0.8)/1000</f>
        <v>#REF!</v>
      </c>
      <c r="F102" s="17" t="e">
        <f>-53.07 + (304.89 * (E102)) + (90.79 *Crescimento!#REF!) - (3.13 * Crescimento!#REF!*Crescimento!#REF!)</f>
        <v>#REF!</v>
      </c>
      <c r="G102" s="1"/>
      <c r="H102" s="16" t="e">
        <f>(I101+(Crescimento!#REF!-(I101*0.64))/0.8)/1000</f>
        <v>#REF!</v>
      </c>
      <c r="I102" s="17" t="e">
        <f>-53.07 + (304.89 * (H102)) + (90.79 *Crescimento!#REF!) - (3.13 * Crescimento!#REF!*Crescimento!#REF!)</f>
        <v>#REF!</v>
      </c>
      <c r="K102" s="16" t="e">
        <f>(L101+(Crescimento!#REF!-(L101*0.64))/0.8)/1000</f>
        <v>#REF!</v>
      </c>
      <c r="L102" s="17" t="e">
        <f>-53.07 + (304.89 * (K102)) + (90.79 *Crescimento!#REF!) - (3.13 * Crescimento!#REF!*Crescimento!#REF!)</f>
        <v>#REF!</v>
      </c>
      <c r="N102" s="16" t="e">
        <f>(O101+(Crescimento!#REF!-(O101*0.64))/0.8)/1000</f>
        <v>#REF!</v>
      </c>
      <c r="O102" s="17" t="e">
        <f>-53.07 + (304.89 * (N102)) + (90.79 *Crescimento!#REF!) - (3.13 * Crescimento!#REF!*Crescimento!#REF!)</f>
        <v>#REF!</v>
      </c>
      <c r="Q102" s="16" t="e">
        <f>(R101+(Crescimento!#REF!-(R101*0.64))/0.8)/1000</f>
        <v>#REF!</v>
      </c>
      <c r="R102" s="17" t="e">
        <f>-53.07 + (304.89 * (Q102)) + (90.79 *Crescimento!#REF!) - (3.13 * Crescimento!#REF!*Crescimento!#REF!)</f>
        <v>#REF!</v>
      </c>
      <c r="T102" s="16" t="e">
        <f>(U101+(Crescimento!#REF!-(U101*0.64))/0.8)/1000</f>
        <v>#REF!</v>
      </c>
      <c r="U102" s="17" t="e">
        <f>-53.07 + (304.89 * (T102)) + (90.79 *Crescimento!#REF!) - (3.13 * Crescimento!#REF!*Crescimento!#REF!)</f>
        <v>#REF!</v>
      </c>
      <c r="W102" s="16" t="e">
        <f>(X101+(Crescimento!#REF!-(X101*0.64))/0.8)/1000</f>
        <v>#REF!</v>
      </c>
      <c r="X102" s="17" t="e">
        <f>-53.07 + (304.89 * (W102)) + (90.79 *Crescimento!#REF!) - (3.13 * Crescimento!#REF!*Crescimento!#REF!)</f>
        <v>#REF!</v>
      </c>
      <c r="Y102" s="6"/>
      <c r="Z102" s="16" t="e">
        <f>(AA101+(Crescimento!#REF!-(AA101*0.64))/0.8)/1000</f>
        <v>#REF!</v>
      </c>
      <c r="AA102" s="17" t="e">
        <f>-53.07 + (304.89 * (Z102)) + (90.79 *Crescimento!#REF!) - (3.13 * Crescimento!#REF!*Crescimento!#REF!)</f>
        <v>#REF!</v>
      </c>
      <c r="AB102" s="6"/>
      <c r="AC102" s="16" t="e">
        <f>(AD101+(Crescimento!#REF!-(AD101*0.64))/0.8)/1000</f>
        <v>#REF!</v>
      </c>
      <c r="AD102" s="17" t="e">
        <f>-53.07 + (304.89 * (AC102)) + (90.79 *Crescimento!#REF!) - (3.13 * Crescimento!#REF!*Crescimento!#REF!)</f>
        <v>#REF!</v>
      </c>
      <c r="AE102" s="17"/>
      <c r="AF102" s="16" t="e">
        <f>(AG101+(Crescimento!#REF!-(AG101*0.64))/0.8)/1000</f>
        <v>#REF!</v>
      </c>
      <c r="AG102" s="17" t="e">
        <f>-53.07 + (304.89 * (AF102)) + (90.79 *Crescimento!#REF!) - (3.13 * Crescimento!#REF!*Crescimento!#REF!)</f>
        <v>#REF!</v>
      </c>
      <c r="AI102" s="16" t="e">
        <f>(AJ101+(Crescimento!#REF!-(AJ101*0.64))/0.8)/1000</f>
        <v>#REF!</v>
      </c>
      <c r="AJ102" s="17" t="e">
        <f>-53.07 + (304.89 * (AI102)) + (90.79 *Crescimento!#REF!) - (3.13 * Crescimento!#REF!*Crescimento!#REF!)</f>
        <v>#REF!</v>
      </c>
      <c r="AL102" s="16" t="e">
        <f>(AM101+(Crescimento!#REF!-(AM101*0.64))/0.8)/1000</f>
        <v>#REF!</v>
      </c>
      <c r="AM102" s="17" t="e">
        <f>-53.07 + (304.89 * (AL102)) + (90.79 *Crescimento!#REF!) - (3.13 * Crescimento!#REF!*Crescimento!#REF!)</f>
        <v>#REF!</v>
      </c>
      <c r="AO102" s="16" t="e">
        <f>(AP101+(Crescimento!#REF!-(AP101*0.64))/0.8)/1000</f>
        <v>#REF!</v>
      </c>
      <c r="AP102" s="17" t="e">
        <f>-53.07 + (304.89 * (AO102)) + (90.79 *Crescimento!#REF!) - (3.13 * Crescimento!#REF!*Crescimento!#REF!)</f>
        <v>#REF!</v>
      </c>
      <c r="AR102" s="16" t="e">
        <f>(AS101+(Crescimento!#REF!-(AS101*0.64))/0.8)/1000</f>
        <v>#REF!</v>
      </c>
      <c r="AS102" s="17" t="e">
        <f>-53.07 + (304.89 * (AR102)) + (90.79 *Crescimento!#REF!) - (3.13 * Crescimento!#REF!*Crescimento!#REF!)</f>
        <v>#REF!</v>
      </c>
      <c r="AU102" s="16" t="e">
        <f>(AV101+(Crescimento!#REF!-(AV101*0.64))/0.8)/1000</f>
        <v>#REF!</v>
      </c>
      <c r="AV102" s="17" t="e">
        <f>-53.07 + (304.89 * (AU102)) + (90.79 *Crescimento!#REF!) - (3.13 * Crescimento!#REF!*Crescimento!#REF!)</f>
        <v>#REF!</v>
      </c>
      <c r="AX102" s="16" t="e">
        <f>(AY101+(Crescimento!#REF!-(AY101*0.64))/0.8)/1000</f>
        <v>#REF!</v>
      </c>
      <c r="AY102" s="17" t="e">
        <f>-53.07 + (304.89 * (AX102)) + (90.79 *Crescimento!#REF!) - (3.13 * Crescimento!#REF!*Crescimento!#REF!)</f>
        <v>#REF!</v>
      </c>
      <c r="BA102" s="16" t="e">
        <f>(BB101+(Crescimento!#REF!-(BB101*0.64))/0.8)/1000</f>
        <v>#REF!</v>
      </c>
      <c r="BB102" s="17" t="e">
        <f>-53.07 + (304.89 * (BA102)) + (90.79 *Crescimento!#REF!) - (3.13 * Crescimento!#REF!*Crescimento!#REF!)</f>
        <v>#REF!</v>
      </c>
      <c r="BD102" s="16" t="e">
        <f>(BE101+(Crescimento!#REF!-(BE101*0.64))/0.8)/1000</f>
        <v>#REF!</v>
      </c>
      <c r="BE102" s="17" t="e">
        <f>-53.07 + (304.89 * (BD102)) + (90.79 *Crescimento!#REF!) - (3.13 * Crescimento!#REF!*Crescimento!#REF!)</f>
        <v>#REF!</v>
      </c>
      <c r="BG102" s="16" t="e">
        <f>(BH101+(Crescimento!#REF!-(BH101*0.64))/0.8)/1000</f>
        <v>#REF!</v>
      </c>
      <c r="BH102" s="17" t="e">
        <f>-53.07 + (304.89 * (BG102)) + (90.79 *Crescimento!#REF!) - (3.13 * Crescimento!#REF!*Crescimento!#REF!)</f>
        <v>#REF!</v>
      </c>
      <c r="BJ102" s="16" t="e">
        <f>(BK101+(Crescimento!#REF!-(BK101*0.64))/0.8)/1000</f>
        <v>#REF!</v>
      </c>
      <c r="BK102" s="17" t="e">
        <f>-53.07 + (304.89 * (BJ102)) + (90.79 *Crescimento!#REF!) - (3.13 * Crescimento!#REF!*Crescimento!#REF!)</f>
        <v>#REF!</v>
      </c>
      <c r="BM102" s="16" t="e">
        <f>(BN101+(Crescimento!#REF!-(BN101*0.64))/0.8)/1000</f>
        <v>#REF!</v>
      </c>
      <c r="BN102" s="17" t="e">
        <f>-53.07 + (304.89 * (BM102)) + (90.79 *Crescimento!#REF!) - (3.13 * Crescimento!#REF!*Crescimento!#REF!)</f>
        <v>#REF!</v>
      </c>
      <c r="BP102" s="16" t="e">
        <f>(BQ101+(Crescimento!#REF!-(BQ101*0.64))/0.8)/1000</f>
        <v>#REF!</v>
      </c>
      <c r="BQ102" s="17" t="e">
        <f>-53.07 + (304.89 * (BP102)) + (90.79 *Crescimento!#REF!) - (3.13 * Crescimento!#REF!*Crescimento!#REF!)</f>
        <v>#REF!</v>
      </c>
      <c r="BS102" s="16" t="e">
        <f>(BT101+(Crescimento!#REF!-(BT101*0.64))/0.8)/1000</f>
        <v>#REF!</v>
      </c>
      <c r="BT102" s="17" t="e">
        <f>-53.07 + (304.89 * (BS102)) + (90.79 *Crescimento!#REF!) - (3.13 * Crescimento!#REF!*Crescimento!#REF!)</f>
        <v>#REF!</v>
      </c>
      <c r="BV102" s="16" t="e">
        <f>(BW101+(Crescimento!#REF!-(BW101*0.64))/0.8)/1000</f>
        <v>#REF!</v>
      </c>
      <c r="BW102" s="17" t="e">
        <f>-53.07 + (304.89 * (BV102)) + (90.79 *Crescimento!#REF!) - (3.13 * Crescimento!#REF!*Crescimento!#REF!)</f>
        <v>#REF!</v>
      </c>
      <c r="BY102" s="16" t="e">
        <f>(BZ101+(Crescimento!#REF!-(BZ101*0.64))/0.8)/1000</f>
        <v>#REF!</v>
      </c>
      <c r="BZ102" s="17" t="e">
        <f>-53.07 + (304.89 * (BY102)) + (90.79 *Crescimento!#REF!) - (3.13 * Crescimento!#REF!*Crescimento!#REF!)</f>
        <v>#REF!</v>
      </c>
      <c r="CB102" s="16" t="e">
        <f>(CC101+(Crescimento!#REF!-(CC101*0.64))/0.8)/1000</f>
        <v>#REF!</v>
      </c>
      <c r="CC102" s="17" t="e">
        <f>-53.07 + (304.89 * (CB102)) + (90.79 *Crescimento!#REF!) - (3.13 * Crescimento!#REF!*Crescimento!#REF!)</f>
        <v>#REF!</v>
      </c>
      <c r="CE102" s="16" t="e">
        <f>(CF101+(Crescimento!#REF!-(CF101*0.64))/0.8)/1000</f>
        <v>#REF!</v>
      </c>
      <c r="CF102" s="17" t="e">
        <f>-53.07 + (304.89 * (CE102)) + (90.79 *Crescimento!#REF!) - (3.13 * Crescimento!#REF!*Crescimento!#REF!)</f>
        <v>#REF!</v>
      </c>
      <c r="CH102" s="16" t="e">
        <f>(CI101+(Crescimento!#REF!-(CI101*0.64))/0.8)/1000</f>
        <v>#REF!</v>
      </c>
      <c r="CI102" s="17" t="e">
        <f>-53.07 + (304.89 * (CH102)) + (90.79 *Crescimento!#REF!) - (3.13 * Crescimento!#REF!*Crescimento!#REF!)</f>
        <v>#REF!</v>
      </c>
      <c r="CK102" s="16" t="e">
        <f>(CL101+(Crescimento!#REF!-(CL101*0.64))/0.8)/1000</f>
        <v>#REF!</v>
      </c>
      <c r="CL102" s="17" t="e">
        <f>-53.07 + (304.89 * (CK102)) + (90.79 *Crescimento!#REF!) - (3.13 * Crescimento!#REF!*Crescimento!#REF!)</f>
        <v>#REF!</v>
      </c>
    </row>
    <row r="103" spans="2:90" x14ac:dyDescent="0.25">
      <c r="B103" s="16">
        <f>(C102+('Vacas e Bezerros'!$O$29-(C102*0.64))/0.8)/1000</f>
        <v>1.1219974776113528</v>
      </c>
      <c r="C103" s="17">
        <f>-53.07 + (304.89 * (B103)) + (90.79 *'Vacas e Bezerros'!$O$23) - (3.13 * 'Vacas e Bezerros'!$O$23*'Vacas e Bezerros'!$O$23)</f>
        <v>715.77733851110622</v>
      </c>
      <c r="E103" s="16" t="e">
        <f>(F102+(Crescimento!#REF!-(F102*0.64))/0.8)/1000</f>
        <v>#REF!</v>
      </c>
      <c r="F103" s="17" t="e">
        <f>-53.07 + (304.89 * (E103)) + (90.79 *Crescimento!#REF!) - (3.13 * Crescimento!#REF!*Crescimento!#REF!)</f>
        <v>#REF!</v>
      </c>
      <c r="G103" s="1"/>
      <c r="H103" s="16" t="e">
        <f>(I102+(Crescimento!#REF!-(I102*0.64))/0.8)/1000</f>
        <v>#REF!</v>
      </c>
      <c r="I103" s="17" t="e">
        <f>-53.07 + (304.89 * (H103)) + (90.79 *Crescimento!#REF!) - (3.13 * Crescimento!#REF!*Crescimento!#REF!)</f>
        <v>#REF!</v>
      </c>
      <c r="K103" s="16" t="e">
        <f>(L102+(Crescimento!#REF!-(L102*0.64))/0.8)/1000</f>
        <v>#REF!</v>
      </c>
      <c r="L103" s="17" t="e">
        <f>-53.07 + (304.89 * (K103)) + (90.79 *Crescimento!#REF!) - (3.13 * Crescimento!#REF!*Crescimento!#REF!)</f>
        <v>#REF!</v>
      </c>
      <c r="N103" s="16" t="e">
        <f>(O102+(Crescimento!#REF!-(O102*0.64))/0.8)/1000</f>
        <v>#REF!</v>
      </c>
      <c r="O103" s="17" t="e">
        <f>-53.07 + (304.89 * (N103)) + (90.79 *Crescimento!#REF!) - (3.13 * Crescimento!#REF!*Crescimento!#REF!)</f>
        <v>#REF!</v>
      </c>
      <c r="Q103" s="16" t="e">
        <f>(R102+(Crescimento!#REF!-(R102*0.64))/0.8)/1000</f>
        <v>#REF!</v>
      </c>
      <c r="R103" s="17" t="e">
        <f>-53.07 + (304.89 * (Q103)) + (90.79 *Crescimento!#REF!) - (3.13 * Crescimento!#REF!*Crescimento!#REF!)</f>
        <v>#REF!</v>
      </c>
      <c r="T103" s="16" t="e">
        <f>(U102+(Crescimento!#REF!-(U102*0.64))/0.8)/1000</f>
        <v>#REF!</v>
      </c>
      <c r="U103" s="17" t="e">
        <f>-53.07 + (304.89 * (T103)) + (90.79 *Crescimento!#REF!) - (3.13 * Crescimento!#REF!*Crescimento!#REF!)</f>
        <v>#REF!</v>
      </c>
      <c r="W103" s="16" t="e">
        <f>(X102+(Crescimento!#REF!-(X102*0.64))/0.8)/1000</f>
        <v>#REF!</v>
      </c>
      <c r="X103" s="17" t="e">
        <f>-53.07 + (304.89 * (W103)) + (90.79 *Crescimento!#REF!) - (3.13 * Crescimento!#REF!*Crescimento!#REF!)</f>
        <v>#REF!</v>
      </c>
      <c r="Y103" s="6"/>
      <c r="Z103" s="16" t="e">
        <f>(AA102+(Crescimento!#REF!-(AA102*0.64))/0.8)/1000</f>
        <v>#REF!</v>
      </c>
      <c r="AA103" s="17" t="e">
        <f>-53.07 + (304.89 * (Z103)) + (90.79 *Crescimento!#REF!) - (3.13 * Crescimento!#REF!*Crescimento!#REF!)</f>
        <v>#REF!</v>
      </c>
      <c r="AB103" s="6"/>
      <c r="AC103" s="16" t="e">
        <f>(AD102+(Crescimento!#REF!-(AD102*0.64))/0.8)/1000</f>
        <v>#REF!</v>
      </c>
      <c r="AD103" s="17" t="e">
        <f>-53.07 + (304.89 * (AC103)) + (90.79 *Crescimento!#REF!) - (3.13 * Crescimento!#REF!*Crescimento!#REF!)</f>
        <v>#REF!</v>
      </c>
      <c r="AE103" s="17"/>
      <c r="AF103" s="16" t="e">
        <f>(AG102+(Crescimento!#REF!-(AG102*0.64))/0.8)/1000</f>
        <v>#REF!</v>
      </c>
      <c r="AG103" s="17" t="e">
        <f>-53.07 + (304.89 * (AF103)) + (90.79 *Crescimento!#REF!) - (3.13 * Crescimento!#REF!*Crescimento!#REF!)</f>
        <v>#REF!</v>
      </c>
      <c r="AI103" s="16" t="e">
        <f>(AJ102+(Crescimento!#REF!-(AJ102*0.64))/0.8)/1000</f>
        <v>#REF!</v>
      </c>
      <c r="AJ103" s="17" t="e">
        <f>-53.07 + (304.89 * (AI103)) + (90.79 *Crescimento!#REF!) - (3.13 * Crescimento!#REF!*Crescimento!#REF!)</f>
        <v>#REF!</v>
      </c>
      <c r="AL103" s="16" t="e">
        <f>(AM102+(Crescimento!#REF!-(AM102*0.64))/0.8)/1000</f>
        <v>#REF!</v>
      </c>
      <c r="AM103" s="17" t="e">
        <f>-53.07 + (304.89 * (AL103)) + (90.79 *Crescimento!#REF!) - (3.13 * Crescimento!#REF!*Crescimento!#REF!)</f>
        <v>#REF!</v>
      </c>
      <c r="AO103" s="16" t="e">
        <f>(AP102+(Crescimento!#REF!-(AP102*0.64))/0.8)/1000</f>
        <v>#REF!</v>
      </c>
      <c r="AP103" s="17" t="e">
        <f>-53.07 + (304.89 * (AO103)) + (90.79 *Crescimento!#REF!) - (3.13 * Crescimento!#REF!*Crescimento!#REF!)</f>
        <v>#REF!</v>
      </c>
      <c r="AR103" s="16" t="e">
        <f>(AS102+(Crescimento!#REF!-(AS102*0.64))/0.8)/1000</f>
        <v>#REF!</v>
      </c>
      <c r="AS103" s="17" t="e">
        <f>-53.07 + (304.89 * (AR103)) + (90.79 *Crescimento!#REF!) - (3.13 * Crescimento!#REF!*Crescimento!#REF!)</f>
        <v>#REF!</v>
      </c>
      <c r="AU103" s="16" t="e">
        <f>(AV102+(Crescimento!#REF!-(AV102*0.64))/0.8)/1000</f>
        <v>#REF!</v>
      </c>
      <c r="AV103" s="17" t="e">
        <f>-53.07 + (304.89 * (AU103)) + (90.79 *Crescimento!#REF!) - (3.13 * Crescimento!#REF!*Crescimento!#REF!)</f>
        <v>#REF!</v>
      </c>
      <c r="AX103" s="16" t="e">
        <f>(AY102+(Crescimento!#REF!-(AY102*0.64))/0.8)/1000</f>
        <v>#REF!</v>
      </c>
      <c r="AY103" s="17" t="e">
        <f>-53.07 + (304.89 * (AX103)) + (90.79 *Crescimento!#REF!) - (3.13 * Crescimento!#REF!*Crescimento!#REF!)</f>
        <v>#REF!</v>
      </c>
      <c r="BA103" s="16" t="e">
        <f>(BB102+(Crescimento!#REF!-(BB102*0.64))/0.8)/1000</f>
        <v>#REF!</v>
      </c>
      <c r="BB103" s="17" t="e">
        <f>-53.07 + (304.89 * (BA103)) + (90.79 *Crescimento!#REF!) - (3.13 * Crescimento!#REF!*Crescimento!#REF!)</f>
        <v>#REF!</v>
      </c>
      <c r="BD103" s="16" t="e">
        <f>(BE102+(Crescimento!#REF!-(BE102*0.64))/0.8)/1000</f>
        <v>#REF!</v>
      </c>
      <c r="BE103" s="17" t="e">
        <f>-53.07 + (304.89 * (BD103)) + (90.79 *Crescimento!#REF!) - (3.13 * Crescimento!#REF!*Crescimento!#REF!)</f>
        <v>#REF!</v>
      </c>
      <c r="BG103" s="16" t="e">
        <f>(BH102+(Crescimento!#REF!-(BH102*0.64))/0.8)/1000</f>
        <v>#REF!</v>
      </c>
      <c r="BH103" s="17" t="e">
        <f>-53.07 + (304.89 * (BG103)) + (90.79 *Crescimento!#REF!) - (3.13 * Crescimento!#REF!*Crescimento!#REF!)</f>
        <v>#REF!</v>
      </c>
      <c r="BJ103" s="16" t="e">
        <f>(BK102+(Crescimento!#REF!-(BK102*0.64))/0.8)/1000</f>
        <v>#REF!</v>
      </c>
      <c r="BK103" s="17" t="e">
        <f>-53.07 + (304.89 * (BJ103)) + (90.79 *Crescimento!#REF!) - (3.13 * Crescimento!#REF!*Crescimento!#REF!)</f>
        <v>#REF!</v>
      </c>
      <c r="BM103" s="16" t="e">
        <f>(BN102+(Crescimento!#REF!-(BN102*0.64))/0.8)/1000</f>
        <v>#REF!</v>
      </c>
      <c r="BN103" s="17" t="e">
        <f>-53.07 + (304.89 * (BM103)) + (90.79 *Crescimento!#REF!) - (3.13 * Crescimento!#REF!*Crescimento!#REF!)</f>
        <v>#REF!</v>
      </c>
      <c r="BP103" s="16" t="e">
        <f>(BQ102+(Crescimento!#REF!-(BQ102*0.64))/0.8)/1000</f>
        <v>#REF!</v>
      </c>
      <c r="BQ103" s="17" t="e">
        <f>-53.07 + (304.89 * (BP103)) + (90.79 *Crescimento!#REF!) - (3.13 * Crescimento!#REF!*Crescimento!#REF!)</f>
        <v>#REF!</v>
      </c>
      <c r="BS103" s="16" t="e">
        <f>(BT102+(Crescimento!#REF!-(BT102*0.64))/0.8)/1000</f>
        <v>#REF!</v>
      </c>
      <c r="BT103" s="17" t="e">
        <f>-53.07 + (304.89 * (BS103)) + (90.79 *Crescimento!#REF!) - (3.13 * Crescimento!#REF!*Crescimento!#REF!)</f>
        <v>#REF!</v>
      </c>
      <c r="BV103" s="16" t="e">
        <f>(BW102+(Crescimento!#REF!-(BW102*0.64))/0.8)/1000</f>
        <v>#REF!</v>
      </c>
      <c r="BW103" s="17" t="e">
        <f>-53.07 + (304.89 * (BV103)) + (90.79 *Crescimento!#REF!) - (3.13 * Crescimento!#REF!*Crescimento!#REF!)</f>
        <v>#REF!</v>
      </c>
      <c r="BY103" s="16" t="e">
        <f>(BZ102+(Crescimento!#REF!-(BZ102*0.64))/0.8)/1000</f>
        <v>#REF!</v>
      </c>
      <c r="BZ103" s="17" t="e">
        <f>-53.07 + (304.89 * (BY103)) + (90.79 *Crescimento!#REF!) - (3.13 * Crescimento!#REF!*Crescimento!#REF!)</f>
        <v>#REF!</v>
      </c>
      <c r="CB103" s="16" t="e">
        <f>(CC102+(Crescimento!#REF!-(CC102*0.64))/0.8)/1000</f>
        <v>#REF!</v>
      </c>
      <c r="CC103" s="17" t="e">
        <f>-53.07 + (304.89 * (CB103)) + (90.79 *Crescimento!#REF!) - (3.13 * Crescimento!#REF!*Crescimento!#REF!)</f>
        <v>#REF!</v>
      </c>
      <c r="CE103" s="16" t="e">
        <f>(CF102+(Crescimento!#REF!-(CF102*0.64))/0.8)/1000</f>
        <v>#REF!</v>
      </c>
      <c r="CF103" s="17" t="e">
        <f>-53.07 + (304.89 * (CE103)) + (90.79 *Crescimento!#REF!) - (3.13 * Crescimento!#REF!*Crescimento!#REF!)</f>
        <v>#REF!</v>
      </c>
      <c r="CH103" s="16" t="e">
        <f>(CI102+(Crescimento!#REF!-(CI102*0.64))/0.8)/1000</f>
        <v>#REF!</v>
      </c>
      <c r="CI103" s="17" t="e">
        <f>-53.07 + (304.89 * (CH103)) + (90.79 *Crescimento!#REF!) - (3.13 * Crescimento!#REF!*Crescimento!#REF!)</f>
        <v>#REF!</v>
      </c>
      <c r="CK103" s="16" t="e">
        <f>(CL102+(Crescimento!#REF!-(CL102*0.64))/0.8)/1000</f>
        <v>#REF!</v>
      </c>
      <c r="CL103" s="17" t="e">
        <f>-53.07 + (304.89 * (CK103)) + (90.79 *Crescimento!#REF!) - (3.13 * Crescimento!#REF!*Crescimento!#REF!)</f>
        <v>#REF!</v>
      </c>
    </row>
    <row r="104" spans="2:90" x14ac:dyDescent="0.25">
      <c r="F104" s="1"/>
      <c r="G104" s="1"/>
    </row>
    <row r="105" spans="2:90" x14ac:dyDescent="0.25">
      <c r="F105" s="1"/>
      <c r="G105" s="1"/>
    </row>
    <row r="106" spans="2:90" x14ac:dyDescent="0.25">
      <c r="F106" s="1"/>
      <c r="G106" s="1"/>
    </row>
  </sheetData>
  <mergeCells count="48">
    <mergeCell ref="B1:AD1"/>
    <mergeCell ref="CB3:CC3"/>
    <mergeCell ref="CE3:CF3"/>
    <mergeCell ref="CH3:CI3"/>
    <mergeCell ref="CK3:CL3"/>
    <mergeCell ref="B2:F2"/>
    <mergeCell ref="B3:C3"/>
    <mergeCell ref="E3:F3"/>
    <mergeCell ref="N3:O3"/>
    <mergeCell ref="H2:L2"/>
    <mergeCell ref="N2:R2"/>
    <mergeCell ref="Q3:R3"/>
    <mergeCell ref="T2:X2"/>
    <mergeCell ref="T3:U3"/>
    <mergeCell ref="W3:X3"/>
    <mergeCell ref="H3:I3"/>
    <mergeCell ref="K3:L3"/>
    <mergeCell ref="AF3:AG3"/>
    <mergeCell ref="AI3:AJ3"/>
    <mergeCell ref="AL3:AM3"/>
    <mergeCell ref="Z2:AD2"/>
    <mergeCell ref="Z3:AA3"/>
    <mergeCell ref="AC3:AD3"/>
    <mergeCell ref="AX3:AY3"/>
    <mergeCell ref="BA3:BB3"/>
    <mergeCell ref="BD3:BE3"/>
    <mergeCell ref="AF1:BH1"/>
    <mergeCell ref="AF2:AJ2"/>
    <mergeCell ref="AL2:AP2"/>
    <mergeCell ref="AR2:AV2"/>
    <mergeCell ref="AX2:BB2"/>
    <mergeCell ref="BD2:BH2"/>
    <mergeCell ref="BG3:BH3"/>
    <mergeCell ref="AO3:AP3"/>
    <mergeCell ref="AR3:AS3"/>
    <mergeCell ref="AU3:AV3"/>
    <mergeCell ref="BJ1:CL1"/>
    <mergeCell ref="BJ2:BN2"/>
    <mergeCell ref="BP2:BT2"/>
    <mergeCell ref="BV2:BZ2"/>
    <mergeCell ref="CB2:CF2"/>
    <mergeCell ref="CH2:CL2"/>
    <mergeCell ref="BY3:BZ3"/>
    <mergeCell ref="BJ3:BK3"/>
    <mergeCell ref="BM3:BN3"/>
    <mergeCell ref="BP3:BQ3"/>
    <mergeCell ref="BS3:BT3"/>
    <mergeCell ref="BV3:BW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FEFD-BD4F-4E89-B5A2-4969EE70DD32}">
  <dimension ref="B1:GN103"/>
  <sheetViews>
    <sheetView topLeftCell="BF1" workbookViewId="0">
      <pane ySplit="3" topLeftCell="A4" activePane="bottomLeft" state="frozen"/>
      <selection pane="bottomLeft" activeCell="BO20" sqref="BO20"/>
    </sheetView>
  </sheetViews>
  <sheetFormatPr defaultColWidth="8.85546875" defaultRowHeight="15" x14ac:dyDescent="0.25"/>
  <cols>
    <col min="5" max="5" width="1.42578125" customWidth="1"/>
    <col min="8" max="8" width="1.85546875" customWidth="1"/>
    <col min="11" max="11" width="2" customWidth="1"/>
    <col min="14" max="14" width="4" customWidth="1"/>
    <col min="17" max="17" width="2" customWidth="1"/>
    <col min="20" max="20" width="1.42578125" customWidth="1"/>
    <col min="22" max="22" width="9.140625" customWidth="1"/>
    <col min="23" max="23" width="1.42578125" customWidth="1"/>
    <col min="26" max="26" width="3.140625" customWidth="1"/>
    <col min="29" max="29" width="2.7109375" customWidth="1"/>
    <col min="32" max="32" width="1.7109375" customWidth="1"/>
    <col min="35" max="35" width="2" customWidth="1"/>
    <col min="38" max="38" width="2.85546875" customWidth="1"/>
    <col min="41" max="41" width="1.42578125" customWidth="1"/>
    <col min="44" max="44" width="2" customWidth="1"/>
    <col min="47" max="47" width="1.85546875" customWidth="1"/>
    <col min="50" max="50" width="3.28515625" customWidth="1"/>
    <col min="53" max="53" width="2" customWidth="1"/>
    <col min="56" max="56" width="1.85546875" customWidth="1"/>
    <col min="59" max="59" width="1.28515625" customWidth="1"/>
    <col min="62" max="62" width="1.7109375" customWidth="1"/>
    <col min="65" max="65" width="1.28515625" customWidth="1"/>
    <col min="68" max="68" width="1.7109375" customWidth="1"/>
    <col min="71" max="71" width="1.42578125" customWidth="1"/>
    <col min="74" max="74" width="2.28515625" customWidth="1"/>
    <col min="77" max="77" width="2.7109375" customWidth="1"/>
    <col min="80" max="80" width="1.85546875" customWidth="1"/>
    <col min="83" max="83" width="1.42578125" customWidth="1"/>
    <col min="86" max="86" width="1.42578125" customWidth="1"/>
    <col min="89" max="89" width="1.85546875" customWidth="1"/>
    <col min="92" max="92" width="1.7109375" customWidth="1"/>
    <col min="95" max="95" width="1.85546875" customWidth="1"/>
    <col min="98" max="101" width="8.85546875" customWidth="1"/>
    <col min="104" max="104" width="2.28515625" customWidth="1"/>
    <col min="107" max="107" width="1.7109375" customWidth="1"/>
    <col min="110" max="110" width="2.140625" customWidth="1"/>
    <col min="113" max="113" width="2" customWidth="1"/>
    <col min="116" max="116" width="1.42578125" customWidth="1"/>
    <col min="119" max="119" width="1.140625" customWidth="1"/>
    <col min="122" max="122" width="1.85546875" customWidth="1"/>
    <col min="125" max="125" width="1.140625" customWidth="1"/>
    <col min="128" max="128" width="0.85546875" customWidth="1"/>
    <col min="131" max="131" width="0.85546875" customWidth="1"/>
    <col min="134" max="134" width="1.140625" customWidth="1"/>
    <col min="137" max="137" width="0.7109375" customWidth="1"/>
    <col min="140" max="140" width="1.140625" customWidth="1"/>
    <col min="143" max="143" width="1" customWidth="1"/>
    <col min="146" max="146" width="1.140625" customWidth="1"/>
    <col min="149" max="149" width="1.42578125" customWidth="1"/>
    <col min="152" max="152" width="0.7109375" customWidth="1"/>
    <col min="155" max="155" width="0.85546875" customWidth="1"/>
    <col min="158" max="158" width="1.42578125" customWidth="1"/>
    <col min="161" max="161" width="1" customWidth="1"/>
    <col min="164" max="164" width="1.140625" customWidth="1"/>
    <col min="167" max="167" width="1" customWidth="1"/>
    <col min="170" max="170" width="1" customWidth="1"/>
    <col min="173" max="173" width="1.140625" customWidth="1"/>
    <col min="176" max="176" width="0.7109375" customWidth="1"/>
    <col min="179" max="179" width="1.140625" customWidth="1"/>
    <col min="182" max="182" width="1" customWidth="1"/>
    <col min="185" max="185" width="0.85546875" customWidth="1"/>
    <col min="188" max="188" width="1.42578125" customWidth="1"/>
    <col min="191" max="191" width="1" customWidth="1"/>
    <col min="194" max="194" width="1.42578125" customWidth="1"/>
  </cols>
  <sheetData>
    <row r="1" spans="2:196" s="19" customFormat="1" ht="15.75" x14ac:dyDescent="0.25">
      <c r="B1" s="19" t="s">
        <v>268</v>
      </c>
      <c r="C1" s="429">
        <v>100</v>
      </c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Y1" s="429">
        <v>150</v>
      </c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0"/>
      <c r="BV1" s="430"/>
      <c r="BW1" s="430"/>
      <c r="BX1" s="430"/>
      <c r="BY1" s="430"/>
      <c r="BZ1" s="430"/>
      <c r="CA1" s="430"/>
      <c r="CB1" s="430"/>
      <c r="CC1" s="430"/>
      <c r="CD1" s="430"/>
      <c r="CE1" s="430"/>
      <c r="CF1" s="430"/>
      <c r="CG1" s="430"/>
      <c r="CH1" s="430"/>
      <c r="CI1" s="430"/>
      <c r="CJ1" s="430"/>
      <c r="CK1" s="430"/>
      <c r="CL1" s="430"/>
      <c r="CM1" s="430"/>
      <c r="CN1" s="430"/>
      <c r="CO1" s="430"/>
      <c r="CP1" s="430"/>
      <c r="CQ1" s="430"/>
      <c r="CR1" s="430"/>
      <c r="CS1" s="430"/>
      <c r="CX1" s="429">
        <v>200</v>
      </c>
      <c r="CY1" s="430"/>
      <c r="CZ1" s="430"/>
      <c r="DA1" s="430"/>
      <c r="DB1" s="430"/>
      <c r="DC1" s="430"/>
      <c r="DD1" s="430"/>
      <c r="DE1" s="430"/>
      <c r="DF1" s="430"/>
      <c r="DG1" s="430"/>
      <c r="DH1" s="430"/>
      <c r="DI1" s="430"/>
      <c r="DJ1" s="430"/>
      <c r="DK1" s="430"/>
      <c r="DL1" s="430"/>
      <c r="DM1" s="430"/>
      <c r="DN1" s="430"/>
      <c r="DO1" s="430"/>
      <c r="DP1" s="430"/>
      <c r="DQ1" s="430"/>
      <c r="DR1" s="430"/>
      <c r="DS1" s="430"/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T1" s="429">
        <v>250</v>
      </c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0"/>
      <c r="FG1" s="430"/>
      <c r="FH1" s="430"/>
      <c r="FI1" s="430"/>
      <c r="FJ1" s="430"/>
      <c r="FK1" s="430"/>
      <c r="FL1" s="430"/>
      <c r="FM1" s="430"/>
      <c r="FN1" s="430"/>
      <c r="FO1" s="430"/>
      <c r="FP1" s="430"/>
      <c r="FQ1" s="430"/>
      <c r="FR1" s="430"/>
      <c r="FS1" s="430"/>
      <c r="FT1" s="430"/>
      <c r="FU1" s="430"/>
      <c r="FV1" s="430"/>
      <c r="FW1" s="430"/>
      <c r="FX1" s="430"/>
      <c r="FY1" s="430"/>
      <c r="FZ1" s="430"/>
      <c r="GA1" s="430"/>
      <c r="GB1" s="430"/>
      <c r="GC1" s="430"/>
      <c r="GD1" s="430"/>
      <c r="GE1" s="430"/>
      <c r="GF1" s="430"/>
      <c r="GG1" s="430"/>
      <c r="GH1" s="430"/>
      <c r="GI1" s="430"/>
      <c r="GJ1" s="430"/>
      <c r="GK1" s="430"/>
      <c r="GL1" s="430"/>
      <c r="GM1" s="430"/>
      <c r="GN1" s="430"/>
    </row>
    <row r="2" spans="2:196" s="19" customFormat="1" ht="15.75" x14ac:dyDescent="0.25">
      <c r="B2" s="19" t="s">
        <v>252</v>
      </c>
      <c r="C2" s="431">
        <v>5</v>
      </c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18"/>
      <c r="O2" s="431">
        <v>7</v>
      </c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18"/>
      <c r="AA2" s="431">
        <v>9</v>
      </c>
      <c r="AB2" s="431"/>
      <c r="AC2" s="431"/>
      <c r="AD2" s="431"/>
      <c r="AE2" s="431"/>
      <c r="AF2" s="431"/>
      <c r="AG2" s="431"/>
      <c r="AH2" s="431"/>
      <c r="AI2" s="431"/>
      <c r="AJ2" s="431"/>
      <c r="AK2" s="431"/>
      <c r="AM2" s="432">
        <v>11</v>
      </c>
      <c r="AN2" s="432"/>
      <c r="AO2" s="432"/>
      <c r="AP2" s="432"/>
      <c r="AQ2" s="432"/>
      <c r="AR2" s="432"/>
      <c r="AS2" s="432"/>
      <c r="AT2" s="432"/>
      <c r="AU2" s="432"/>
      <c r="AV2" s="432"/>
      <c r="AW2" s="432"/>
      <c r="AY2" s="431">
        <v>5</v>
      </c>
      <c r="AZ2" s="431"/>
      <c r="BA2" s="431"/>
      <c r="BB2" s="431"/>
      <c r="BC2" s="431"/>
      <c r="BD2" s="431"/>
      <c r="BE2" s="431"/>
      <c r="BF2" s="431"/>
      <c r="BG2" s="431"/>
      <c r="BH2" s="431"/>
      <c r="BI2" s="431"/>
      <c r="BJ2" s="18"/>
      <c r="BK2" s="431">
        <v>7</v>
      </c>
      <c r="BL2" s="431"/>
      <c r="BM2" s="431"/>
      <c r="BN2" s="431"/>
      <c r="BO2" s="431"/>
      <c r="BP2" s="431"/>
      <c r="BQ2" s="431"/>
      <c r="BR2" s="431"/>
      <c r="BS2" s="431"/>
      <c r="BT2" s="431"/>
      <c r="BU2" s="431"/>
      <c r="BV2" s="18"/>
      <c r="BW2" s="431">
        <v>9</v>
      </c>
      <c r="BX2" s="431"/>
      <c r="BY2" s="431"/>
      <c r="BZ2" s="431"/>
      <c r="CA2" s="431"/>
      <c r="CB2" s="431"/>
      <c r="CC2" s="431"/>
      <c r="CD2" s="431"/>
      <c r="CE2" s="431"/>
      <c r="CF2" s="431"/>
      <c r="CG2" s="431"/>
      <c r="CI2" s="432">
        <v>11</v>
      </c>
      <c r="CJ2" s="432"/>
      <c r="CK2" s="432"/>
      <c r="CL2" s="432"/>
      <c r="CM2" s="432"/>
      <c r="CN2" s="432"/>
      <c r="CO2" s="432"/>
      <c r="CP2" s="432"/>
      <c r="CQ2" s="432"/>
      <c r="CR2" s="432"/>
      <c r="CS2" s="432"/>
      <c r="CX2" s="431">
        <v>5</v>
      </c>
      <c r="CY2" s="431"/>
      <c r="CZ2" s="431"/>
      <c r="DA2" s="431"/>
      <c r="DB2" s="431"/>
      <c r="DC2" s="431"/>
      <c r="DD2" s="431"/>
      <c r="DE2" s="431"/>
      <c r="DF2" s="431"/>
      <c r="DG2" s="431"/>
      <c r="DH2" s="431"/>
      <c r="DI2" s="18"/>
      <c r="DJ2" s="431">
        <v>7</v>
      </c>
      <c r="DK2" s="431"/>
      <c r="DL2" s="431"/>
      <c r="DM2" s="431"/>
      <c r="DN2" s="431"/>
      <c r="DO2" s="431"/>
      <c r="DP2" s="431"/>
      <c r="DQ2" s="431"/>
      <c r="DR2" s="431"/>
      <c r="DS2" s="431"/>
      <c r="DT2" s="431"/>
      <c r="DU2" s="18"/>
      <c r="DV2" s="431">
        <v>9</v>
      </c>
      <c r="DW2" s="431"/>
      <c r="DX2" s="431"/>
      <c r="DY2" s="431"/>
      <c r="DZ2" s="431"/>
      <c r="EA2" s="431"/>
      <c r="EB2" s="431"/>
      <c r="EC2" s="431"/>
      <c r="ED2" s="431"/>
      <c r="EE2" s="431"/>
      <c r="EF2" s="431"/>
      <c r="EH2" s="432">
        <v>11</v>
      </c>
      <c r="EI2" s="432"/>
      <c r="EJ2" s="432"/>
      <c r="EK2" s="432"/>
      <c r="EL2" s="432"/>
      <c r="EM2" s="432"/>
      <c r="EN2" s="432"/>
      <c r="EO2" s="432"/>
      <c r="EP2" s="432"/>
      <c r="EQ2" s="432"/>
      <c r="ER2" s="432"/>
      <c r="ET2" s="431">
        <v>5</v>
      </c>
      <c r="EU2" s="431"/>
      <c r="EV2" s="431"/>
      <c r="EW2" s="431"/>
      <c r="EX2" s="431"/>
      <c r="EY2" s="431"/>
      <c r="EZ2" s="431"/>
      <c r="FA2" s="431"/>
      <c r="FB2" s="431"/>
      <c r="FC2" s="431"/>
      <c r="FD2" s="431"/>
      <c r="FE2" s="18"/>
      <c r="FF2" s="431">
        <v>7</v>
      </c>
      <c r="FG2" s="431"/>
      <c r="FH2" s="431"/>
      <c r="FI2" s="431"/>
      <c r="FJ2" s="431"/>
      <c r="FK2" s="431"/>
      <c r="FL2" s="431"/>
      <c r="FM2" s="431"/>
      <c r="FN2" s="431"/>
      <c r="FO2" s="431"/>
      <c r="FP2" s="431"/>
      <c r="FQ2" s="18"/>
      <c r="FR2" s="431">
        <v>9</v>
      </c>
      <c r="FS2" s="431"/>
      <c r="FT2" s="431"/>
      <c r="FU2" s="431"/>
      <c r="FV2" s="431"/>
      <c r="FW2" s="431"/>
      <c r="FX2" s="431"/>
      <c r="FY2" s="431"/>
      <c r="FZ2" s="431"/>
      <c r="GA2" s="431"/>
      <c r="GB2" s="431"/>
      <c r="GD2" s="432">
        <v>11</v>
      </c>
      <c r="GE2" s="432"/>
      <c r="GF2" s="432"/>
      <c r="GG2" s="432"/>
      <c r="GH2" s="432"/>
      <c r="GI2" s="432"/>
      <c r="GJ2" s="432"/>
      <c r="GK2" s="432"/>
      <c r="GL2" s="432"/>
      <c r="GM2" s="432"/>
      <c r="GN2" s="432"/>
    </row>
    <row r="3" spans="2:196" x14ac:dyDescent="0.25">
      <c r="B3" s="20" t="s">
        <v>269</v>
      </c>
      <c r="C3" s="427">
        <v>0.2</v>
      </c>
      <c r="D3" s="427"/>
      <c r="E3" s="5"/>
      <c r="F3" s="427">
        <v>0.4</v>
      </c>
      <c r="G3" s="427"/>
      <c r="H3" s="3"/>
      <c r="I3" s="424">
        <v>0.6</v>
      </c>
      <c r="J3" s="424"/>
      <c r="K3" s="4"/>
      <c r="L3" s="424">
        <v>0.8</v>
      </c>
      <c r="M3" s="424"/>
      <c r="N3" s="4"/>
      <c r="O3" s="427">
        <v>0.2</v>
      </c>
      <c r="P3" s="427"/>
      <c r="Q3" s="5"/>
      <c r="R3" s="427">
        <v>0.4</v>
      </c>
      <c r="S3" s="427"/>
      <c r="T3" s="3"/>
      <c r="U3" s="424">
        <v>0.6</v>
      </c>
      <c r="V3" s="424"/>
      <c r="W3" s="4"/>
      <c r="X3" s="424">
        <v>0.8</v>
      </c>
      <c r="Y3" s="424"/>
      <c r="Z3" s="4"/>
      <c r="AA3" s="427">
        <v>0.2</v>
      </c>
      <c r="AB3" s="427"/>
      <c r="AC3" s="5"/>
      <c r="AD3" s="427">
        <v>0.4</v>
      </c>
      <c r="AE3" s="427"/>
      <c r="AF3" s="3"/>
      <c r="AG3" s="424">
        <v>0.6</v>
      </c>
      <c r="AH3" s="424"/>
      <c r="AI3" s="4"/>
      <c r="AJ3" s="424">
        <v>0.8</v>
      </c>
      <c r="AK3" s="424"/>
      <c r="AL3" s="3"/>
      <c r="AM3" s="427">
        <v>0.2</v>
      </c>
      <c r="AN3" s="427"/>
      <c r="AO3" s="5"/>
      <c r="AP3" s="427">
        <v>0.4</v>
      </c>
      <c r="AQ3" s="427"/>
      <c r="AR3" s="3"/>
      <c r="AS3" s="424">
        <v>0.6</v>
      </c>
      <c r="AT3" s="424"/>
      <c r="AU3" s="4"/>
      <c r="AV3" s="424">
        <v>0.8</v>
      </c>
      <c r="AW3" s="424"/>
      <c r="AX3" s="4"/>
      <c r="AY3" s="427">
        <v>0.2</v>
      </c>
      <c r="AZ3" s="427"/>
      <c r="BA3" s="5"/>
      <c r="BB3" s="427">
        <v>0.4</v>
      </c>
      <c r="BC3" s="427"/>
      <c r="BD3" s="3"/>
      <c r="BE3" s="424">
        <v>0.6</v>
      </c>
      <c r="BF3" s="424"/>
      <c r="BG3" s="4"/>
      <c r="BH3" s="424">
        <v>0.8</v>
      </c>
      <c r="BI3" s="424"/>
      <c r="BJ3" s="4"/>
      <c r="BK3" s="427">
        <v>0.2</v>
      </c>
      <c r="BL3" s="427"/>
      <c r="BM3" s="5"/>
      <c r="BN3" s="427">
        <v>0.4</v>
      </c>
      <c r="BO3" s="427"/>
      <c r="BP3" s="3"/>
      <c r="BQ3" s="424">
        <v>0.6</v>
      </c>
      <c r="BR3" s="424"/>
      <c r="BS3" s="4"/>
      <c r="BT3" s="424">
        <v>0.8</v>
      </c>
      <c r="BU3" s="424"/>
      <c r="BV3" s="4"/>
      <c r="BW3" s="427">
        <v>0.2</v>
      </c>
      <c r="BX3" s="427"/>
      <c r="BY3" s="5"/>
      <c r="BZ3" s="427">
        <v>0.4</v>
      </c>
      <c r="CA3" s="427"/>
      <c r="CB3" s="3"/>
      <c r="CC3" s="424">
        <v>0.6</v>
      </c>
      <c r="CD3" s="424"/>
      <c r="CE3" s="4"/>
      <c r="CF3" s="424">
        <v>0.8</v>
      </c>
      <c r="CG3" s="424"/>
      <c r="CH3" s="3"/>
      <c r="CI3" s="427">
        <v>0.2</v>
      </c>
      <c r="CJ3" s="427"/>
      <c r="CK3" s="5"/>
      <c r="CL3" s="427">
        <v>0.4</v>
      </c>
      <c r="CM3" s="427"/>
      <c r="CN3" s="3"/>
      <c r="CO3" s="424">
        <v>0.6</v>
      </c>
      <c r="CP3" s="424"/>
      <c r="CQ3" s="4"/>
      <c r="CR3" s="424">
        <v>0.8</v>
      </c>
      <c r="CS3" s="424"/>
      <c r="CX3" s="427">
        <v>0.2</v>
      </c>
      <c r="CY3" s="427"/>
      <c r="CZ3" s="5"/>
      <c r="DA3" s="427">
        <v>0.4</v>
      </c>
      <c r="DB3" s="427"/>
      <c r="DC3" s="3"/>
      <c r="DD3" s="424">
        <v>0.6</v>
      </c>
      <c r="DE3" s="424"/>
      <c r="DF3" s="4"/>
      <c r="DG3" s="424">
        <v>0.8</v>
      </c>
      <c r="DH3" s="424"/>
      <c r="DI3" s="4"/>
      <c r="DJ3" s="427">
        <v>0.2</v>
      </c>
      <c r="DK3" s="427"/>
      <c r="DL3" s="5"/>
      <c r="DM3" s="427">
        <v>0.4</v>
      </c>
      <c r="DN3" s="427"/>
      <c r="DO3" s="3"/>
      <c r="DP3" s="424">
        <v>0.6</v>
      </c>
      <c r="DQ3" s="424"/>
      <c r="DR3" s="4"/>
      <c r="DS3" s="424">
        <v>0.8</v>
      </c>
      <c r="DT3" s="424"/>
      <c r="DU3" s="4"/>
      <c r="DV3" s="427">
        <v>0.2</v>
      </c>
      <c r="DW3" s="427"/>
      <c r="DX3" s="5"/>
      <c r="DY3" s="427">
        <v>0.4</v>
      </c>
      <c r="DZ3" s="427"/>
      <c r="EA3" s="3"/>
      <c r="EB3" s="424">
        <v>0.6</v>
      </c>
      <c r="EC3" s="424"/>
      <c r="ED3" s="4"/>
      <c r="EE3" s="424">
        <v>0.8</v>
      </c>
      <c r="EF3" s="424"/>
      <c r="EG3" s="3"/>
      <c r="EH3" s="427">
        <v>0.2</v>
      </c>
      <c r="EI3" s="427"/>
      <c r="EJ3" s="5"/>
      <c r="EK3" s="427">
        <v>0.4</v>
      </c>
      <c r="EL3" s="427"/>
      <c r="EM3" s="3"/>
      <c r="EN3" s="424">
        <v>0.6</v>
      </c>
      <c r="EO3" s="424"/>
      <c r="EP3" s="4"/>
      <c r="EQ3" s="424">
        <v>0.8</v>
      </c>
      <c r="ER3" s="424"/>
      <c r="ES3" s="4"/>
      <c r="ET3" s="427">
        <v>0.2</v>
      </c>
      <c r="EU3" s="427"/>
      <c r="EV3" s="5"/>
      <c r="EW3" s="427">
        <v>0.4</v>
      </c>
      <c r="EX3" s="427"/>
      <c r="EY3" s="3"/>
      <c r="EZ3" s="424">
        <v>0.6</v>
      </c>
      <c r="FA3" s="424"/>
      <c r="FB3" s="4"/>
      <c r="FC3" s="424">
        <v>0.8</v>
      </c>
      <c r="FD3" s="424"/>
      <c r="FE3" s="4"/>
      <c r="FF3" s="427">
        <v>0.2</v>
      </c>
      <c r="FG3" s="427"/>
      <c r="FH3" s="5"/>
      <c r="FI3" s="427">
        <v>0.4</v>
      </c>
      <c r="FJ3" s="427"/>
      <c r="FK3" s="3"/>
      <c r="FL3" s="424">
        <v>0.6</v>
      </c>
      <c r="FM3" s="424"/>
      <c r="FN3" s="4"/>
      <c r="FO3" s="424">
        <v>0.8</v>
      </c>
      <c r="FP3" s="424"/>
      <c r="FQ3" s="4"/>
      <c r="FR3" s="427">
        <v>0.2</v>
      </c>
      <c r="FS3" s="427"/>
      <c r="FT3" s="5"/>
      <c r="FU3" s="427">
        <v>0.4</v>
      </c>
      <c r="FV3" s="427"/>
      <c r="FW3" s="3"/>
      <c r="FX3" s="424">
        <v>0.6</v>
      </c>
      <c r="FY3" s="424"/>
      <c r="FZ3" s="4"/>
      <c r="GA3" s="424">
        <v>0.8</v>
      </c>
      <c r="GB3" s="424"/>
      <c r="GC3" s="3"/>
      <c r="GD3" s="427">
        <v>0.2</v>
      </c>
      <c r="GE3" s="427"/>
      <c r="GF3" s="5"/>
      <c r="GG3" s="427">
        <v>0.4</v>
      </c>
      <c r="GH3" s="427"/>
      <c r="GI3" s="3"/>
      <c r="GJ3" s="424">
        <v>0.6</v>
      </c>
      <c r="GK3" s="424"/>
      <c r="GL3" s="4"/>
      <c r="GM3" s="424">
        <v>0.8</v>
      </c>
      <c r="GN3" s="424"/>
    </row>
    <row r="4" spans="2:196" x14ac:dyDescent="0.25">
      <c r="B4" s="20" t="s">
        <v>270</v>
      </c>
      <c r="C4" s="16">
        <v>1</v>
      </c>
      <c r="D4" s="17">
        <f>-53.07 + (304.89 * (C4-'Vacas e Bezerros'!$C$206)) + (90.79 *('Vacas e Bezerros'!$AA$22)) - (3.13 *('Vacas e Bezerros'!$AA$22)^2)</f>
        <v>361.00306876098307</v>
      </c>
      <c r="F4" s="16">
        <v>1</v>
      </c>
      <c r="G4" s="17" t="e">
        <f>-53.07 + (304.89 * (F4)) + (90.79 *Crescimento!#REF!) - (3.13 * Crescimento!#REF!*Crescimento!#REF!)</f>
        <v>#REF!</v>
      </c>
      <c r="H4" s="1"/>
      <c r="I4" s="16">
        <v>1</v>
      </c>
      <c r="J4" s="17" t="e">
        <f>-53.07 + (304.89 * (I4)) + (90.79 *Crescimento!#REF!) - (3.13 * Crescimento!#REF!*Crescimento!#REF!)</f>
        <v>#REF!</v>
      </c>
      <c r="L4" s="16">
        <v>1</v>
      </c>
      <c r="M4" s="17" t="e">
        <f>-53.07 + (304.89 * (L4)) + (90.79 *Crescimento!#REF!) - (3.13 * Crescimento!#REF!*Crescimento!#REF!)</f>
        <v>#REF!</v>
      </c>
      <c r="O4" s="16">
        <v>1</v>
      </c>
      <c r="P4" s="17" t="e">
        <f>-53.07 + (304.89 * (O4)) + (90.79 *Crescimento!#REF!) - (3.13 * Crescimento!#REF!*Crescimento!#REF!)</f>
        <v>#REF!</v>
      </c>
      <c r="R4" s="16">
        <v>1</v>
      </c>
      <c r="S4" s="17" t="e">
        <f>-53.07 + (304.89 * (R4)) + (90.79 *Crescimento!#REF!) - (3.13 * Crescimento!#REF!*Crescimento!#REF!)</f>
        <v>#REF!</v>
      </c>
      <c r="U4" s="16">
        <v>1</v>
      </c>
      <c r="V4" s="17" t="e">
        <f>-53.07 + (304.89 * (U4)) + (90.79 *Crescimento!#REF!) - (3.13 * Crescimento!#REF!*Crescimento!#REF!)</f>
        <v>#REF!</v>
      </c>
      <c r="X4" s="16">
        <v>1</v>
      </c>
      <c r="Y4" s="17" t="e">
        <f>-53.07 + (304.89 * (X4)) + (90.79 *Crescimento!#REF!) - (3.13 * Crescimento!#REF!*Crescimento!#REF!)</f>
        <v>#REF!</v>
      </c>
      <c r="Z4" s="6"/>
      <c r="AA4" s="16">
        <v>1</v>
      </c>
      <c r="AB4" s="17" t="e">
        <f>-53.07 + (304.89 * (AA4)) + (90.79 *Crescimento!#REF!) - (3.13 * Crescimento!#REF!*Crescimento!#REF!)</f>
        <v>#REF!</v>
      </c>
      <c r="AC4" s="6"/>
      <c r="AD4" s="16">
        <v>1</v>
      </c>
      <c r="AE4" s="17" t="e">
        <f>-53.07 + (304.89 * (AD4)) + (90.79 *Crescimento!#REF!) - (3.13 * Crescimento!#REF!*Crescimento!#REF!)</f>
        <v>#REF!</v>
      </c>
      <c r="AF4" s="17"/>
      <c r="AG4" s="16">
        <v>1</v>
      </c>
      <c r="AH4" s="17" t="e">
        <f>-53.07 + (304.89 * (AG4)) + (90.79 *Crescimento!#REF!) - (3.13 * Crescimento!#REF!*Crescimento!#REF!)</f>
        <v>#REF!</v>
      </c>
      <c r="AJ4" s="16">
        <v>1</v>
      </c>
      <c r="AK4" s="17" t="e">
        <f>-53.07 + (304.89 * (AJ4)) + (90.79 *Crescimento!#REF!) - (3.13 * Crescimento!#REF!*Crescimento!#REF!)</f>
        <v>#REF!</v>
      </c>
      <c r="AM4" s="16">
        <v>1</v>
      </c>
      <c r="AN4" s="17" t="e">
        <f>-53.07 + (304.89 * (AM4)) + (90.79 *Crescimento!#REF!) - (3.13 * Crescimento!#REF!*Crescimento!#REF!)</f>
        <v>#REF!</v>
      </c>
      <c r="AP4" s="16">
        <v>1</v>
      </c>
      <c r="AQ4" s="17" t="e">
        <f>-53.07 + (304.89 * (AP4)) + (90.79 *Crescimento!#REF!) - (3.13 * Crescimento!#REF!*Crescimento!#REF!)</f>
        <v>#REF!</v>
      </c>
      <c r="AS4" s="16">
        <v>1</v>
      </c>
      <c r="AT4" s="17" t="e">
        <f>-53.07 + (304.89 * (AS4)) + (90.79 *Crescimento!#REF!) - (3.13 * Crescimento!#REF!*Crescimento!#REF!)</f>
        <v>#REF!</v>
      </c>
      <c r="AV4" s="16">
        <v>1</v>
      </c>
      <c r="AW4" s="17" t="e">
        <f>-53.07 + (304.89 * (AV4)) + (90.79 *Crescimento!#REF!) - (3.13 * Crescimento!#REF!*Crescimento!#REF!)</f>
        <v>#REF!</v>
      </c>
      <c r="AY4" s="21">
        <v>1</v>
      </c>
      <c r="AZ4" s="22" t="e">
        <f>-53.07 + (304.89 * (AY4)) + (90.79 *(Crescimento!#REF!-Crescimento!#REF!)) - (3.13 * (Crescimento!#REF!-Crescimento!#REF!)^2)</f>
        <v>#REF!</v>
      </c>
      <c r="BA4" s="23"/>
      <c r="BB4" s="21">
        <v>1</v>
      </c>
      <c r="BC4" s="22" t="e">
        <f>-53.07 + (304.89 * (BB4)) + (90.79 *(Crescimento!#REF!-Crescimento!#REF!)) - (3.13 * (Crescimento!#REF!-Crescimento!#REF!)^2)</f>
        <v>#REF!</v>
      </c>
      <c r="BD4" s="23"/>
      <c r="BE4" s="21">
        <v>1</v>
      </c>
      <c r="BF4" s="22" t="e">
        <f>-53.07 + (304.89 * (BE4)) + (90.79 *(Crescimento!#REF!-Crescimento!#REF!)) - (3.13 * (Crescimento!#REF!-Crescimento!#REF!)^2)</f>
        <v>#REF!</v>
      </c>
      <c r="BG4" s="23"/>
      <c r="BH4" s="21">
        <v>1</v>
      </c>
      <c r="BI4" s="22" t="e">
        <f>-53.07 + (304.89 * (BH4)) + (90.79 *(Crescimento!#REF!-Crescimento!#REF!)) - (3.13 * (Crescimento!#REF!-Crescimento!#REF!)^2)</f>
        <v>#REF!</v>
      </c>
      <c r="BJ4" s="23"/>
      <c r="BK4" s="21">
        <v>1</v>
      </c>
      <c r="BL4" s="22" t="e">
        <f>-53.07 + (304.89 * (BK4)) + (90.79 *(Crescimento!#REF!-Crescimento!#REF!)) - (3.13 * (Crescimento!#REF!-Crescimento!#REF!)^2)</f>
        <v>#REF!</v>
      </c>
      <c r="BM4" s="23"/>
      <c r="BN4" s="21">
        <v>1</v>
      </c>
      <c r="BO4" s="22" t="e">
        <f>-53.07 + (304.89 * (BN4)) + (90.79 *(Crescimento!#REF!-Crescimento!#REF!)) - (3.13 * (Crescimento!#REF!-Crescimento!#REF!)^2)</f>
        <v>#REF!</v>
      </c>
      <c r="BP4" s="23"/>
      <c r="BQ4" s="21">
        <v>1</v>
      </c>
      <c r="BR4" s="22" t="e">
        <f>-53.07 + (304.89 * (BQ4)) + (90.79 *(Crescimento!#REF!-Crescimento!#REF!)) - (3.13 * (Crescimento!#REF!-Crescimento!#REF!)^2)</f>
        <v>#REF!</v>
      </c>
      <c r="BS4" s="23"/>
      <c r="BT4" s="21">
        <v>1</v>
      </c>
      <c r="BU4" s="22" t="e">
        <f>-53.07 + (304.89 * (BT4)) + (90.79 *(Crescimento!#REF!-Crescimento!#REF!)) - (3.13 * (Crescimento!#REF!-Crescimento!#REF!)^2)</f>
        <v>#REF!</v>
      </c>
      <c r="BV4" s="23"/>
      <c r="BW4" s="21">
        <v>1</v>
      </c>
      <c r="BX4" s="22" t="e">
        <f>-53.07 + (304.89 * (BW4)) + (90.79 *(Crescimento!#REF!-Crescimento!#REF!)) - (3.13 * (Crescimento!#REF!-Crescimento!#REF!)^2)</f>
        <v>#REF!</v>
      </c>
      <c r="BY4" s="23"/>
      <c r="BZ4" s="21">
        <v>1</v>
      </c>
      <c r="CA4" s="22" t="e">
        <f>-53.07 + (304.89 * (BZ4)) + (90.79 *(Crescimento!#REF!-Crescimento!#REF!)) - (3.13 * (Crescimento!#REF!-Crescimento!#REF!)^2)</f>
        <v>#REF!</v>
      </c>
      <c r="CB4" s="23"/>
      <c r="CC4" s="21">
        <v>1</v>
      </c>
      <c r="CD4" s="22" t="e">
        <f>-53.07 + (304.89 * (CC4)) + (90.79 *(Crescimento!#REF!-Crescimento!#REF!)) - (3.13 * (Crescimento!#REF!-Crescimento!#REF!)^2)</f>
        <v>#REF!</v>
      </c>
      <c r="CE4" s="23"/>
      <c r="CF4" s="21">
        <v>1</v>
      </c>
      <c r="CG4" s="22" t="e">
        <f>-53.07 + (304.89 * (CF4)) + (90.79 *(Crescimento!#REF!-Crescimento!#REF!)) - (3.13 * (Crescimento!#REF!-Crescimento!#REF!)^2)</f>
        <v>#REF!</v>
      </c>
      <c r="CH4" s="23"/>
      <c r="CI4" s="21">
        <v>1</v>
      </c>
      <c r="CJ4" s="22" t="e">
        <f>-53.07 + (304.89 * (CI4)) + (90.79 *(Crescimento!#REF!-Crescimento!#REF!)) - (3.13 * (Crescimento!#REF!-Crescimento!#REF!)^2)</f>
        <v>#REF!</v>
      </c>
      <c r="CK4" s="23"/>
      <c r="CL4" s="21">
        <v>1</v>
      </c>
      <c r="CM4" s="22" t="e">
        <f>-53.07 + (304.89 * (CL4)) + (90.79 *(Crescimento!#REF!-Crescimento!#REF!)) - (3.13 * (Crescimento!#REF!-Crescimento!#REF!)^2)</f>
        <v>#REF!</v>
      </c>
      <c r="CN4" s="23"/>
      <c r="CO4" s="21">
        <v>1</v>
      </c>
      <c r="CP4" s="22" t="e">
        <f>-53.07 + (304.89 * (CO4)) + (90.79 *(Crescimento!#REF!-Crescimento!#REF!)) - (3.13 * (Crescimento!#REF!-Crescimento!#REF!)^2)</f>
        <v>#REF!</v>
      </c>
      <c r="CQ4" s="23"/>
      <c r="CR4" s="21">
        <v>1</v>
      </c>
      <c r="CS4" s="22" t="e">
        <f>-53.07 + (304.89 * (CR4)) + (90.79 *(Crescimento!#REF!-Crescimento!#REF!)) - (3.13 * (Crescimento!#REF!-Crescimento!#REF!)^2)</f>
        <v>#REF!</v>
      </c>
      <c r="CX4" s="16">
        <v>1</v>
      </c>
      <c r="CY4" s="17" t="e">
        <f>-53.07 + (304.89 * (CX4)) + (90.79 *(Crescimento!#REF!-Crescimento!#REF!)) - (3.13 * (Crescimento!#REF!-Crescimento!#REF!)^2)</f>
        <v>#REF!</v>
      </c>
      <c r="DA4" s="16">
        <v>1</v>
      </c>
      <c r="DB4" s="17" t="e">
        <f>-53.07 + (304.89 * (DA4)) + (90.79 *(Crescimento!#REF!-Crescimento!#REF!)) - (3.13 * (Crescimento!#REF!-Crescimento!#REF!)^2)</f>
        <v>#REF!</v>
      </c>
      <c r="DC4" s="1"/>
      <c r="DD4" s="16">
        <v>1</v>
      </c>
      <c r="DE4" s="17" t="e">
        <f>-53.07 + (304.89 * (DD4)) + (90.79 *(Crescimento!#REF!-Crescimento!#REF!)) - (3.13 * (Crescimento!#REF!-Crescimento!#REF!)^2)</f>
        <v>#REF!</v>
      </c>
      <c r="DG4" s="16">
        <v>1</v>
      </c>
      <c r="DH4" s="17" t="e">
        <f>-53.07 + (304.89 * (DG4)) + (90.79 *(Crescimento!#REF!-Crescimento!#REF!)) - (3.13 * (Crescimento!#REF!-Crescimento!#REF!)^2)</f>
        <v>#REF!</v>
      </c>
      <c r="DJ4" s="16">
        <v>1</v>
      </c>
      <c r="DK4" s="17" t="e">
        <f>-53.07 + (304.89 * (DJ4)) + (90.79 *(Crescimento!#REF!-Crescimento!#REF!)) - (3.13 * (Crescimento!#REF!-Crescimento!#REF!)^2)</f>
        <v>#REF!</v>
      </c>
      <c r="DM4" s="16">
        <v>1</v>
      </c>
      <c r="DN4" s="17" t="e">
        <f>-53.07 + (304.89 * (DM4)) + (90.79 *(Crescimento!#REF!-Crescimento!#REF!)) - (3.13 * (Crescimento!#REF!-Crescimento!#REF!)^2)</f>
        <v>#REF!</v>
      </c>
      <c r="DP4" s="16">
        <v>1</v>
      </c>
      <c r="DQ4" s="17" t="e">
        <f>-53.07 + (304.89 * (DP4)) + (90.79 *(Crescimento!#REF!-Crescimento!#REF!)) - (3.13 * (Crescimento!#REF!-Crescimento!#REF!)^2)</f>
        <v>#REF!</v>
      </c>
      <c r="DS4" s="16">
        <v>1</v>
      </c>
      <c r="DT4" s="17" t="e">
        <f>-53.07 + (304.89 * (DS4)) + (90.79 *(Crescimento!#REF!-Crescimento!#REF!)) - (3.13 * (Crescimento!#REF!-Crescimento!#REF!)^2)</f>
        <v>#REF!</v>
      </c>
      <c r="DU4" s="6"/>
      <c r="DV4" s="16">
        <v>1</v>
      </c>
      <c r="DW4" s="17" t="e">
        <f>-53.07 + (304.89 * (DV4)) + (90.79 *(Crescimento!#REF!-Crescimento!#REF!)) - (3.13 * (Crescimento!#REF!-Crescimento!#REF!)^2)</f>
        <v>#REF!</v>
      </c>
      <c r="DX4" s="6"/>
      <c r="DY4" s="16">
        <v>1</v>
      </c>
      <c r="DZ4" s="17" t="e">
        <f>-53.07 + (304.89 * (DY4)) + (90.79 *Crescimento!#REF!) - (3.13 * Crescimento!#REF!*Crescimento!#REF!)</f>
        <v>#REF!</v>
      </c>
      <c r="EA4" s="17"/>
      <c r="EB4" s="16">
        <v>1</v>
      </c>
      <c r="EC4" s="17" t="e">
        <f>-53.07 + (304.89 * (EB4)) + (90.79 *(Crescimento!#REF!-Crescimento!#REF!)) - (3.13 * (Crescimento!#REF!-Crescimento!#REF!)^2)</f>
        <v>#REF!</v>
      </c>
      <c r="EE4" s="16">
        <v>1</v>
      </c>
      <c r="EF4" s="17" t="e">
        <f>-53.07 + (304.89 * (EE4)) + (90.79 *(Crescimento!#REF!-Crescimento!#REF!)) - (3.13 * (Crescimento!#REF!-Crescimento!#REF!)^2)</f>
        <v>#REF!</v>
      </c>
      <c r="EH4" s="16">
        <v>1</v>
      </c>
      <c r="EI4" s="17" t="e">
        <f>-53.07 + (304.89 * (EH4)) + (90.79 *(Crescimento!#REF!-Crescimento!#REF!)) - (3.13 * (Crescimento!#REF!-Crescimento!#REF!)^2)</f>
        <v>#REF!</v>
      </c>
      <c r="EK4" s="16">
        <v>1</v>
      </c>
      <c r="EL4" s="17" t="e">
        <f>-53.07 + (304.89 * (EK4)) + (90.79 *(Crescimento!#REF!-Crescimento!#REF!)) - (3.13 * (Crescimento!#REF!-Crescimento!#REF!)^2)</f>
        <v>#REF!</v>
      </c>
      <c r="EN4" s="16">
        <v>1</v>
      </c>
      <c r="EO4" s="17" t="e">
        <f>-53.07 + (304.89 * (EN4)) + (90.79 *(Crescimento!#REF!-Crescimento!#REF!)) - (3.13 * (Crescimento!#REF!-Crescimento!#REF!)^2)</f>
        <v>#REF!</v>
      </c>
      <c r="EQ4" s="16">
        <v>1</v>
      </c>
      <c r="ER4" s="17" t="e">
        <f>-53.07 + (304.89 * (EQ4)) + (90.79 *(Crescimento!#REF!-Crescimento!#REF!)) - (3.13 * (Crescimento!#REF!-Crescimento!#REF!)^2)</f>
        <v>#REF!</v>
      </c>
      <c r="ET4" s="16">
        <v>1</v>
      </c>
      <c r="EU4" s="17" t="e">
        <f>-53.07 + (304.89 * (ET4)) + (90.79 *(Crescimento!#REF!-Crescimento!#REF!)) - (3.13 * (Crescimento!#REF!-Crescimento!#REF!)^2)</f>
        <v>#REF!</v>
      </c>
      <c r="EW4" s="16">
        <v>1</v>
      </c>
      <c r="EX4" s="17" t="e">
        <f>-53.07 + (304.89 * (EW4)) + (90.79 *('Vacas e Bezerros'!#REF!-'Vacas e Bezerros'!#REF!)) - (3.13 * ('Vacas e Bezerros'!#REF!-'Vacas e Bezerros'!#REF!)^2)</f>
        <v>#REF!</v>
      </c>
      <c r="EZ4" s="16">
        <v>1</v>
      </c>
      <c r="FA4" s="17" t="e">
        <f>-53.07 + (304.89 * (EZ4)) + (90.79 *('Vacas e Bezerros'!#REF!-'Vacas e Bezerros'!#REF!)) - (3.13 * ('Vacas e Bezerros'!#REF!-'Vacas e Bezerros'!#REF!)^2)</f>
        <v>#REF!</v>
      </c>
      <c r="FC4" s="16">
        <v>1</v>
      </c>
      <c r="FD4" s="17" t="e">
        <f>-53.07 + (304.89 * (FC4)) + (90.79 *('Vacas e Bezerros'!#REF!-'Vacas e Bezerros'!#REF!)) - (3.13 * ('Vacas e Bezerros'!#REF!-'Vacas e Bezerros'!#REF!)^2)</f>
        <v>#REF!</v>
      </c>
      <c r="FF4" s="16">
        <v>1</v>
      </c>
      <c r="FG4" s="17" t="e">
        <f>-53.07 + (304.89 * (FF4)) + (90.79 *('Vacas e Bezerros'!#REF!-'Vacas e Bezerros'!#REF!)) - (3.13 * ('Vacas e Bezerros'!#REF!-'Vacas e Bezerros'!#REF!)^2)</f>
        <v>#REF!</v>
      </c>
      <c r="FI4" s="16">
        <v>1</v>
      </c>
      <c r="FJ4" s="17" t="e">
        <f>-53.07 + (304.89 * (FI4)) + (90.79 *('Vacas e Bezerros'!#REF!-'Vacas e Bezerros'!#REF!)) - (3.13 * ('Vacas e Bezerros'!#REF!-'Vacas e Bezerros'!#REF!)^2)</f>
        <v>#REF!</v>
      </c>
      <c r="FL4" s="16">
        <v>1</v>
      </c>
      <c r="FM4" s="17" t="e">
        <f>-53.07 + (304.89 * (FL4)) + (90.79 *('Vacas e Bezerros'!#REF!-'Vacas e Bezerros'!#REF!)) - (3.13 * ('Vacas e Bezerros'!#REF!-'Vacas e Bezerros'!#REF!)^2)</f>
        <v>#REF!</v>
      </c>
      <c r="FO4" s="16">
        <v>1</v>
      </c>
      <c r="FP4" s="17" t="e">
        <f>-53.07 + (304.89 * (FO4)) + (90.79 *('Vacas e Bezerros'!#REF!-'Vacas e Bezerros'!#REF!)) - (3.13 * ('Vacas e Bezerros'!#REF!-'Vacas e Bezerros'!#REF!)^2)</f>
        <v>#REF!</v>
      </c>
      <c r="FR4" s="16">
        <v>1</v>
      </c>
      <c r="FS4" s="17" t="e">
        <f>-53.07 + (304.89 * (FR4)) + (90.79 *('Vacas e Bezerros'!#REF!-'Vacas e Bezerros'!#REF!)) - (3.13 * ('Vacas e Bezerros'!#REF!-'Vacas e Bezerros'!#REF!)^2)</f>
        <v>#REF!</v>
      </c>
      <c r="FU4" s="16">
        <v>1</v>
      </c>
      <c r="FV4" s="17" t="e">
        <f>-53.07 + (304.89 * (FU4)) + (90.79 *('Vacas e Bezerros'!#REF!-'Vacas e Bezerros'!#REF!)) - (3.13 * ('Vacas e Bezerros'!#REF!-'Vacas e Bezerros'!#REF!)^2)</f>
        <v>#REF!</v>
      </c>
      <c r="FX4" s="16">
        <v>1</v>
      </c>
      <c r="FY4" s="17" t="e">
        <f>-53.07 + (304.89 * (FX4)) + (90.79 *('Vacas e Bezerros'!#REF!-'Vacas e Bezerros'!#REF!)) - (3.13 * ('Vacas e Bezerros'!#REF!-'Vacas e Bezerros'!#REF!)^2)</f>
        <v>#REF!</v>
      </c>
      <c r="GA4" s="16">
        <v>1</v>
      </c>
      <c r="GB4" s="17" t="e">
        <f>-53.07 + (304.89 * (GA4)) + (90.79 *('Vacas e Bezerros'!#REF!-'Vacas e Bezerros'!#REF!)) - (3.13 * ('Vacas e Bezerros'!#REF!-'Vacas e Bezerros'!#REF!)^2)</f>
        <v>#REF!</v>
      </c>
      <c r="GD4" s="16">
        <v>1</v>
      </c>
      <c r="GE4" s="17" t="e">
        <f>-53.07 + (304.89 * (GD4)) + (90.79 *('Vacas e Bezerros'!#REF!-'Vacas e Bezerros'!#REF!)) - (3.13 * ('Vacas e Bezerros'!#REF!-'Vacas e Bezerros'!#REF!)^2)</f>
        <v>#REF!</v>
      </c>
      <c r="GG4" s="16">
        <v>1</v>
      </c>
      <c r="GH4" s="17" t="e">
        <f>-53.07 + (304.89 * (GG4)) + (90.79 *('Vacas e Bezerros'!#REF!-'Vacas e Bezerros'!#REF!)) - (3.13 * ('Vacas e Bezerros'!#REF!-'Vacas e Bezerros'!#REF!)^2)</f>
        <v>#REF!</v>
      </c>
      <c r="GJ4" s="16">
        <v>1</v>
      </c>
      <c r="GK4" s="17" t="e">
        <f>-53.07 + (304.89 * (GJ4)) + (90.79 *('Vacas e Bezerros'!#REF!-'Vacas e Bezerros'!#REF!)) - (3.13 * ('Vacas e Bezerros'!#REF!-'Vacas e Bezerros'!#REF!)^2)</f>
        <v>#REF!</v>
      </c>
      <c r="GM4" s="16">
        <v>1</v>
      </c>
      <c r="GN4" s="17" t="e">
        <f>-53.07 + (304.89 * (GM4)) + (90.79 *('Vacas e Bezerros'!#REF!-'Vacas e Bezerros'!#REF!)) - (3.13 * ('Vacas e Bezerros'!#REF!-'Vacas e Bezerros'!#REF!)^2)</f>
        <v>#REF!</v>
      </c>
    </row>
    <row r="5" spans="2:196" x14ac:dyDescent="0.25">
      <c r="B5" s="20" t="s">
        <v>271</v>
      </c>
      <c r="C5" s="16">
        <f>((D4+('Vacas e Bezerros'!$AA$28-(D4*0.64))/0.8)/1000)</f>
        <v>0.39639354099866542</v>
      </c>
      <c r="D5" s="17">
        <f>-53.07 + (304.89 * (C5-'Vacas e Bezerros'!$C$206)) + (90.79 *('Vacas e Bezerros'!$AA$22)) - (3.13 *('Vacas e Bezerros'!$AA$22)^2)</f>
        <v>176.96949547606621</v>
      </c>
      <c r="F5" s="16" t="e">
        <f>(G4+(Crescimento!#REF!-(G4*0.64))/0.8)/1000</f>
        <v>#REF!</v>
      </c>
      <c r="G5" s="17" t="e">
        <f>-53.07 + (304.89 * (F5)) + (90.79 *Crescimento!#REF!) - (3.13 * Crescimento!#REF!*Crescimento!#REF!)</f>
        <v>#REF!</v>
      </c>
      <c r="H5" s="1"/>
      <c r="I5" s="16" t="e">
        <f>(J4+(Crescimento!#REF!-(J4*0.64))/0.8)/1000</f>
        <v>#REF!</v>
      </c>
      <c r="J5" s="17" t="e">
        <f>-53.07 + (304.89 * (I5)) + (90.79 *Crescimento!#REF!) - (3.13 * Crescimento!#REF!*Crescimento!#REF!)</f>
        <v>#REF!</v>
      </c>
      <c r="L5" s="16" t="e">
        <f>(M4+(Crescimento!#REF!-(M4*0.64))/0.8)/1000</f>
        <v>#REF!</v>
      </c>
      <c r="M5" s="17" t="e">
        <f>-53.07 + (304.89 * (L5)) + (90.79 *Crescimento!#REF!) - (3.13 * Crescimento!#REF!*Crescimento!#REF!)</f>
        <v>#REF!</v>
      </c>
      <c r="O5" s="16" t="e">
        <f>(P4+(Crescimento!#REF!-(P4*0.64))/0.8)/1000</f>
        <v>#REF!</v>
      </c>
      <c r="P5" s="17" t="e">
        <f>-53.07 + (304.89 * (O5)) + (90.79 *Crescimento!#REF!) - (3.13 * Crescimento!#REF!*Crescimento!#REF!)</f>
        <v>#REF!</v>
      </c>
      <c r="R5" s="16" t="e">
        <f>(S4+(Crescimento!#REF!-(S4*0.64))/0.8)/1000</f>
        <v>#REF!</v>
      </c>
      <c r="S5" s="17" t="e">
        <f>-53.07 + (304.89 * (R5)) + (90.79 *Crescimento!#REF!) - (3.13 * Crescimento!#REF!*Crescimento!#REF!)</f>
        <v>#REF!</v>
      </c>
      <c r="U5" s="16" t="e">
        <f>(V4+(Crescimento!#REF!-(V4*0.64))/0.8)/1000</f>
        <v>#REF!</v>
      </c>
      <c r="V5" s="17" t="e">
        <f>-53.07 + (304.89 * (U5)) + (90.79 *Crescimento!#REF!) - (3.13 * Crescimento!#REF!*Crescimento!#REF!)</f>
        <v>#REF!</v>
      </c>
      <c r="X5" s="16" t="e">
        <f>(Y4+(Crescimento!#REF!-(Y4*0.64))/0.8)/1000</f>
        <v>#REF!</v>
      </c>
      <c r="Y5" s="17" t="e">
        <f>-53.07 + (304.89 * (X5)) + (90.79 *Crescimento!#REF!) - (3.13 * Crescimento!#REF!*Crescimento!#REF!)</f>
        <v>#REF!</v>
      </c>
      <c r="Z5" s="6"/>
      <c r="AA5" s="16" t="e">
        <f>(AB4+(Crescimento!#REF!-(AB4*0.64))/0.8)/1000</f>
        <v>#REF!</v>
      </c>
      <c r="AB5" s="17" t="e">
        <f>-53.07 + (304.89 * (AA5)) + (90.79 *Crescimento!#REF!) - (3.13 * Crescimento!#REF!*Crescimento!#REF!)</f>
        <v>#REF!</v>
      </c>
      <c r="AC5" s="6"/>
      <c r="AD5" s="16" t="e">
        <f>(AE4+(Crescimento!#REF!-(AE4*0.64))/0.8)/1000</f>
        <v>#REF!</v>
      </c>
      <c r="AE5" s="17" t="e">
        <f>-53.07 + (304.89 * (AD5)) + (90.79 *Crescimento!#REF!) - (3.13 * Crescimento!#REF!*Crescimento!#REF!)</f>
        <v>#REF!</v>
      </c>
      <c r="AF5" s="17"/>
      <c r="AG5" s="16" t="e">
        <f>(AH4+(Crescimento!#REF!-(AH4*0.64))/0.8)/1000</f>
        <v>#REF!</v>
      </c>
      <c r="AH5" s="17" t="e">
        <f>-53.07 + (304.89 * (AG5)) + (90.79 *Crescimento!#REF!) - (3.13 * Crescimento!#REF!*Crescimento!#REF!)</f>
        <v>#REF!</v>
      </c>
      <c r="AJ5" s="16" t="e">
        <f>(AK4+(Crescimento!#REF!-(AK4*0.64))/0.8)/1000</f>
        <v>#REF!</v>
      </c>
      <c r="AK5" s="17" t="e">
        <f>-53.07 + (304.89 * (AJ5)) + (90.79 *Crescimento!#REF!) - (3.13 * Crescimento!#REF!*Crescimento!#REF!)</f>
        <v>#REF!</v>
      </c>
      <c r="AM5" s="16" t="e">
        <f>(AN4+(Crescimento!#REF!-(AN4*0.64))/0.8)/1000</f>
        <v>#REF!</v>
      </c>
      <c r="AN5" s="17" t="e">
        <f>-53.07 + (304.89 * (AM5)) + (90.79 *Crescimento!#REF!) - (3.13 * Crescimento!#REF!*Crescimento!#REF!)</f>
        <v>#REF!</v>
      </c>
      <c r="AP5" s="16" t="e">
        <f>(AQ4+(Crescimento!#REF!-(AQ4*0.64))/0.8)/1000</f>
        <v>#REF!</v>
      </c>
      <c r="AQ5" s="17" t="e">
        <f>-53.07 + (304.89 * (AP5)) + (90.79 *Crescimento!#REF!) - (3.13 * Crescimento!#REF!*Crescimento!#REF!)</f>
        <v>#REF!</v>
      </c>
      <c r="AS5" s="16" t="e">
        <f>(AT4+(Crescimento!#REF!-(AT4*0.64))/0.8)/1000</f>
        <v>#REF!</v>
      </c>
      <c r="AT5" s="17" t="e">
        <f>-53.07 + (304.89 * (AS5)) + (90.79 *Crescimento!#REF!) - (3.13 * Crescimento!#REF!*Crescimento!#REF!)</f>
        <v>#REF!</v>
      </c>
      <c r="AV5" s="16" t="e">
        <f>(AW4+(Crescimento!#REF!-(AW4*0.64))/0.8)/1000</f>
        <v>#REF!</v>
      </c>
      <c r="AW5" s="17" t="e">
        <f>-53.07 + (304.89 * (AV5)) + (90.79 *Crescimento!#REF!) - (3.13 * Crescimento!#REF!*Crescimento!#REF!)</f>
        <v>#REF!</v>
      </c>
      <c r="AY5" s="21" t="e">
        <f>((AZ4+(Crescimento!#REF!-(AZ4*0.64))/0.8)/1000)-Crescimento!#REF!</f>
        <v>#REF!</v>
      </c>
      <c r="AZ5" s="22" t="e">
        <f>-53.07 + (304.89 * (AY5)) + (90.79 *(Crescimento!#REF!-Crescimento!#REF!)) - (3.13 * (Crescimento!#REF!-Crescimento!#REF!)^2)</f>
        <v>#REF!</v>
      </c>
      <c r="BA5" s="23"/>
      <c r="BB5" s="21" t="e">
        <f>((BC4+(Crescimento!#REF!-(BC4*0.64))/0.8)/1000)-Crescimento!#REF!</f>
        <v>#REF!</v>
      </c>
      <c r="BC5" s="22" t="e">
        <f>-53.07 + (304.89 * (BB5)) + (90.79 *(Crescimento!#REF!-Crescimento!#REF!)) - (3.13 * (Crescimento!#REF!-Crescimento!#REF!)^2)</f>
        <v>#REF!</v>
      </c>
      <c r="BD5" s="23"/>
      <c r="BE5" s="21" t="e">
        <f>((BF4+(Crescimento!#REF!-(BF4*0.64))/0.8)/1000)-Crescimento!#REF!</f>
        <v>#REF!</v>
      </c>
      <c r="BF5" s="22" t="e">
        <f>-53.07 + (304.89 * (BE5)) + (90.79 *(Crescimento!#REF!-Crescimento!#REF!)) - (3.13 * (Crescimento!#REF!-Crescimento!#REF!)^2)</f>
        <v>#REF!</v>
      </c>
      <c r="BG5" s="23"/>
      <c r="BH5" s="21" t="e">
        <f>((BI4+(Crescimento!#REF!-(BI4*0.64))/0.8)/1000)-Crescimento!#REF!</f>
        <v>#REF!</v>
      </c>
      <c r="BI5" s="22" t="e">
        <f>-53.07 + (304.89 * (BH5)) + (90.79 *(Crescimento!#REF!-Crescimento!#REF!)) - (3.13 * (Crescimento!#REF!-Crescimento!#REF!)^2)</f>
        <v>#REF!</v>
      </c>
      <c r="BJ5" s="23"/>
      <c r="BK5" s="21" t="e">
        <f>((BL4+(Crescimento!#REF!-(BL4*0.64))/0.8)/1000)-Crescimento!#REF!</f>
        <v>#REF!</v>
      </c>
      <c r="BL5" s="22" t="e">
        <f>-53.07 + (304.89 * (BK5)) + (90.79 *(Crescimento!#REF!-Crescimento!#REF!)) - (3.13 * (Crescimento!#REF!-Crescimento!#REF!)^2)</f>
        <v>#REF!</v>
      </c>
      <c r="BM5" s="23"/>
      <c r="BN5" s="21" t="e">
        <f>((BO4+(Crescimento!#REF!-(BO4*0.64))/0.8)/1000)-Crescimento!#REF!</f>
        <v>#REF!</v>
      </c>
      <c r="BO5" s="22" t="e">
        <f>-53.07 + (304.89 * (BN5)) + (90.79 *(Crescimento!#REF!-Crescimento!#REF!)) - (3.13 * (Crescimento!#REF!-Crescimento!#REF!)^2)</f>
        <v>#REF!</v>
      </c>
      <c r="BP5" s="23"/>
      <c r="BQ5" s="21" t="e">
        <f>((BR4+(Crescimento!#REF!-(BR4*0.64))/0.8)/1000)-Crescimento!#REF!</f>
        <v>#REF!</v>
      </c>
      <c r="BR5" s="22" t="e">
        <f>-53.07 + (304.89 * (BQ5)) + (90.79 *(Crescimento!#REF!-Crescimento!#REF!)) - (3.13 * (Crescimento!#REF!-Crescimento!#REF!)^2)</f>
        <v>#REF!</v>
      </c>
      <c r="BS5" s="23"/>
      <c r="BT5" s="21" t="e">
        <f>((BU4+(Crescimento!#REF!-(BU4*0.64))/0.8)/1000)-Crescimento!#REF!</f>
        <v>#REF!</v>
      </c>
      <c r="BU5" s="22" t="e">
        <f>-53.07 + (304.89 * (BT5)) + (90.79 *(Crescimento!#REF!-Crescimento!#REF!)) - (3.13 * (Crescimento!#REF!-Crescimento!#REF!)^2)</f>
        <v>#REF!</v>
      </c>
      <c r="BV5" s="23"/>
      <c r="BW5" s="21" t="e">
        <f>((BX4+(Crescimento!#REF!-(BX4*0.64))/0.8)/1000)-Crescimento!#REF!</f>
        <v>#REF!</v>
      </c>
      <c r="BX5" s="22" t="e">
        <f>-53.07 + (304.89 * (BW5)) + (90.79 *(Crescimento!#REF!-Crescimento!#REF!)) - (3.13 * (Crescimento!#REF!-Crescimento!#REF!)^2)</f>
        <v>#REF!</v>
      </c>
      <c r="BY5" s="23"/>
      <c r="BZ5" s="21" t="e">
        <f>((CA4+(Crescimento!#REF!-(CA4*0.64))/0.8)/1000)-Crescimento!#REF!</f>
        <v>#REF!</v>
      </c>
      <c r="CA5" s="22" t="e">
        <f>-53.07 + (304.89 * (BZ5)) + (90.79 *(Crescimento!#REF!-Crescimento!#REF!)) - (3.13 * (Crescimento!#REF!-Crescimento!#REF!)^2)</f>
        <v>#REF!</v>
      </c>
      <c r="CB5" s="23"/>
      <c r="CC5" s="21" t="e">
        <f>((CD4+(Crescimento!#REF!-(CD4*0.64))/0.8)/1000)-Crescimento!#REF!</f>
        <v>#REF!</v>
      </c>
      <c r="CD5" s="22" t="e">
        <f>-53.07 + (304.89 * (CC5)) + (90.79 *(Crescimento!#REF!-Crescimento!#REF!)) - (3.13 * (Crescimento!#REF!-Crescimento!#REF!)^2)</f>
        <v>#REF!</v>
      </c>
      <c r="CE5" s="23"/>
      <c r="CF5" s="21" t="e">
        <f>((CG4+(Crescimento!#REF!-(CG4*0.64))/0.8)/1000)-Crescimento!#REF!</f>
        <v>#REF!</v>
      </c>
      <c r="CG5" s="22" t="e">
        <f>-53.07 + (304.89 * (CF5)) + (90.79 *(Crescimento!#REF!-Crescimento!#REF!)) - (3.13 * (Crescimento!#REF!-Crescimento!#REF!)^2)</f>
        <v>#REF!</v>
      </c>
      <c r="CH5" s="23"/>
      <c r="CI5" s="21" t="e">
        <f>((CJ4+(Crescimento!#REF!-(CJ4*0.64))/0.8)/1000)-Crescimento!#REF!</f>
        <v>#REF!</v>
      </c>
      <c r="CJ5" s="22" t="e">
        <f>-53.07 + (304.89 * (CI5)) + (90.79 *(Crescimento!#REF!-Crescimento!#REF!)) - (3.13 * (Crescimento!#REF!-Crescimento!#REF!)^2)</f>
        <v>#REF!</v>
      </c>
      <c r="CK5" s="23"/>
      <c r="CL5" s="21" t="e">
        <f>((CM4+(Crescimento!#REF!-(CM4*0.64))/0.8)/1000)-Crescimento!#REF!</f>
        <v>#REF!</v>
      </c>
      <c r="CM5" s="22" t="e">
        <f>-53.07 + (304.89 * (CL5)) + (90.79 *(Crescimento!#REF!-Crescimento!#REF!)) - (3.13 * (Crescimento!#REF!-Crescimento!#REF!)^2)</f>
        <v>#REF!</v>
      </c>
      <c r="CN5" s="23"/>
      <c r="CO5" s="21" t="e">
        <f>((CP4+(Crescimento!#REF!-(CP4*0.64))/0.8)/1000)-Crescimento!#REF!</f>
        <v>#REF!</v>
      </c>
      <c r="CP5" s="22" t="e">
        <f>-53.07 + (304.89 * (CO5)) + (90.79 *(Crescimento!#REF!-Crescimento!#REF!)) - (3.13 * (Crescimento!#REF!-Crescimento!#REF!)^2)</f>
        <v>#REF!</v>
      </c>
      <c r="CQ5" s="23"/>
      <c r="CR5" s="21" t="e">
        <f>((CS4+(Crescimento!#REF!-(CS4*0.64))/0.8)/1000)-Crescimento!#REF!</f>
        <v>#REF!</v>
      </c>
      <c r="CS5" s="22" t="e">
        <f>-53.07 + (304.89 * (CR5)) + (90.79 *(Crescimento!#REF!-Crescimento!#REF!)) - (3.13 * (Crescimento!#REF!-Crescimento!#REF!)^2)</f>
        <v>#REF!</v>
      </c>
      <c r="CU5" s="16">
        <f>((CV4+('Vacas e Bezerros'!$AA$28-(CV4*0.64))/0.8)/1000)</f>
        <v>0.32419292724646881</v>
      </c>
      <c r="CV5" s="17">
        <f>-53.07 + (304.89 * (CU5-'Vacas e Bezerros'!$C$206)) + (90.79 *('Vacas e Bezerros'!$AA$22)) - (3.13 *('Vacas e Bezerros'!$AA$22)^2)</f>
        <v>154.95625034915898</v>
      </c>
      <c r="CX5" s="16" t="e">
        <f>((CY4+(Crescimento!#REF!-(CY4*0.64))/0.8)/1000)-Crescimento!#REF!</f>
        <v>#REF!</v>
      </c>
      <c r="CY5" s="17" t="e">
        <f>-53.07 + (304.89 * (CX5)) + (90.79 *(Crescimento!#REF!-Crescimento!#REF!)) - (3.13 * (Crescimento!#REF!-Crescimento!#REF!)^2)</f>
        <v>#REF!</v>
      </c>
      <c r="DA5" s="16" t="e">
        <f>((DB4+(Crescimento!#REF!-(DB4*0.64))/0.8)/1000)-Crescimento!#REF!</f>
        <v>#REF!</v>
      </c>
      <c r="DB5" s="17" t="e">
        <f>-53.07 + (304.89 * (DA5)) + (90.79 *(Crescimento!#REF!-Crescimento!#REF!)) - (3.13 * (Crescimento!#REF!-Crescimento!#REF!)^2)</f>
        <v>#REF!</v>
      </c>
      <c r="DC5" s="1"/>
      <c r="DD5" s="16" t="e">
        <f>((DE4+(Crescimento!#REF!-(DE4*0.64))/0.8)/1000)-Crescimento!#REF!</f>
        <v>#REF!</v>
      </c>
      <c r="DE5" s="17" t="e">
        <f>-53.07 + (304.89 * (DD5)) + (90.79 *(Crescimento!#REF!-Crescimento!#REF!)) - (3.13 * (Crescimento!#REF!-Crescimento!#REF!)^2)</f>
        <v>#REF!</v>
      </c>
      <c r="DG5" s="16" t="e">
        <f>((DH4+(Crescimento!#REF!-(DH4*0.64))/0.8)/1000)-Crescimento!#REF!</f>
        <v>#REF!</v>
      </c>
      <c r="DH5" s="17" t="e">
        <f>-53.07 + (304.89 * (DG5)) + (90.79 *(Crescimento!#REF!-Crescimento!#REF!)) - (3.13 * (Crescimento!#REF!-Crescimento!#REF!)^2)</f>
        <v>#REF!</v>
      </c>
      <c r="DJ5" s="16" t="e">
        <f>((DK4+(Crescimento!#REF!-(DK4*0.64))/0.8)/1000)-Crescimento!#REF!</f>
        <v>#REF!</v>
      </c>
      <c r="DK5" s="17" t="e">
        <f>-53.07 + (304.89 * (DJ5)) + (90.79 *(Crescimento!#REF!-Crescimento!#REF!)) - (3.13 * (Crescimento!#REF!-Crescimento!#REF!)^2)</f>
        <v>#REF!</v>
      </c>
      <c r="DM5" s="16" t="e">
        <f>((DN4+(Crescimento!#REF!-(DN4*0.64))/0.8)/1000)-Crescimento!#REF!</f>
        <v>#REF!</v>
      </c>
      <c r="DN5" s="17" t="e">
        <f>-53.07 + (304.89 * (DM5)) + (90.79 *(Crescimento!#REF!-Crescimento!#REF!)) - (3.13 * (Crescimento!#REF!-Crescimento!#REF!)^2)</f>
        <v>#REF!</v>
      </c>
      <c r="DP5" s="16" t="e">
        <f>((DQ4+(Crescimento!#REF!-(DQ4*0.64))/0.8)/1000)-Crescimento!#REF!</f>
        <v>#REF!</v>
      </c>
      <c r="DQ5" s="17" t="e">
        <f>-53.07 + (304.89 * (DP5)) + (90.79 *(Crescimento!#REF!-Crescimento!#REF!)) - (3.13 * (Crescimento!#REF!-Crescimento!#REF!)^2)</f>
        <v>#REF!</v>
      </c>
      <c r="DS5" s="16" t="e">
        <f>((DT4+(Crescimento!#REF!-(DT4*0.64))/0.8)/1000)-Crescimento!#REF!</f>
        <v>#REF!</v>
      </c>
      <c r="DT5" s="17" t="e">
        <f>-53.07 + (304.89 * (DS5)) + (90.79 *(Crescimento!#REF!-Crescimento!#REF!)) - (3.13 * (Crescimento!#REF!-Crescimento!#REF!)^2)</f>
        <v>#REF!</v>
      </c>
      <c r="DU5" s="6"/>
      <c r="DV5" s="16" t="e">
        <f>((DW4+(Crescimento!#REF!-(DW4*0.64))/0.8)/1000)-Crescimento!#REF!</f>
        <v>#REF!</v>
      </c>
      <c r="DW5" s="17" t="e">
        <f>-53.07 + (304.89 * (DV5)) + (90.79 *(Crescimento!#REF!-Crescimento!#REF!)) - (3.13 * (Crescimento!#REF!-Crescimento!#REF!)^2)</f>
        <v>#REF!</v>
      </c>
      <c r="DX5" s="6"/>
      <c r="DY5" s="16" t="e">
        <f>((DZ4+(Crescimento!#REF!-(DZ4*0.64))/0.8)/1000)-Crescimento!#REF!</f>
        <v>#REF!</v>
      </c>
      <c r="DZ5" s="17" t="e">
        <f>-53.07 + (304.89 * (DY5)) + (90.79 *(Crescimento!#REF!-Crescimento!#REF!)) - (3.13 * (Crescimento!#REF!-Crescimento!#REF!)^2)</f>
        <v>#REF!</v>
      </c>
      <c r="EA5" s="17"/>
      <c r="EB5" s="16" t="e">
        <f>((EC4+(Crescimento!#REF!-(EC4*0.64))/0.8)/1000)-Crescimento!#REF!</f>
        <v>#REF!</v>
      </c>
      <c r="EC5" s="17" t="e">
        <f>-53.07 + (304.89 * (EB5)) + (90.79 *(Crescimento!#REF!-Crescimento!#REF!)) - (3.13 * (Crescimento!#REF!-Crescimento!#REF!)^2)</f>
        <v>#REF!</v>
      </c>
      <c r="EE5" s="16" t="e">
        <f>((EF4+(Crescimento!#REF!-(EF4*0.64))/0.8)/1000)-Crescimento!#REF!</f>
        <v>#REF!</v>
      </c>
      <c r="EF5" s="17" t="e">
        <f>-53.07 + (304.89 * (EE5)) + (90.79 *(Crescimento!#REF!-Crescimento!#REF!)) - (3.13 * (Crescimento!#REF!-Crescimento!#REF!)^2)</f>
        <v>#REF!</v>
      </c>
      <c r="EH5" s="16" t="e">
        <f>((EI4+(Crescimento!#REF!-(EI4*0.64))/0.8)/1000)-Crescimento!#REF!</f>
        <v>#REF!</v>
      </c>
      <c r="EI5" s="17" t="e">
        <f>-53.07 + (304.89 * (EH5)) + (90.79 *(Crescimento!#REF!-Crescimento!#REF!)) - (3.13 * (Crescimento!#REF!-Crescimento!#REF!)^2)</f>
        <v>#REF!</v>
      </c>
      <c r="EK5" s="16" t="e">
        <f>((EL4+(Crescimento!#REF!-(EL4*0.64))/0.8)/1000)-Crescimento!#REF!</f>
        <v>#REF!</v>
      </c>
      <c r="EL5" s="17" t="e">
        <f>-53.07 + (304.89 * (EK5)) + (90.79 *(Crescimento!#REF!-Crescimento!#REF!)) - (3.13 * (Crescimento!#REF!-Crescimento!#REF!)^2)</f>
        <v>#REF!</v>
      </c>
      <c r="EN5" s="16" t="e">
        <f>((EO4+(Crescimento!#REF!-(EO4*0.64))/0.8)/1000)-Crescimento!#REF!</f>
        <v>#REF!</v>
      </c>
      <c r="EO5" s="17" t="e">
        <f>-53.07 + (304.89 * (EN5)) + (90.79 *(Crescimento!#REF!-Crescimento!#REF!)) - (3.13 * (Crescimento!#REF!-Crescimento!#REF!)^2)</f>
        <v>#REF!</v>
      </c>
      <c r="EQ5" s="16" t="e">
        <f>((ER4+(Crescimento!#REF!-(ER4*0.64))/0.8)/1000)-Crescimento!#REF!</f>
        <v>#REF!</v>
      </c>
      <c r="ER5" s="17" t="e">
        <f>-53.07 + (304.89 * (EQ5)) + (90.79 *(Crescimento!#REF!-Crescimento!#REF!)) - (3.13 * (Crescimento!#REF!-Crescimento!#REF!)^2)</f>
        <v>#REF!</v>
      </c>
      <c r="ET5" s="16" t="e">
        <f>((EU4+(Crescimento!#REF!-(EU4*0.64))/0.8)/1000)-Crescimento!#REF!</f>
        <v>#REF!</v>
      </c>
      <c r="EU5" s="17" t="e">
        <f>-53.07 + (304.89 * (ET5)) + (90.79 *(Crescimento!#REF!-Crescimento!#REF!)) - (3.13 * (Crescimento!#REF!-Crescimento!#REF!)^2)</f>
        <v>#REF!</v>
      </c>
      <c r="EW5" s="16" t="e">
        <f>((EX4+('Vacas e Bezerros'!#REF!-(EX4*0.64))/0.8)/1000)-'Vacas e Bezerros'!#REF!</f>
        <v>#REF!</v>
      </c>
      <c r="EX5" s="17" t="e">
        <f>-53.07 + (304.89 * (EW5)) + (90.79 *('Vacas e Bezerros'!#REF!-'Vacas e Bezerros'!#REF!)) - (3.13 * ('Vacas e Bezerros'!#REF!-'Vacas e Bezerros'!#REF!)^2)</f>
        <v>#REF!</v>
      </c>
      <c r="EZ5" s="16" t="e">
        <f>((FA4+('Vacas e Bezerros'!#REF!-(FA4*0.64))/0.8)/1000)-'Vacas e Bezerros'!#REF!</f>
        <v>#REF!</v>
      </c>
      <c r="FA5" s="17" t="e">
        <f>-53.07 + (304.89 * (EZ5)) + (90.79 *('Vacas e Bezerros'!#REF!-'Vacas e Bezerros'!#REF!)) - (3.13 * ('Vacas e Bezerros'!#REF!-'Vacas e Bezerros'!#REF!)^2)</f>
        <v>#REF!</v>
      </c>
      <c r="FC5" s="16" t="e">
        <f>((FD4+('Vacas e Bezerros'!#REF!-(FD4*0.64))/0.8)/1000)-'Vacas e Bezerros'!#REF!</f>
        <v>#REF!</v>
      </c>
      <c r="FD5" s="17" t="e">
        <f>-53.07 + (304.89 * (FC5)) + (90.79 *('Vacas e Bezerros'!#REF!-'Vacas e Bezerros'!#REF!)) - (3.13 * ('Vacas e Bezerros'!#REF!-'Vacas e Bezerros'!#REF!)^2)</f>
        <v>#REF!</v>
      </c>
      <c r="FF5" s="16" t="e">
        <f>((FG4+('Vacas e Bezerros'!#REF!-(FG4*0.64))/0.8)/1000)-'Vacas e Bezerros'!#REF!</f>
        <v>#REF!</v>
      </c>
      <c r="FG5" s="17" t="e">
        <f>-53.07 + (304.89 * (FF5)) + (90.79 *('Vacas e Bezerros'!#REF!-'Vacas e Bezerros'!#REF!)) - (3.13 * ('Vacas e Bezerros'!#REF!-'Vacas e Bezerros'!#REF!)^2)</f>
        <v>#REF!</v>
      </c>
      <c r="FI5" s="16" t="e">
        <f>((FJ4+('Vacas e Bezerros'!#REF!-(FJ4*0.64))/0.8)/1000)-'Vacas e Bezerros'!#REF!</f>
        <v>#REF!</v>
      </c>
      <c r="FJ5" s="17" t="e">
        <f>-53.07 + (304.89 * (FI5)) + (90.79 *('Vacas e Bezerros'!#REF!-'Vacas e Bezerros'!#REF!)) - (3.13 * ('Vacas e Bezerros'!#REF!-'Vacas e Bezerros'!#REF!)^2)</f>
        <v>#REF!</v>
      </c>
      <c r="FL5" s="16" t="e">
        <f>((FM4+('Vacas e Bezerros'!#REF!-(FM4*0.64))/0.8)/1000)-'Vacas e Bezerros'!#REF!</f>
        <v>#REF!</v>
      </c>
      <c r="FM5" s="17" t="e">
        <f>-53.07 + (304.89 * (FL5)) + (90.79 *('Vacas e Bezerros'!#REF!-'Vacas e Bezerros'!#REF!)) - (3.13 * ('Vacas e Bezerros'!#REF!-'Vacas e Bezerros'!#REF!)^2)</f>
        <v>#REF!</v>
      </c>
      <c r="FO5" s="16" t="e">
        <f>((FP4+('Vacas e Bezerros'!#REF!-(FP4*0.64))/0.8)/1000)-'Vacas e Bezerros'!#REF!</f>
        <v>#REF!</v>
      </c>
      <c r="FP5" s="17" t="e">
        <f>-53.07 + (304.89 * (FO5)) + (90.79 *('Vacas e Bezerros'!#REF!-'Vacas e Bezerros'!#REF!)) - (3.13 * ('Vacas e Bezerros'!#REF!-'Vacas e Bezerros'!#REF!)^2)</f>
        <v>#REF!</v>
      </c>
      <c r="FR5" s="16" t="e">
        <f>((FS4+('Vacas e Bezerros'!#REF!-(FS4*0.64))/0.8)/1000)-'Vacas e Bezerros'!#REF!</f>
        <v>#REF!</v>
      </c>
      <c r="FS5" s="17" t="e">
        <f>-53.07 + (304.89 * (FR5)) + (90.79 *('Vacas e Bezerros'!#REF!-'Vacas e Bezerros'!#REF!)) - (3.13 * ('Vacas e Bezerros'!#REF!-'Vacas e Bezerros'!#REF!)^2)</f>
        <v>#REF!</v>
      </c>
      <c r="FU5" s="16" t="e">
        <f>((FV4+('Vacas e Bezerros'!#REF!-(FV4*0.64))/0.8)/1000)-'Vacas e Bezerros'!#REF!</f>
        <v>#REF!</v>
      </c>
      <c r="FV5" s="17" t="e">
        <f>-53.07 + (304.89 * (FU5)) + (90.79 *('Vacas e Bezerros'!#REF!-'Vacas e Bezerros'!#REF!)) - (3.13 * ('Vacas e Bezerros'!#REF!-'Vacas e Bezerros'!#REF!)^2)</f>
        <v>#REF!</v>
      </c>
      <c r="FX5" s="16" t="e">
        <f>((FY4+('Vacas e Bezerros'!#REF!-(FY4*0.64))/0.8)/1000)-'Vacas e Bezerros'!#REF!</f>
        <v>#REF!</v>
      </c>
      <c r="FY5" s="17" t="e">
        <f>-53.07 + (304.89 * (FX5)) + (90.79 *('Vacas e Bezerros'!#REF!-'Vacas e Bezerros'!#REF!)) - (3.13 * ('Vacas e Bezerros'!#REF!-'Vacas e Bezerros'!#REF!)^2)</f>
        <v>#REF!</v>
      </c>
      <c r="GA5" s="16" t="e">
        <f>((GB4+('Vacas e Bezerros'!#REF!-(GB4*0.64))/0.8)/1000)-'Vacas e Bezerros'!#REF!</f>
        <v>#REF!</v>
      </c>
      <c r="GB5" s="17" t="e">
        <f>-53.07 + (304.89 * (GA5)) + (90.79 *('Vacas e Bezerros'!#REF!-'Vacas e Bezerros'!#REF!)) - (3.13 * ('Vacas e Bezerros'!#REF!-'Vacas e Bezerros'!#REF!)^2)</f>
        <v>#REF!</v>
      </c>
      <c r="GD5" s="16" t="e">
        <f>((GE4+('Vacas e Bezerros'!#REF!-(GE4*0.64))/0.8)/1000)-'Vacas e Bezerros'!#REF!</f>
        <v>#REF!</v>
      </c>
      <c r="GE5" s="17" t="e">
        <f>-53.07 + (304.89 * (GD5)) + (90.79 *('Vacas e Bezerros'!#REF!-'Vacas e Bezerros'!#REF!)) - (3.13 * ('Vacas e Bezerros'!#REF!-'Vacas e Bezerros'!#REF!)^2)</f>
        <v>#REF!</v>
      </c>
      <c r="GG5" s="16" t="e">
        <f>((GH4+('Vacas e Bezerros'!#REF!-(GH4*0.64))/0.8)/1000)-'Vacas e Bezerros'!#REF!</f>
        <v>#REF!</v>
      </c>
      <c r="GH5" s="17" t="e">
        <f>-53.07 + (304.89 * (GG5)) + (90.79 *('Vacas e Bezerros'!#REF!-'Vacas e Bezerros'!#REF!)) - (3.13 * ('Vacas e Bezerros'!#REF!-'Vacas e Bezerros'!#REF!)^2)</f>
        <v>#REF!</v>
      </c>
      <c r="GJ5" s="16" t="e">
        <f>((GK4+('Vacas e Bezerros'!#REF!-(GK4*0.64))/0.8)/1000)-'Vacas e Bezerros'!#REF!</f>
        <v>#REF!</v>
      </c>
      <c r="GK5" s="17" t="e">
        <f>-53.07 + (304.89 * (GJ5)) + (90.79 *('Vacas e Bezerros'!#REF!-'Vacas e Bezerros'!#REF!)) - (3.13 * ('Vacas e Bezerros'!#REF!-'Vacas e Bezerros'!#REF!)^2)</f>
        <v>#REF!</v>
      </c>
      <c r="GM5" s="16" t="e">
        <f>((GN4+('Vacas e Bezerros'!#REF!-(GN4*0.64))/0.8)/1000)-'Vacas e Bezerros'!#REF!</f>
        <v>#REF!</v>
      </c>
      <c r="GN5" s="17" t="e">
        <f>-53.07 + (304.89 * (GM5)) + (90.79 *('Vacas e Bezerros'!#REF!-'Vacas e Bezerros'!#REF!)) - (3.13 * ('Vacas e Bezerros'!#REF!-'Vacas e Bezerros'!#REF!)^2)</f>
        <v>#REF!</v>
      </c>
    </row>
    <row r="6" spans="2:196" x14ac:dyDescent="0.25">
      <c r="C6" s="16">
        <f>(D5+('Vacas e Bezerros'!$AA$28-(D5*0.64))/0.8)/1000</f>
        <v>0.35958682634168199</v>
      </c>
      <c r="D6" s="17">
        <f>-53.07 + (304.89 * (C6-'Vacas e Bezerros'!$C$206)) + (90.79 *('Vacas e Bezerros'!$AA$22)) - (3.13 *('Vacas e Bezerros'!$AA$22)^2)</f>
        <v>165.74749624429853</v>
      </c>
      <c r="F6" s="16" t="e">
        <f>(G5+(Crescimento!#REF!-(G5*0.64))/0.8)/1000</f>
        <v>#REF!</v>
      </c>
      <c r="G6" s="17" t="e">
        <f>-53.07 + (304.89 * (F6)) + (90.79 *Crescimento!#REF!) - (3.13 * Crescimento!#REF!*Crescimento!#REF!)</f>
        <v>#REF!</v>
      </c>
      <c r="H6" s="1"/>
      <c r="I6" s="16" t="e">
        <f>(J5+(Crescimento!#REF!-(J5*0.64))/0.8)/1000</f>
        <v>#REF!</v>
      </c>
      <c r="J6" s="17" t="e">
        <f>-53.07 + (304.89 * (I6)) + (90.79 *Crescimento!#REF!) - (3.13 * Crescimento!#REF!*Crescimento!#REF!)</f>
        <v>#REF!</v>
      </c>
      <c r="L6" s="16" t="e">
        <f>(M5+(Crescimento!#REF!-(M5*0.64))/0.8)/1000</f>
        <v>#REF!</v>
      </c>
      <c r="M6" s="17" t="e">
        <f>-53.07 + (304.89 * (L6)) + (90.79 *Crescimento!#REF!) - (3.13 * Crescimento!#REF!*Crescimento!#REF!)</f>
        <v>#REF!</v>
      </c>
      <c r="O6" s="16" t="e">
        <f>(P5+(Crescimento!#REF!-(P5*0.64))/0.8)/1000</f>
        <v>#REF!</v>
      </c>
      <c r="P6" s="17" t="e">
        <f>-53.07 + (304.89 * (O6)) + (90.79 *Crescimento!#REF!) - (3.13 * Crescimento!#REF!*Crescimento!#REF!)</f>
        <v>#REF!</v>
      </c>
      <c r="R6" s="16" t="e">
        <f>(S5+(Crescimento!#REF!-(S5*0.64))/0.8)/1000</f>
        <v>#REF!</v>
      </c>
      <c r="S6" s="17" t="e">
        <f>-53.07 + (304.89 * (R6)) + (90.79 *Crescimento!#REF!) - (3.13 * Crescimento!#REF!*Crescimento!#REF!)</f>
        <v>#REF!</v>
      </c>
      <c r="U6" s="16" t="e">
        <f>(V5+(Crescimento!#REF!-(V5*0.64))/0.8)/1000</f>
        <v>#REF!</v>
      </c>
      <c r="V6" s="17" t="e">
        <f>-53.07 + (304.89 * (U6)) + (90.79 *Crescimento!#REF!) - (3.13 * Crescimento!#REF!*Crescimento!#REF!)</f>
        <v>#REF!</v>
      </c>
      <c r="X6" s="16" t="e">
        <f>(Y5+(Crescimento!#REF!-(Y5*0.64))/0.8)/1000</f>
        <v>#REF!</v>
      </c>
      <c r="Y6" s="17" t="e">
        <f>-53.07 + (304.89 * (X6)) + (90.79 *Crescimento!#REF!) - (3.13 * Crescimento!#REF!*Crescimento!#REF!)</f>
        <v>#REF!</v>
      </c>
      <c r="Z6" s="6"/>
      <c r="AA6" s="16" t="e">
        <f>(AB5+(Crescimento!#REF!-(AB5*0.64))/0.8)/1000</f>
        <v>#REF!</v>
      </c>
      <c r="AB6" s="17" t="e">
        <f>-53.07 + (304.89 * (AA6)) + (90.79 *Crescimento!#REF!) - (3.13 * Crescimento!#REF!*Crescimento!#REF!)</f>
        <v>#REF!</v>
      </c>
      <c r="AC6" s="6"/>
      <c r="AD6" s="16" t="e">
        <f>(AE5+(Crescimento!#REF!-(AE5*0.64))/0.8)/1000</f>
        <v>#REF!</v>
      </c>
      <c r="AE6" s="17" t="e">
        <f>-53.07 + (304.89 * (AD6)) + (90.79 *Crescimento!#REF!) - (3.13 * Crescimento!#REF!*Crescimento!#REF!)</f>
        <v>#REF!</v>
      </c>
      <c r="AF6" s="17"/>
      <c r="AG6" s="16" t="e">
        <f>(AH5+(Crescimento!#REF!-(AH5*0.64))/0.8)/1000</f>
        <v>#REF!</v>
      </c>
      <c r="AH6" s="17" t="e">
        <f>-53.07 + (304.89 * (AG6)) + (90.79 *Crescimento!#REF!) - (3.13 * Crescimento!#REF!*Crescimento!#REF!)</f>
        <v>#REF!</v>
      </c>
      <c r="AJ6" s="16" t="e">
        <f>(AK5+(Crescimento!#REF!-(AK5*0.64))/0.8)/1000</f>
        <v>#REF!</v>
      </c>
      <c r="AK6" s="17" t="e">
        <f>-53.07 + (304.89 * (AJ6)) + (90.79 *Crescimento!#REF!) - (3.13 * Crescimento!#REF!*Crescimento!#REF!)</f>
        <v>#REF!</v>
      </c>
      <c r="AM6" s="16" t="e">
        <f>(AN5+(Crescimento!#REF!-(AN5*0.64))/0.8)/1000</f>
        <v>#REF!</v>
      </c>
      <c r="AN6" s="17" t="e">
        <f>-53.07 + (304.89 * (AM6)) + (90.79 *Crescimento!#REF!) - (3.13 * Crescimento!#REF!*Crescimento!#REF!)</f>
        <v>#REF!</v>
      </c>
      <c r="AP6" s="16" t="e">
        <f>(AQ5+(Crescimento!#REF!-(AQ5*0.64))/0.8)/1000</f>
        <v>#REF!</v>
      </c>
      <c r="AQ6" s="17" t="e">
        <f>-53.07 + (304.89 * (AP6)) + (90.79 *Crescimento!#REF!) - (3.13 * Crescimento!#REF!*Crescimento!#REF!)</f>
        <v>#REF!</v>
      </c>
      <c r="AS6" s="16" t="e">
        <f>(AT5+(Crescimento!#REF!-(AT5*0.64))/0.8)/1000</f>
        <v>#REF!</v>
      </c>
      <c r="AT6" s="17" t="e">
        <f>-53.07 + (304.89 * (AS6)) + (90.79 *Crescimento!#REF!) - (3.13 * Crescimento!#REF!*Crescimento!#REF!)</f>
        <v>#REF!</v>
      </c>
      <c r="AV6" s="16" t="e">
        <f>(AW5+(Crescimento!#REF!-(AW5*0.64))/0.8)/1000</f>
        <v>#REF!</v>
      </c>
      <c r="AW6" s="17" t="e">
        <f>-53.07 + (304.89 * (AV6)) + (90.79 *Crescimento!#REF!) - (3.13 * Crescimento!#REF!*Crescimento!#REF!)</f>
        <v>#REF!</v>
      </c>
      <c r="AY6" s="21" t="e">
        <f>((AZ5+(Crescimento!#REF!-(AZ5*0.64))/0.8)/1000)-Crescimento!#REF!</f>
        <v>#REF!</v>
      </c>
      <c r="AZ6" s="22" t="e">
        <f>-53.07 + (304.89 * (AY6)) + (90.79 *(Crescimento!#REF!-Crescimento!#REF!)) - (3.13 * (Crescimento!#REF!-Crescimento!#REF!)^2)</f>
        <v>#REF!</v>
      </c>
      <c r="BA6" s="23"/>
      <c r="BB6" s="21" t="e">
        <f>((BC5+(Crescimento!#REF!-(BC5*0.64))/0.8)/1000)-Crescimento!#REF!</f>
        <v>#REF!</v>
      </c>
      <c r="BC6" s="22" t="e">
        <f>-53.07 + (304.89 * (BB6)) + (90.79 *(Crescimento!#REF!-Crescimento!#REF!)) - (3.13 * (Crescimento!#REF!-Crescimento!#REF!)^2)</f>
        <v>#REF!</v>
      </c>
      <c r="BD6" s="23"/>
      <c r="BE6" s="21" t="e">
        <f>((BF5+(Crescimento!#REF!-(BF5*0.64))/0.8)/1000)-Crescimento!#REF!</f>
        <v>#REF!</v>
      </c>
      <c r="BF6" s="22" t="e">
        <f>-53.07 + (304.89 * (BE6)) + (90.79 *(Crescimento!#REF!-Crescimento!#REF!)) - (3.13 * (Crescimento!#REF!-Crescimento!#REF!)^2)</f>
        <v>#REF!</v>
      </c>
      <c r="BG6" s="23"/>
      <c r="BH6" s="21" t="e">
        <f>((BI5+(Crescimento!#REF!-(BI5*0.64))/0.8)/1000)-Crescimento!#REF!</f>
        <v>#REF!</v>
      </c>
      <c r="BI6" s="22" t="e">
        <f>-53.07 + (304.89 * (BH6)) + (90.79 *(Crescimento!#REF!-Crescimento!#REF!)) - (3.13 * (Crescimento!#REF!-Crescimento!#REF!)^2)</f>
        <v>#REF!</v>
      </c>
      <c r="BJ6" s="23"/>
      <c r="BK6" s="21" t="e">
        <f>((BL5+(Crescimento!#REF!-(BL5*0.64))/0.8)/1000)-Crescimento!#REF!</f>
        <v>#REF!</v>
      </c>
      <c r="BL6" s="22" t="e">
        <f>-53.07 + (304.89 * (BK6)) + (90.79 *(Crescimento!#REF!-Crescimento!#REF!)) - (3.13 * (Crescimento!#REF!-Crescimento!#REF!)^2)</f>
        <v>#REF!</v>
      </c>
      <c r="BM6" s="23"/>
      <c r="BN6" s="21" t="e">
        <f>((BO5+(Crescimento!#REF!-(BO5*0.64))/0.8)/1000)-Crescimento!#REF!</f>
        <v>#REF!</v>
      </c>
      <c r="BO6" s="22" t="e">
        <f>-53.07 + (304.89 * (BN6)) + (90.79 *(Crescimento!#REF!-Crescimento!#REF!)) - (3.13 * (Crescimento!#REF!-Crescimento!#REF!)^2)</f>
        <v>#REF!</v>
      </c>
      <c r="BP6" s="23"/>
      <c r="BQ6" s="21" t="e">
        <f>((BR5+(Crescimento!#REF!-(BR5*0.64))/0.8)/1000)-Crescimento!#REF!</f>
        <v>#REF!</v>
      </c>
      <c r="BR6" s="22" t="e">
        <f>-53.07 + (304.89 * (BQ6)) + (90.79 *(Crescimento!#REF!-Crescimento!#REF!)) - (3.13 * (Crescimento!#REF!-Crescimento!#REF!)^2)</f>
        <v>#REF!</v>
      </c>
      <c r="BS6" s="23"/>
      <c r="BT6" s="21" t="e">
        <f>((BU5+(Crescimento!#REF!-(BU5*0.64))/0.8)/1000)-Crescimento!#REF!</f>
        <v>#REF!</v>
      </c>
      <c r="BU6" s="22" t="e">
        <f>-53.07 + (304.89 * (BT6)) + (90.79 *(Crescimento!#REF!-Crescimento!#REF!)) - (3.13 * (Crescimento!#REF!-Crescimento!#REF!)^2)</f>
        <v>#REF!</v>
      </c>
      <c r="BV6" s="23"/>
      <c r="BW6" s="21" t="e">
        <f>((BX5+(Crescimento!#REF!-(BX5*0.64))/0.8)/1000)-Crescimento!#REF!</f>
        <v>#REF!</v>
      </c>
      <c r="BX6" s="22" t="e">
        <f>-53.07 + (304.89 * (BW6)) + (90.79 *(Crescimento!#REF!-Crescimento!#REF!)) - (3.13 * (Crescimento!#REF!-Crescimento!#REF!)^2)</f>
        <v>#REF!</v>
      </c>
      <c r="BY6" s="23"/>
      <c r="BZ6" s="21" t="e">
        <f>((CA5+(Crescimento!#REF!-(CA5*0.64))/0.8)/1000)-Crescimento!#REF!</f>
        <v>#REF!</v>
      </c>
      <c r="CA6" s="22" t="e">
        <f>-53.07 + (304.89 * (BZ6)) + (90.79 *(Crescimento!#REF!-Crescimento!#REF!)) - (3.13 * (Crescimento!#REF!-Crescimento!#REF!)^2)</f>
        <v>#REF!</v>
      </c>
      <c r="CB6" s="23"/>
      <c r="CC6" s="21" t="e">
        <f>((CD5+(Crescimento!#REF!-(CD5*0.64))/0.8)/1000)-Crescimento!#REF!</f>
        <v>#REF!</v>
      </c>
      <c r="CD6" s="22" t="e">
        <f>-53.07 + (304.89 * (CC6)) + (90.79 *(Crescimento!#REF!-Crescimento!#REF!)) - (3.13 * (Crescimento!#REF!-Crescimento!#REF!)^2)</f>
        <v>#REF!</v>
      </c>
      <c r="CE6" s="23"/>
      <c r="CF6" s="21" t="e">
        <f>((CG5+(Crescimento!#REF!-(CG5*0.64))/0.8)/1000)-Crescimento!#REF!</f>
        <v>#REF!</v>
      </c>
      <c r="CG6" s="22" t="e">
        <f>-53.07 + (304.89 * (CF6)) + (90.79 *(Crescimento!#REF!-Crescimento!#REF!)) - (3.13 * (Crescimento!#REF!-Crescimento!#REF!)^2)</f>
        <v>#REF!</v>
      </c>
      <c r="CH6" s="23"/>
      <c r="CI6" s="21" t="e">
        <f>((CJ5+(Crescimento!#REF!-(CJ5*0.64))/0.8)/1000)-Crescimento!#REF!</f>
        <v>#REF!</v>
      </c>
      <c r="CJ6" s="22" t="e">
        <f>-53.07 + (304.89 * (CI6)) + (90.79 *(Crescimento!#REF!-Crescimento!#REF!)) - (3.13 * (Crescimento!#REF!-Crescimento!#REF!)^2)</f>
        <v>#REF!</v>
      </c>
      <c r="CK6" s="23"/>
      <c r="CL6" s="21" t="e">
        <f>((CM5+(Crescimento!#REF!-(CM5*0.64))/0.8)/1000)-Crescimento!#REF!</f>
        <v>#REF!</v>
      </c>
      <c r="CM6" s="22" t="e">
        <f>-53.07 + (304.89 * (CL6)) + (90.79 *(Crescimento!#REF!-Crescimento!#REF!)) - (3.13 * (Crescimento!#REF!-Crescimento!#REF!)^2)</f>
        <v>#REF!</v>
      </c>
      <c r="CN6" s="23"/>
      <c r="CO6" s="21" t="e">
        <f>((CP5+(Crescimento!#REF!-(CP5*0.64))/0.8)/1000)-Crescimento!#REF!</f>
        <v>#REF!</v>
      </c>
      <c r="CP6" s="22" t="e">
        <f>-53.07 + (304.89 * (CO6)) + (90.79 *(Crescimento!#REF!-Crescimento!#REF!)) - (3.13 * (Crescimento!#REF!-Crescimento!#REF!)^2)</f>
        <v>#REF!</v>
      </c>
      <c r="CQ6" s="23"/>
      <c r="CR6" s="21" t="e">
        <f>((CS5+(Crescimento!#REF!-(CS5*0.64))/0.8)/1000)-Crescimento!#REF!</f>
        <v>#REF!</v>
      </c>
      <c r="CS6" s="22" t="e">
        <f>-53.07 + (304.89 * (CR6)) + (90.79 *(Crescimento!#REF!-Crescimento!#REF!)) - (3.13 * (Crescimento!#REF!-Crescimento!#REF!)^2)</f>
        <v>#REF!</v>
      </c>
      <c r="CX6" s="16" t="e">
        <f>((CY5+(Crescimento!#REF!-(CY5*0.64))/0.8)/1000)-Crescimento!#REF!</f>
        <v>#REF!</v>
      </c>
      <c r="CY6" s="17" t="e">
        <f>-53.07 + (304.89 * (CX6)) + (90.79 *(Crescimento!#REF!-Crescimento!#REF!)) - (3.13 * (Crescimento!#REF!-Crescimento!#REF!)^2)</f>
        <v>#REF!</v>
      </c>
      <c r="DA6" s="16" t="e">
        <f>((DB5+(Crescimento!#REF!-(DB5*0.64))/0.8)/1000)-Crescimento!#REF!</f>
        <v>#REF!</v>
      </c>
      <c r="DB6" s="17" t="e">
        <f>-53.07 + (304.89 * (DA6)) + (90.79 *(Crescimento!#REF!-Crescimento!#REF!)) - (3.13 * (Crescimento!#REF!-Crescimento!#REF!)^2)</f>
        <v>#REF!</v>
      </c>
      <c r="DD6" s="16" t="e">
        <f>(DE5+(Crescimento!#REF!-(DE5*0.64))/0.8)/1000</f>
        <v>#REF!</v>
      </c>
      <c r="DE6" s="17" t="e">
        <f>-53.07 + (304.89 * (DD6)) + (90.79 *Crescimento!#REF!) - (3.13 * Crescimento!#REF!*Crescimento!#REF!)</f>
        <v>#REF!</v>
      </c>
      <c r="DG6" s="16" t="e">
        <f>((DH5+(Crescimento!#REF!-(DH5*0.64))/0.8)/1000)-Crescimento!#REF!</f>
        <v>#REF!</v>
      </c>
      <c r="DH6" s="17" t="e">
        <f>-53.07 + (304.89 * (DG6)) + (90.79 *(Crescimento!#REF!-Crescimento!#REF!)) - (3.13 * (Crescimento!#REF!-Crescimento!#REF!)^2)</f>
        <v>#REF!</v>
      </c>
      <c r="DJ6" s="16" t="e">
        <f>((DK5+(Crescimento!#REF!-(DK5*0.64))/0.8)/1000)-Crescimento!#REF!</f>
        <v>#REF!</v>
      </c>
      <c r="DK6" s="17" t="e">
        <f>-53.07 + (304.89 * (DJ6)) + (90.79 *(Crescimento!#REF!-Crescimento!#REF!)) - (3.13 * (Crescimento!#REF!-Crescimento!#REF!)^2)</f>
        <v>#REF!</v>
      </c>
      <c r="DM6" s="16" t="e">
        <f>((DN5+(Crescimento!#REF!-(DN5*0.64))/0.8)/1000)-Crescimento!#REF!</f>
        <v>#REF!</v>
      </c>
      <c r="DN6" s="17" t="e">
        <f>-53.07 + (304.89 * (DM6)) + (90.79 *(Crescimento!#REF!-Crescimento!#REF!)) - (3.13 * (Crescimento!#REF!-Crescimento!#REF!)^2)</f>
        <v>#REF!</v>
      </c>
      <c r="DP6" s="16" t="e">
        <f>(DQ5+(Crescimento!#REF!-(DQ5*0.64))/0.8)/1000</f>
        <v>#REF!</v>
      </c>
      <c r="DQ6" s="17" t="e">
        <f>-53.07 + (304.89 * (DP6)) + (90.79 *(Crescimento!#REF!-Crescimento!#REF!)) - (3.13 * (Crescimento!#REF!-Crescimento!#REF!)^2)</f>
        <v>#REF!</v>
      </c>
      <c r="DS6" s="16" t="e">
        <f>((DT5+(Crescimento!#REF!-(DT5*0.64))/0.8)/1000)-Crescimento!#REF!</f>
        <v>#REF!</v>
      </c>
      <c r="DT6" s="17" t="e">
        <f>-53.07 + (304.89 * (DS6)) + (90.79 *(Crescimento!#REF!-Crescimento!#REF!)) - (3.13 * (Crescimento!#REF!-Crescimento!#REF!)^2)</f>
        <v>#REF!</v>
      </c>
      <c r="DV6" s="16" t="e">
        <f>((DW5+(Crescimento!#REF!-(DW5*0.64))/0.8)/1000)-Crescimento!#REF!</f>
        <v>#REF!</v>
      </c>
      <c r="DW6" s="17" t="e">
        <f>-53.07 + (304.89 * (DV6)) + (90.79 *(Crescimento!#REF!-Crescimento!#REF!)) - (3.13 * (Crescimento!#REF!-Crescimento!#REF!)^2)</f>
        <v>#REF!</v>
      </c>
      <c r="DY6" s="16" t="e">
        <f>((DZ5+(Crescimento!#REF!-(DZ5*0.64))/0.8)/1000)-Crescimento!#REF!</f>
        <v>#REF!</v>
      </c>
      <c r="DZ6" s="17" t="e">
        <f>-53.07 + (304.89 * (DY6)) + (90.79 *(Crescimento!#REF!-Crescimento!#REF!)) - (3.13 * (Crescimento!#REF!-Crescimento!#REF!)^2)</f>
        <v>#REF!</v>
      </c>
      <c r="EB6" s="16" t="e">
        <f>((EC5+(Crescimento!#REF!-(EC5*0.64))/0.8)/1000)-Crescimento!#REF!</f>
        <v>#REF!</v>
      </c>
      <c r="EC6" s="17" t="e">
        <f>-53.07 + (304.89 * (EB6)) + (90.79 *(Crescimento!#REF!-Crescimento!#REF!)) - (3.13 * (Crescimento!#REF!-Crescimento!#REF!)^2)</f>
        <v>#REF!</v>
      </c>
      <c r="EE6" s="16" t="e">
        <f>((EF5+(Crescimento!#REF!-(EF5*0.64))/0.8)/1000)-Crescimento!#REF!</f>
        <v>#REF!</v>
      </c>
      <c r="EF6" s="17" t="e">
        <f>-53.07 + (304.89 * (EE6)) + (90.79 *(Crescimento!#REF!-Crescimento!#REF!)) - (3.13 * (Crescimento!#REF!-Crescimento!#REF!)^2)</f>
        <v>#REF!</v>
      </c>
      <c r="EH6" s="16" t="e">
        <f>((EI5+(Crescimento!#REF!-(EI5*0.64))/0.8)/1000)-Crescimento!#REF!</f>
        <v>#REF!</v>
      </c>
      <c r="EI6" s="17" t="e">
        <f>-53.07 + (304.89 * (EH6)) + (90.79 *(Crescimento!#REF!-Crescimento!#REF!)) - (3.13 * (Crescimento!#REF!-Crescimento!#REF!)^2)</f>
        <v>#REF!</v>
      </c>
      <c r="EK6" s="16" t="e">
        <f>((EL5+(Crescimento!#REF!-(EL5*0.64))/0.8)/1000)-Crescimento!#REF!</f>
        <v>#REF!</v>
      </c>
      <c r="EL6" s="17" t="e">
        <f>-53.07 + (304.89 * (EK6)) + (90.79 *(Crescimento!#REF!-Crescimento!#REF!)) - (3.13 * (Crescimento!#REF!-Crescimento!#REF!)^2)</f>
        <v>#REF!</v>
      </c>
      <c r="EN6" s="16" t="e">
        <f>((EO5+(Crescimento!#REF!-(EO5*0.64))/0.8)/1000)-Crescimento!#REF!</f>
        <v>#REF!</v>
      </c>
      <c r="EO6" s="17" t="e">
        <f>-53.07 + (304.89 * (EN6)) + (90.79 *(Crescimento!#REF!-Crescimento!#REF!)) - (3.13 * (Crescimento!#REF!-Crescimento!#REF!)^2)</f>
        <v>#REF!</v>
      </c>
      <c r="EQ6" s="16" t="e">
        <f>((ER5+(Crescimento!#REF!-(ER5*0.64))/0.8)/1000)-Crescimento!#REF!</f>
        <v>#REF!</v>
      </c>
      <c r="ER6" s="17" t="e">
        <f>-53.07 + (304.89 * (EQ6)) + (90.79 *(Crescimento!#REF!-Crescimento!#REF!)) - (3.13 * (Crescimento!#REF!-Crescimento!#REF!)^2)</f>
        <v>#REF!</v>
      </c>
      <c r="ET6" s="16" t="e">
        <f>((EU5+(Crescimento!#REF!-(EU5*0.64))/0.8)/1000)-Crescimento!#REF!</f>
        <v>#REF!</v>
      </c>
      <c r="EU6" s="17" t="e">
        <f>-53.07 + (304.89 * (ET6)) + (90.79 *(Crescimento!#REF!-Crescimento!#REF!)) - (3.13 * (Crescimento!#REF!-Crescimento!#REF!)^2)</f>
        <v>#REF!</v>
      </c>
      <c r="EW6" s="16" t="e">
        <f>((EX5+('Vacas e Bezerros'!#REF!-(EX5*0.64))/0.8)/1000)-'Vacas e Bezerros'!#REF!</f>
        <v>#REF!</v>
      </c>
      <c r="EX6" s="17" t="e">
        <f>-53.07 + (304.89 * (EW6)) + (90.79 *('Vacas e Bezerros'!#REF!-'Vacas e Bezerros'!#REF!)) - (3.13 * ('Vacas e Bezerros'!#REF!-'Vacas e Bezerros'!#REF!)^2)</f>
        <v>#REF!</v>
      </c>
      <c r="EZ6" s="16" t="e">
        <f>((FA5+('Vacas e Bezerros'!#REF!-(FA5*0.64))/0.8)/1000)-'Vacas e Bezerros'!#REF!</f>
        <v>#REF!</v>
      </c>
      <c r="FA6" s="17" t="e">
        <f>-53.07 + (304.89 * (EZ6)) + (90.79 *('Vacas e Bezerros'!#REF!-'Vacas e Bezerros'!#REF!)) - (3.13 * ('Vacas e Bezerros'!#REF!-'Vacas e Bezerros'!#REF!)^2)</f>
        <v>#REF!</v>
      </c>
      <c r="FC6" s="16" t="e">
        <f>((FD5+('Vacas e Bezerros'!#REF!-(FD5*0.64))/0.8)/1000)-'Vacas e Bezerros'!#REF!</f>
        <v>#REF!</v>
      </c>
      <c r="FD6" s="17" t="e">
        <f>-53.07 + (304.89 * (FC6)) + (90.79 *('Vacas e Bezerros'!#REF!-'Vacas e Bezerros'!#REF!)) - (3.13 * ('Vacas e Bezerros'!#REF!-'Vacas e Bezerros'!#REF!)^2)</f>
        <v>#REF!</v>
      </c>
      <c r="FF6" s="16" t="e">
        <f>((FG5+('Vacas e Bezerros'!#REF!-(FG5*0.64))/0.8)/1000)-'Vacas e Bezerros'!#REF!</f>
        <v>#REF!</v>
      </c>
      <c r="FG6" s="17" t="e">
        <f>-53.07 + (304.89 * (FF6)) + (90.79 *('Vacas e Bezerros'!#REF!-'Vacas e Bezerros'!#REF!)) - (3.13 * ('Vacas e Bezerros'!#REF!-'Vacas e Bezerros'!#REF!)^2)</f>
        <v>#REF!</v>
      </c>
      <c r="FI6" s="16" t="e">
        <f>((FJ5+('Vacas e Bezerros'!#REF!-(FJ5*0.64))/0.8)/1000)-'Vacas e Bezerros'!#REF!</f>
        <v>#REF!</v>
      </c>
      <c r="FJ6" s="17" t="e">
        <f>-53.07 + (304.89 * (FI6)) + (90.79 *('Vacas e Bezerros'!#REF!-'Vacas e Bezerros'!#REF!)) - (3.13 * ('Vacas e Bezerros'!#REF!-'Vacas e Bezerros'!#REF!)^2)</f>
        <v>#REF!</v>
      </c>
      <c r="FL6" s="16" t="e">
        <f>((FM5+('Vacas e Bezerros'!#REF!-(FM5*0.64))/0.8)/1000)-'Vacas e Bezerros'!#REF!</f>
        <v>#REF!</v>
      </c>
      <c r="FM6" s="17" t="e">
        <f>-53.07 + (304.89 * (FL6)) + (90.79 *('Vacas e Bezerros'!#REF!-'Vacas e Bezerros'!#REF!)) - (3.13 * ('Vacas e Bezerros'!#REF!-'Vacas e Bezerros'!#REF!)^2)</f>
        <v>#REF!</v>
      </c>
      <c r="FO6" s="16" t="e">
        <f>((FP5+('Vacas e Bezerros'!#REF!-(FP5*0.64))/0.8)/1000)-'Vacas e Bezerros'!#REF!</f>
        <v>#REF!</v>
      </c>
      <c r="FP6" s="17" t="e">
        <f>-53.07 + (304.89 * (FO6)) + (90.79 *('Vacas e Bezerros'!#REF!-'Vacas e Bezerros'!#REF!)) - (3.13 * ('Vacas e Bezerros'!#REF!-'Vacas e Bezerros'!#REF!)^2)</f>
        <v>#REF!</v>
      </c>
      <c r="FR6" s="16" t="e">
        <f>((FS5+('Vacas e Bezerros'!#REF!-(FS5*0.64))/0.8)/1000)-'Vacas e Bezerros'!#REF!</f>
        <v>#REF!</v>
      </c>
      <c r="FS6" s="17" t="e">
        <f>-53.07 + (304.89 * (FR6)) + (90.79 *('Vacas e Bezerros'!#REF!-'Vacas e Bezerros'!#REF!)) - (3.13 * ('Vacas e Bezerros'!#REF!-'Vacas e Bezerros'!#REF!)^2)</f>
        <v>#REF!</v>
      </c>
      <c r="FU6" s="16" t="e">
        <f>((FV5+('Vacas e Bezerros'!#REF!-(FV5*0.64))/0.8)/1000)-'Vacas e Bezerros'!#REF!</f>
        <v>#REF!</v>
      </c>
      <c r="FV6" s="17" t="e">
        <f>-53.07 + (304.89 * (FU6)) + (90.79 *('Vacas e Bezerros'!#REF!-'Vacas e Bezerros'!#REF!)) - (3.13 * ('Vacas e Bezerros'!#REF!-'Vacas e Bezerros'!#REF!)^2)</f>
        <v>#REF!</v>
      </c>
      <c r="FX6" s="16" t="e">
        <f>((FY5+('Vacas e Bezerros'!#REF!-(FY5*0.64))/0.8)/1000)-'Vacas e Bezerros'!#REF!</f>
        <v>#REF!</v>
      </c>
      <c r="FY6" s="17" t="e">
        <f>-53.07 + (304.89 * (FX6)) + (90.79 *('Vacas e Bezerros'!#REF!-'Vacas e Bezerros'!#REF!)) - (3.13 * ('Vacas e Bezerros'!#REF!-'Vacas e Bezerros'!#REF!)^2)</f>
        <v>#REF!</v>
      </c>
      <c r="GA6" s="16" t="e">
        <f>((GB5+('Vacas e Bezerros'!#REF!-(GB5*0.64))/0.8)/1000)-'Vacas e Bezerros'!#REF!</f>
        <v>#REF!</v>
      </c>
      <c r="GB6" s="17" t="e">
        <f>-53.07 + (304.89 * (GA6)) + (90.79 *('Vacas e Bezerros'!#REF!-'Vacas e Bezerros'!#REF!)) - (3.13 * ('Vacas e Bezerros'!#REF!-'Vacas e Bezerros'!#REF!)^2)</f>
        <v>#REF!</v>
      </c>
      <c r="GD6" s="16" t="e">
        <f>((GE5+('Vacas e Bezerros'!#REF!-(GE5*0.64))/0.8)/1000)-'Vacas e Bezerros'!#REF!</f>
        <v>#REF!</v>
      </c>
      <c r="GE6" s="17" t="e">
        <f>-53.07 + (304.89 * (GD6)) + (90.79 *('Vacas e Bezerros'!#REF!-'Vacas e Bezerros'!#REF!)) - (3.13 * ('Vacas e Bezerros'!#REF!-'Vacas e Bezerros'!#REF!)^2)</f>
        <v>#REF!</v>
      </c>
      <c r="GG6" s="16" t="e">
        <f>((GH5+('Vacas e Bezerros'!#REF!-(GH5*0.64))/0.8)/1000)-'Vacas e Bezerros'!#REF!</f>
        <v>#REF!</v>
      </c>
      <c r="GH6" s="17" t="e">
        <f>-53.07 + (304.89 * (GG6)) + (90.79 *('Vacas e Bezerros'!#REF!-'Vacas e Bezerros'!#REF!)) - (3.13 * ('Vacas e Bezerros'!#REF!-'Vacas e Bezerros'!#REF!)^2)</f>
        <v>#REF!</v>
      </c>
      <c r="GJ6" s="16" t="e">
        <f>((GK5+('Vacas e Bezerros'!#REF!-(GK5*0.64))/0.8)/1000)-'Vacas e Bezerros'!#REF!</f>
        <v>#REF!</v>
      </c>
      <c r="GK6" s="17" t="e">
        <f>-53.07 + (304.89 * (GJ6)) + (90.79 *('Vacas e Bezerros'!#REF!-'Vacas e Bezerros'!#REF!)) - (3.13 * ('Vacas e Bezerros'!#REF!-'Vacas e Bezerros'!#REF!)^2)</f>
        <v>#REF!</v>
      </c>
      <c r="GM6" s="16" t="e">
        <f>((GN5+('Vacas e Bezerros'!#REF!-(GN5*0.64))/0.8)/1000)-'Vacas e Bezerros'!#REF!</f>
        <v>#REF!</v>
      </c>
      <c r="GN6" s="17" t="e">
        <f>-53.07 + (304.89 * (GM6)) + (90.79 *('Vacas e Bezerros'!#REF!-'Vacas e Bezerros'!#REF!)) - (3.13 * ('Vacas e Bezerros'!#REF!-'Vacas e Bezerros'!#REF!)^2)</f>
        <v>#REF!</v>
      </c>
    </row>
    <row r="7" spans="2:196" x14ac:dyDescent="0.25">
      <c r="C7" s="16">
        <f>(D6+('Vacas e Bezerros'!$AA$28-(D6*0.64))/0.8)/1000</f>
        <v>0.35734242649532849</v>
      </c>
      <c r="D7" s="17">
        <f>-53.07 + (304.89 * (C7-'Vacas e Bezerros'!$C$206)) + (90.79 *('Vacas e Bezerros'!$AA$22)) - (3.13 *('Vacas e Bezerros'!$AA$22)^2)</f>
        <v>165.0632011751438</v>
      </c>
      <c r="F7" s="16" t="e">
        <f>(G6+(Crescimento!#REF!-(G6*0.64))/0.8)/1000</f>
        <v>#REF!</v>
      </c>
      <c r="G7" s="17" t="e">
        <f>-53.07 + (304.89 * (F7)) + (90.79 *Crescimento!#REF!) - (3.13 * Crescimento!#REF!*Crescimento!#REF!)</f>
        <v>#REF!</v>
      </c>
      <c r="H7" s="1"/>
      <c r="I7" s="16" t="e">
        <f>(J6+(Crescimento!#REF!-(J6*0.64))/0.8)/1000</f>
        <v>#REF!</v>
      </c>
      <c r="J7" s="17" t="e">
        <f>-53.07 + (304.89 * (I7)) + (90.79 *Crescimento!#REF!) - (3.13 * Crescimento!#REF!*Crescimento!#REF!)</f>
        <v>#REF!</v>
      </c>
      <c r="L7" s="16" t="e">
        <f>(M6+(Crescimento!#REF!-(M6*0.64))/0.8)/1000</f>
        <v>#REF!</v>
      </c>
      <c r="M7" s="17" t="e">
        <f>-53.07 + (304.89 * (L7)) + (90.79 *Crescimento!#REF!) - (3.13 * Crescimento!#REF!*Crescimento!#REF!)</f>
        <v>#REF!</v>
      </c>
      <c r="O7" s="16" t="e">
        <f>(P6+(Crescimento!#REF!-(P6*0.64))/0.8)/1000</f>
        <v>#REF!</v>
      </c>
      <c r="P7" s="17" t="e">
        <f>-53.07 + (304.89 * (O7)) + (90.79 *Crescimento!#REF!) - (3.13 * Crescimento!#REF!*Crescimento!#REF!)</f>
        <v>#REF!</v>
      </c>
      <c r="R7" s="16" t="e">
        <f>(S6+(Crescimento!#REF!-(S6*0.64))/0.8)/1000</f>
        <v>#REF!</v>
      </c>
      <c r="S7" s="17" t="e">
        <f>-53.07 + (304.89 * (R7)) + (90.79 *Crescimento!#REF!) - (3.13 * Crescimento!#REF!*Crescimento!#REF!)</f>
        <v>#REF!</v>
      </c>
      <c r="U7" s="16" t="e">
        <f>(V6+(Crescimento!#REF!-(V6*0.64))/0.8)/1000</f>
        <v>#REF!</v>
      </c>
      <c r="V7" s="17" t="e">
        <f>-53.07 + (304.89 * (U7)) + (90.79 *Crescimento!#REF!) - (3.13 * Crescimento!#REF!*Crescimento!#REF!)</f>
        <v>#REF!</v>
      </c>
      <c r="X7" s="16" t="e">
        <f>(Y6+(Crescimento!#REF!-(Y6*0.64))/0.8)/1000</f>
        <v>#REF!</v>
      </c>
      <c r="Y7" s="17" t="e">
        <f>-53.07 + (304.89 * (X7)) + (90.79 *Crescimento!#REF!) - (3.13 * Crescimento!#REF!*Crescimento!#REF!)</f>
        <v>#REF!</v>
      </c>
      <c r="Z7" s="6"/>
      <c r="AA7" s="16" t="e">
        <f>(AB6+(Crescimento!#REF!-(AB6*0.64))/0.8)/1000</f>
        <v>#REF!</v>
      </c>
      <c r="AB7" s="17" t="e">
        <f>-53.07 + (304.89 * (AA7)) + (90.79 *Crescimento!#REF!) - (3.13 * Crescimento!#REF!*Crescimento!#REF!)</f>
        <v>#REF!</v>
      </c>
      <c r="AC7" s="6"/>
      <c r="AD7" s="16" t="e">
        <f>(AE6+(Crescimento!#REF!-(AE6*0.64))/0.8)/1000</f>
        <v>#REF!</v>
      </c>
      <c r="AE7" s="17" t="e">
        <f>-53.07 + (304.89 * (AD7)) + (90.79 *Crescimento!#REF!) - (3.13 * Crescimento!#REF!*Crescimento!#REF!)</f>
        <v>#REF!</v>
      </c>
      <c r="AF7" s="17"/>
      <c r="AG7" s="16" t="e">
        <f>(AH6+(Crescimento!#REF!-(AH6*0.64))/0.8)/1000</f>
        <v>#REF!</v>
      </c>
      <c r="AH7" s="17" t="e">
        <f>-53.07 + (304.89 * (AG7)) + (90.79 *Crescimento!#REF!) - (3.13 * Crescimento!#REF!*Crescimento!#REF!)</f>
        <v>#REF!</v>
      </c>
      <c r="AJ7" s="16" t="e">
        <f>(AK6+(Crescimento!#REF!-(AK6*0.64))/0.8)/1000</f>
        <v>#REF!</v>
      </c>
      <c r="AK7" s="17" t="e">
        <f>-53.07 + (304.89 * (AJ7)) + (90.79 *Crescimento!#REF!) - (3.13 * Crescimento!#REF!*Crescimento!#REF!)</f>
        <v>#REF!</v>
      </c>
      <c r="AM7" s="16" t="e">
        <f>(AN6+(Crescimento!#REF!-(AN6*0.64))/0.8)/1000</f>
        <v>#REF!</v>
      </c>
      <c r="AN7" s="17" t="e">
        <f>-53.07 + (304.89 * (AM7)) + (90.79 *Crescimento!#REF!) - (3.13 * Crescimento!#REF!*Crescimento!#REF!)</f>
        <v>#REF!</v>
      </c>
      <c r="AP7" s="16" t="e">
        <f>(AQ6+(Crescimento!#REF!-(AQ6*0.64))/0.8)/1000</f>
        <v>#REF!</v>
      </c>
      <c r="AQ7" s="17" t="e">
        <f>-53.07 + (304.89 * (AP7)) + (90.79 *Crescimento!#REF!) - (3.13 * Crescimento!#REF!*Crescimento!#REF!)</f>
        <v>#REF!</v>
      </c>
      <c r="AS7" s="16" t="e">
        <f>(AT6+(Crescimento!#REF!-(AT6*0.64))/0.8)/1000</f>
        <v>#REF!</v>
      </c>
      <c r="AT7" s="17" t="e">
        <f>-53.07 + (304.89 * (AS7)) + (90.79 *Crescimento!#REF!) - (3.13 * Crescimento!#REF!*Crescimento!#REF!)</f>
        <v>#REF!</v>
      </c>
      <c r="AV7" s="16" t="e">
        <f>(AW6+(Crescimento!#REF!-(AW6*0.64))/0.8)/1000</f>
        <v>#REF!</v>
      </c>
      <c r="AW7" s="17" t="e">
        <f>-53.07 + (304.89 * (AV7)) + (90.79 *Crescimento!#REF!) - (3.13 * Crescimento!#REF!*Crescimento!#REF!)</f>
        <v>#REF!</v>
      </c>
      <c r="AY7" s="21" t="e">
        <f>((AZ6+(Crescimento!#REF!-(AZ6*0.64))/0.8)/1000)-Crescimento!#REF!</f>
        <v>#REF!</v>
      </c>
      <c r="AZ7" s="22" t="e">
        <f>-53.07 + (304.89 * (AY7)) + (90.79 *(Crescimento!#REF!-Crescimento!#REF!)) - (3.13 * (Crescimento!#REF!-Crescimento!#REF!)^2)</f>
        <v>#REF!</v>
      </c>
      <c r="BA7" s="23"/>
      <c r="BB7" s="21" t="e">
        <f>((BC6+(Crescimento!#REF!-(BC6*0.64))/0.8)/1000)-Crescimento!#REF!</f>
        <v>#REF!</v>
      </c>
      <c r="BC7" s="22" t="e">
        <f>-53.07 + (304.89 * (BB7)) + (90.79 *(Crescimento!#REF!-Crescimento!#REF!)) - (3.13 * (Crescimento!#REF!-Crescimento!#REF!)^2)</f>
        <v>#REF!</v>
      </c>
      <c r="BD7" s="23"/>
      <c r="BE7" s="21" t="e">
        <f>((BF6+(Crescimento!#REF!-(BF6*0.64))/0.8)/1000)-Crescimento!#REF!</f>
        <v>#REF!</v>
      </c>
      <c r="BF7" s="22" t="e">
        <f>-53.07 + (304.89 * (BE7)) + (90.79 *(Crescimento!#REF!-Crescimento!#REF!)) - (3.13 * (Crescimento!#REF!-Crescimento!#REF!)^2)</f>
        <v>#REF!</v>
      </c>
      <c r="BG7" s="23"/>
      <c r="BH7" s="21" t="e">
        <f>((BI6+(Crescimento!#REF!-(BI6*0.64))/0.8)/1000)-Crescimento!#REF!</f>
        <v>#REF!</v>
      </c>
      <c r="BI7" s="22" t="e">
        <f>-53.07 + (304.89 * (BH7)) + (90.79 *(Crescimento!#REF!-Crescimento!#REF!)) - (3.13 * (Crescimento!#REF!-Crescimento!#REF!)^2)</f>
        <v>#REF!</v>
      </c>
      <c r="BJ7" s="23"/>
      <c r="BK7" s="21" t="e">
        <f>((BL6+(Crescimento!#REF!-(BL6*0.64))/0.8)/1000)-Crescimento!#REF!</f>
        <v>#REF!</v>
      </c>
      <c r="BL7" s="22" t="e">
        <f>-53.07 + (304.89 * (BK7)) + (90.79 *(Crescimento!#REF!-Crescimento!#REF!)) - (3.13 * (Crescimento!#REF!-Crescimento!#REF!)^2)</f>
        <v>#REF!</v>
      </c>
      <c r="BM7" s="23"/>
      <c r="BN7" s="21" t="e">
        <f>((BO6+(Crescimento!#REF!-(BO6*0.64))/0.8)/1000)-Crescimento!#REF!</f>
        <v>#REF!</v>
      </c>
      <c r="BO7" s="22" t="e">
        <f>-53.07 + (304.89 * (BN7)) + (90.79 *(Crescimento!#REF!-Crescimento!#REF!)) - (3.13 * (Crescimento!#REF!-Crescimento!#REF!)^2)</f>
        <v>#REF!</v>
      </c>
      <c r="BP7" s="23"/>
      <c r="BQ7" s="21" t="e">
        <f>((BR6+(Crescimento!#REF!-(BR6*0.64))/0.8)/1000)-Crescimento!#REF!</f>
        <v>#REF!</v>
      </c>
      <c r="BR7" s="22" t="e">
        <f>-53.07 + (304.89 * (BQ7)) + (90.79 *(Crescimento!#REF!-Crescimento!#REF!)) - (3.13 * (Crescimento!#REF!-Crescimento!#REF!)^2)</f>
        <v>#REF!</v>
      </c>
      <c r="BS7" s="23"/>
      <c r="BT7" s="21" t="e">
        <f>((BU6+(Crescimento!#REF!-(BU6*0.64))/0.8)/1000)-Crescimento!#REF!</f>
        <v>#REF!</v>
      </c>
      <c r="BU7" s="22" t="e">
        <f>-53.07 + (304.89 * (BT7)) + (90.79 *(Crescimento!#REF!-Crescimento!#REF!)) - (3.13 * (Crescimento!#REF!-Crescimento!#REF!)^2)</f>
        <v>#REF!</v>
      </c>
      <c r="BV7" s="23"/>
      <c r="BW7" s="21" t="e">
        <f>((BX6+(Crescimento!#REF!-(BX6*0.64))/0.8)/1000)-Crescimento!#REF!</f>
        <v>#REF!</v>
      </c>
      <c r="BX7" s="22" t="e">
        <f>-53.07 + (304.89 * (BW7)) + (90.79 *(Crescimento!#REF!-Crescimento!#REF!)) - (3.13 * (Crescimento!#REF!-Crescimento!#REF!)^2)</f>
        <v>#REF!</v>
      </c>
      <c r="BY7" s="23"/>
      <c r="BZ7" s="21" t="e">
        <f>((CA6+(Crescimento!#REF!-(CA6*0.64))/0.8)/1000)-Crescimento!#REF!</f>
        <v>#REF!</v>
      </c>
      <c r="CA7" s="22" t="e">
        <f>-53.07 + (304.89 * (BZ7)) + (90.79 *(Crescimento!#REF!-Crescimento!#REF!)) - (3.13 * (Crescimento!#REF!-Crescimento!#REF!)^2)</f>
        <v>#REF!</v>
      </c>
      <c r="CB7" s="23"/>
      <c r="CC7" s="21" t="e">
        <f>((CD6+(Crescimento!#REF!-(CD6*0.64))/0.8)/1000)-Crescimento!#REF!</f>
        <v>#REF!</v>
      </c>
      <c r="CD7" s="22" t="e">
        <f>-53.07 + (304.89 * (CC7)) + (90.79 *(Crescimento!#REF!-Crescimento!#REF!)) - (3.13 * (Crescimento!#REF!-Crescimento!#REF!)^2)</f>
        <v>#REF!</v>
      </c>
      <c r="CE7" s="23"/>
      <c r="CF7" s="21" t="e">
        <f>((CG6+(Crescimento!#REF!-(CG6*0.64))/0.8)/1000)-Crescimento!#REF!</f>
        <v>#REF!</v>
      </c>
      <c r="CG7" s="22" t="e">
        <f>-53.07 + (304.89 * (CF7)) + (90.79 *(Crescimento!#REF!-Crescimento!#REF!)) - (3.13 * (Crescimento!#REF!-Crescimento!#REF!)^2)</f>
        <v>#REF!</v>
      </c>
      <c r="CH7" s="23"/>
      <c r="CI7" s="21" t="e">
        <f>((CJ6+(Crescimento!#REF!-(CJ6*0.64))/0.8)/1000)-Crescimento!#REF!</f>
        <v>#REF!</v>
      </c>
      <c r="CJ7" s="22" t="e">
        <f>-53.07 + (304.89 * (CI7)) + (90.79 *(Crescimento!#REF!-Crescimento!#REF!)) - (3.13 * (Crescimento!#REF!-Crescimento!#REF!)^2)</f>
        <v>#REF!</v>
      </c>
      <c r="CK7" s="23"/>
      <c r="CL7" s="21" t="e">
        <f>((CM6+(Crescimento!#REF!-(CM6*0.64))/0.8)/1000)-Crescimento!#REF!</f>
        <v>#REF!</v>
      </c>
      <c r="CM7" s="22" t="e">
        <f>-53.07 + (304.89 * (CL7)) + (90.79 *(Crescimento!#REF!-Crescimento!#REF!)) - (3.13 * (Crescimento!#REF!-Crescimento!#REF!)^2)</f>
        <v>#REF!</v>
      </c>
      <c r="CN7" s="23"/>
      <c r="CO7" s="21" t="e">
        <f>((CP6+(Crescimento!#REF!-(CP6*0.64))/0.8)/1000)-Crescimento!#REF!</f>
        <v>#REF!</v>
      </c>
      <c r="CP7" s="22" t="e">
        <f>-53.07 + (304.89 * (CO7)) + (90.79 *(Crescimento!#REF!-Crescimento!#REF!)) - (3.13 * (Crescimento!#REF!-Crescimento!#REF!)^2)</f>
        <v>#REF!</v>
      </c>
      <c r="CQ7" s="23"/>
      <c r="CR7" s="21" t="e">
        <f>((CS6+(Crescimento!#REF!-(CS6*0.64))/0.8)/1000)-Crescimento!#REF!</f>
        <v>#REF!</v>
      </c>
      <c r="CS7" s="22" t="e">
        <f>-53.07 + (304.89 * (CR7)) + (90.79 *(Crescimento!#REF!-Crescimento!#REF!)) - (3.13 * (Crescimento!#REF!-Crescimento!#REF!)^2)</f>
        <v>#REF!</v>
      </c>
      <c r="CX7" s="16" t="e">
        <f>((CY6+(Crescimento!#REF!-(CY6*0.64))/0.8)/1000)-Crescimento!#REF!</f>
        <v>#REF!</v>
      </c>
      <c r="CY7" s="17" t="e">
        <f>-53.07 + (304.89 * (CX7)) + (90.79 *(Crescimento!#REF!-Crescimento!#REF!)) - (3.13 * (Crescimento!#REF!-Crescimento!#REF!)^2)</f>
        <v>#REF!</v>
      </c>
      <c r="DA7" s="16" t="e">
        <f>((DB6+(Crescimento!#REF!-(DB6*0.64))/0.8)/1000)-Crescimento!#REF!</f>
        <v>#REF!</v>
      </c>
      <c r="DB7" s="17" t="e">
        <f>-53.07 + (304.89 * (DA7)) + (90.79 *(Crescimento!#REF!-Crescimento!#REF!)) - (3.13 * (Crescimento!#REF!-Crescimento!#REF!)^2)</f>
        <v>#REF!</v>
      </c>
      <c r="DD7" s="16" t="e">
        <f>(DE6+(Crescimento!#REF!-(DE6*0.64))/0.8)/1000</f>
        <v>#REF!</v>
      </c>
      <c r="DE7" s="17" t="e">
        <f>-53.07 + (304.89 * (DD7)) + (90.79 *Crescimento!#REF!) - (3.13 * Crescimento!#REF!*Crescimento!#REF!)</f>
        <v>#REF!</v>
      </c>
      <c r="DG7" s="16" t="e">
        <f>((DH6+(Crescimento!#REF!-(DH6*0.64))/0.8)/1000)-Crescimento!#REF!</f>
        <v>#REF!</v>
      </c>
      <c r="DH7" s="17" t="e">
        <f>-53.07 + (304.89 * (DG7)) + (90.79 *(Crescimento!#REF!-Crescimento!#REF!)) - (3.13 * (Crescimento!#REF!-Crescimento!#REF!)^2)</f>
        <v>#REF!</v>
      </c>
      <c r="DJ7" s="16" t="e">
        <f>((DK6+(Crescimento!#REF!-(DK6*0.64))/0.8)/1000)-Crescimento!#REF!</f>
        <v>#REF!</v>
      </c>
      <c r="DK7" s="17" t="e">
        <f>-53.07 + (304.89 * (DJ7)) + (90.79 *(Crescimento!#REF!-Crescimento!#REF!)) - (3.13 * (Crescimento!#REF!-Crescimento!#REF!)^2)</f>
        <v>#REF!</v>
      </c>
      <c r="DM7" s="16" t="e">
        <f>((DN6+(Crescimento!#REF!-(DN6*0.64))/0.8)/1000)-Crescimento!#REF!</f>
        <v>#REF!</v>
      </c>
      <c r="DN7" s="17" t="e">
        <f>-53.07 + (304.89 * (DM7)) + (90.79 *(Crescimento!#REF!-Crescimento!#REF!)) - (3.13 * (Crescimento!#REF!-Crescimento!#REF!)^2)</f>
        <v>#REF!</v>
      </c>
      <c r="DP7" s="16" t="e">
        <f>(DQ6+(Crescimento!#REF!-(DQ6*0.64))/0.8)/1000</f>
        <v>#REF!</v>
      </c>
      <c r="DQ7" s="17" t="e">
        <f>-53.07 + (304.89 * (DP7)) + (90.79 *(Crescimento!#REF!-Crescimento!#REF!)) - (3.13 * (Crescimento!#REF!-Crescimento!#REF!)^2)</f>
        <v>#REF!</v>
      </c>
      <c r="DS7" s="16" t="e">
        <f>((DT6+(Crescimento!#REF!-(DT6*0.64))/0.8)/1000)-Crescimento!#REF!</f>
        <v>#REF!</v>
      </c>
      <c r="DT7" s="17" t="e">
        <f>-53.07 + (304.89 * (DS7)) + (90.79 *(Crescimento!#REF!-Crescimento!#REF!)) - (3.13 * (Crescimento!#REF!-Crescimento!#REF!)^2)</f>
        <v>#REF!</v>
      </c>
      <c r="DV7" s="16" t="e">
        <f>((DW6+(Crescimento!#REF!-(DW6*0.64))/0.8)/1000)-Crescimento!#REF!</f>
        <v>#REF!</v>
      </c>
      <c r="DW7" s="17" t="e">
        <f>-53.07 + (304.89 * (DV7)) + (90.79 *(Crescimento!#REF!-Crescimento!#REF!)) - (3.13 * (Crescimento!#REF!-Crescimento!#REF!)^2)</f>
        <v>#REF!</v>
      </c>
      <c r="DY7" s="16" t="e">
        <f>((DZ6+(Crescimento!#REF!-(DZ6*0.64))/0.8)/1000)-Crescimento!#REF!</f>
        <v>#REF!</v>
      </c>
      <c r="DZ7" s="17" t="e">
        <f>-53.07 + (304.89 * (DY7)) + (90.79 *(Crescimento!#REF!-Crescimento!#REF!)) - (3.13 * (Crescimento!#REF!-Crescimento!#REF!)^2)</f>
        <v>#REF!</v>
      </c>
      <c r="EB7" s="16" t="e">
        <f>((EC6+(Crescimento!#REF!-(EC6*0.64))/0.8)/1000)-Crescimento!#REF!</f>
        <v>#REF!</v>
      </c>
      <c r="EC7" s="17" t="e">
        <f>-53.07 + (304.89 * (EB7)) + (90.79 *(Crescimento!#REF!-Crescimento!#REF!)) - (3.13 * (Crescimento!#REF!-Crescimento!#REF!)^2)</f>
        <v>#REF!</v>
      </c>
      <c r="EE7" s="16" t="e">
        <f>((EF6+(Crescimento!#REF!-(EF6*0.64))/0.8)/1000)-Crescimento!#REF!</f>
        <v>#REF!</v>
      </c>
      <c r="EF7" s="17" t="e">
        <f>-53.07 + (304.89 * (EE7)) + (90.79 *(Crescimento!#REF!-Crescimento!#REF!)) - (3.13 * (Crescimento!#REF!-Crescimento!#REF!)^2)</f>
        <v>#REF!</v>
      </c>
      <c r="EH7" s="16" t="e">
        <f>((EI6+(Crescimento!#REF!-(EI6*0.64))/0.8)/1000)-Crescimento!#REF!</f>
        <v>#REF!</v>
      </c>
      <c r="EI7" s="17" t="e">
        <f>-53.07 + (304.89 * (EH7)) + (90.79 *(Crescimento!#REF!-Crescimento!#REF!)) - (3.13 * (Crescimento!#REF!-Crescimento!#REF!)^2)</f>
        <v>#REF!</v>
      </c>
      <c r="EK7" s="16" t="e">
        <f>((EL6+(Crescimento!#REF!-(EL6*0.64))/0.8)/1000)-Crescimento!#REF!</f>
        <v>#REF!</v>
      </c>
      <c r="EL7" s="17" t="e">
        <f>-53.07 + (304.89 * (EK7)) + (90.79 *(Crescimento!#REF!-Crescimento!#REF!)) - (3.13 * (Crescimento!#REF!-Crescimento!#REF!)^2)</f>
        <v>#REF!</v>
      </c>
      <c r="EN7" s="16" t="e">
        <f>((EO6+(Crescimento!#REF!-(EO6*0.64))/0.8)/1000)-Crescimento!#REF!</f>
        <v>#REF!</v>
      </c>
      <c r="EO7" s="17" t="e">
        <f>-53.07 + (304.89 * (EN7)) + (90.79 *(Crescimento!#REF!-Crescimento!#REF!)) - (3.13 * (Crescimento!#REF!-Crescimento!#REF!)^2)</f>
        <v>#REF!</v>
      </c>
      <c r="EQ7" s="16" t="e">
        <f>((ER6+(Crescimento!#REF!-(ER6*0.64))/0.8)/1000)-Crescimento!#REF!</f>
        <v>#REF!</v>
      </c>
      <c r="ER7" s="17" t="e">
        <f>-53.07 + (304.89 * (EQ7)) + (90.79 *(Crescimento!#REF!-Crescimento!#REF!)) - (3.13 * (Crescimento!#REF!-Crescimento!#REF!)^2)</f>
        <v>#REF!</v>
      </c>
      <c r="ET7" s="16" t="e">
        <f>((EU6+(Crescimento!#REF!-(EU6*0.64))/0.8)/1000)-Crescimento!#REF!</f>
        <v>#REF!</v>
      </c>
      <c r="EU7" s="17" t="e">
        <f>-53.07 + (304.89 * (ET7)) + (90.79 *(Crescimento!#REF!-Crescimento!#REF!)) - (3.13 * (Crescimento!#REF!-Crescimento!#REF!)^2)</f>
        <v>#REF!</v>
      </c>
      <c r="EW7" s="16" t="e">
        <f>((EX6+('Vacas e Bezerros'!#REF!-(EX6*0.64))/0.8)/1000)-'Vacas e Bezerros'!#REF!</f>
        <v>#REF!</v>
      </c>
      <c r="EX7" s="17" t="e">
        <f>-53.07 + (304.89 * (EW7)) + (90.79 *('Vacas e Bezerros'!#REF!-'Vacas e Bezerros'!#REF!)) - (3.13 * ('Vacas e Bezerros'!#REF!-'Vacas e Bezerros'!#REF!)^2)</f>
        <v>#REF!</v>
      </c>
      <c r="EZ7" s="16" t="e">
        <f>((FA6+('Vacas e Bezerros'!#REF!-(FA6*0.64))/0.8)/1000)-'Vacas e Bezerros'!#REF!</f>
        <v>#REF!</v>
      </c>
      <c r="FA7" s="17" t="e">
        <f>-53.07 + (304.89 * (EZ7)) + (90.79 *('Vacas e Bezerros'!#REF!-'Vacas e Bezerros'!#REF!)) - (3.13 * ('Vacas e Bezerros'!#REF!-'Vacas e Bezerros'!#REF!)^2)</f>
        <v>#REF!</v>
      </c>
      <c r="FC7" s="16" t="e">
        <f>((FD6+('Vacas e Bezerros'!#REF!-(FD6*0.64))/0.8)/1000)-'Vacas e Bezerros'!#REF!</f>
        <v>#REF!</v>
      </c>
      <c r="FD7" s="17" t="e">
        <f>-53.07 + (304.89 * (FC7)) + (90.79 *('Vacas e Bezerros'!#REF!-'Vacas e Bezerros'!#REF!)) - (3.13 * ('Vacas e Bezerros'!#REF!-'Vacas e Bezerros'!#REF!)^2)</f>
        <v>#REF!</v>
      </c>
      <c r="FF7" s="16" t="e">
        <f>((FG6+('Vacas e Bezerros'!#REF!-(FG6*0.64))/0.8)/1000)-'Vacas e Bezerros'!#REF!</f>
        <v>#REF!</v>
      </c>
      <c r="FG7" s="17" t="e">
        <f>-53.07 + (304.89 * (FF7)) + (90.79 *('Vacas e Bezerros'!#REF!-'Vacas e Bezerros'!#REF!)) - (3.13 * ('Vacas e Bezerros'!#REF!-'Vacas e Bezerros'!#REF!)^2)</f>
        <v>#REF!</v>
      </c>
      <c r="FI7" s="16" t="e">
        <f>((FJ6+('Vacas e Bezerros'!#REF!-(FJ6*0.64))/0.8)/1000)-'Vacas e Bezerros'!#REF!</f>
        <v>#REF!</v>
      </c>
      <c r="FJ7" s="17" t="e">
        <f>-53.07 + (304.89 * (FI7)) + (90.79 *('Vacas e Bezerros'!#REF!-'Vacas e Bezerros'!#REF!)) - (3.13 * ('Vacas e Bezerros'!#REF!-'Vacas e Bezerros'!#REF!)^2)</f>
        <v>#REF!</v>
      </c>
      <c r="FL7" s="16" t="e">
        <f>((FM6+('Vacas e Bezerros'!#REF!-(FM6*0.64))/0.8)/1000)-'Vacas e Bezerros'!#REF!</f>
        <v>#REF!</v>
      </c>
      <c r="FM7" s="17" t="e">
        <f>-53.07 + (304.89 * (FL7)) + (90.79 *('Vacas e Bezerros'!#REF!-'Vacas e Bezerros'!#REF!)) - (3.13 * ('Vacas e Bezerros'!#REF!-'Vacas e Bezerros'!#REF!)^2)</f>
        <v>#REF!</v>
      </c>
      <c r="FO7" s="16" t="e">
        <f>((FP6+('Vacas e Bezerros'!#REF!-(FP6*0.64))/0.8)/1000)-'Vacas e Bezerros'!#REF!</f>
        <v>#REF!</v>
      </c>
      <c r="FP7" s="17" t="e">
        <f>-53.07 + (304.89 * (FO7)) + (90.79 *('Vacas e Bezerros'!#REF!-'Vacas e Bezerros'!#REF!)) - (3.13 * ('Vacas e Bezerros'!#REF!-'Vacas e Bezerros'!#REF!)^2)</f>
        <v>#REF!</v>
      </c>
      <c r="FR7" s="16" t="e">
        <f>((FS6+('Vacas e Bezerros'!#REF!-(FS6*0.64))/0.8)/1000)-'Vacas e Bezerros'!#REF!</f>
        <v>#REF!</v>
      </c>
      <c r="FS7" s="17" t="e">
        <f>-53.07 + (304.89 * (FR7)) + (90.79 *('Vacas e Bezerros'!#REF!-'Vacas e Bezerros'!#REF!)) - (3.13 * ('Vacas e Bezerros'!#REF!-'Vacas e Bezerros'!#REF!)^2)</f>
        <v>#REF!</v>
      </c>
      <c r="FU7" s="16" t="e">
        <f>((FV6+('Vacas e Bezerros'!#REF!-(FV6*0.64))/0.8)/1000)-'Vacas e Bezerros'!#REF!</f>
        <v>#REF!</v>
      </c>
      <c r="FV7" s="17" t="e">
        <f>-53.07 + (304.89 * (FU7)) + (90.79 *('Vacas e Bezerros'!#REF!-'Vacas e Bezerros'!#REF!)) - (3.13 * ('Vacas e Bezerros'!#REF!-'Vacas e Bezerros'!#REF!)^2)</f>
        <v>#REF!</v>
      </c>
      <c r="FX7" s="16" t="e">
        <f>((FY6+('Vacas e Bezerros'!#REF!-(FY6*0.64))/0.8)/1000)-'Vacas e Bezerros'!#REF!</f>
        <v>#REF!</v>
      </c>
      <c r="FY7" s="17" t="e">
        <f>-53.07 + (304.89 * (FX7)) + (90.79 *('Vacas e Bezerros'!#REF!-'Vacas e Bezerros'!#REF!)) - (3.13 * ('Vacas e Bezerros'!#REF!-'Vacas e Bezerros'!#REF!)^2)</f>
        <v>#REF!</v>
      </c>
      <c r="GA7" s="16" t="e">
        <f>((GB6+('Vacas e Bezerros'!#REF!-(GB6*0.64))/0.8)/1000)-'Vacas e Bezerros'!#REF!</f>
        <v>#REF!</v>
      </c>
      <c r="GB7" s="17" t="e">
        <f>-53.07 + (304.89 * (GA7)) + (90.79 *('Vacas e Bezerros'!#REF!-'Vacas e Bezerros'!#REF!)) - (3.13 * ('Vacas e Bezerros'!#REF!-'Vacas e Bezerros'!#REF!)^2)</f>
        <v>#REF!</v>
      </c>
      <c r="GD7" s="16" t="e">
        <f>((GE6+('Vacas e Bezerros'!#REF!-(GE6*0.64))/0.8)/1000)-'Vacas e Bezerros'!#REF!</f>
        <v>#REF!</v>
      </c>
      <c r="GE7" s="17" t="e">
        <f>-53.07 + (304.89 * (GD7)) + (90.79 *('Vacas e Bezerros'!#REF!-'Vacas e Bezerros'!#REF!)) - (3.13 * ('Vacas e Bezerros'!#REF!-'Vacas e Bezerros'!#REF!)^2)</f>
        <v>#REF!</v>
      </c>
      <c r="GG7" s="16" t="e">
        <f>((GH6+('Vacas e Bezerros'!#REF!-(GH6*0.64))/0.8)/1000)-'Vacas e Bezerros'!#REF!</f>
        <v>#REF!</v>
      </c>
      <c r="GH7" s="17" t="e">
        <f>-53.07 + (304.89 * (GG7)) + (90.79 *('Vacas e Bezerros'!#REF!-'Vacas e Bezerros'!#REF!)) - (3.13 * ('Vacas e Bezerros'!#REF!-'Vacas e Bezerros'!#REF!)^2)</f>
        <v>#REF!</v>
      </c>
      <c r="GJ7" s="16" t="e">
        <f>((GK6+('Vacas e Bezerros'!#REF!-(GK6*0.64))/0.8)/1000)-'Vacas e Bezerros'!#REF!</f>
        <v>#REF!</v>
      </c>
      <c r="GK7" s="17" t="e">
        <f>-53.07 + (304.89 * (GJ7)) + (90.79 *('Vacas e Bezerros'!#REF!-'Vacas e Bezerros'!#REF!)) - (3.13 * ('Vacas e Bezerros'!#REF!-'Vacas e Bezerros'!#REF!)^2)</f>
        <v>#REF!</v>
      </c>
      <c r="GM7" s="16" t="e">
        <f>((GN6+('Vacas e Bezerros'!#REF!-(GN6*0.64))/0.8)/1000)-'Vacas e Bezerros'!#REF!</f>
        <v>#REF!</v>
      </c>
      <c r="GN7" s="17" t="e">
        <f>-53.07 + (304.89 * (GM7)) + (90.79 *('Vacas e Bezerros'!#REF!-'Vacas e Bezerros'!#REF!)) - (3.13 * ('Vacas e Bezerros'!#REF!-'Vacas e Bezerros'!#REF!)^2)</f>
        <v>#REF!</v>
      </c>
    </row>
    <row r="8" spans="2:196" x14ac:dyDescent="0.25">
      <c r="C8" s="16">
        <f>(D7+('Vacas e Bezerros'!$AA$28-(D7*0.64))/0.8)/1000</f>
        <v>0.35720556748149757</v>
      </c>
      <c r="D8" s="17">
        <f>-53.07 + (304.89 * (C8-'Vacas e Bezerros'!$C$206)) + (90.79 *('Vacas e Bezerros'!$AA$22)) - (3.13 *('Vacas e Bezerros'!$AA$22)^2)</f>
        <v>165.02147423041689</v>
      </c>
      <c r="F8" s="16" t="e">
        <f>(G7+(Crescimento!#REF!-(G7*0.64))/0.8)/1000</f>
        <v>#REF!</v>
      </c>
      <c r="G8" s="17" t="e">
        <f>-53.07 + (304.89 * (F8)) + (90.79 *Crescimento!#REF!) - (3.13 * Crescimento!#REF!*Crescimento!#REF!)</f>
        <v>#REF!</v>
      </c>
      <c r="H8" s="1"/>
      <c r="I8" s="16" t="e">
        <f>(J7+(Crescimento!#REF!-(J7*0.64))/0.8)/1000</f>
        <v>#REF!</v>
      </c>
      <c r="J8" s="17" t="e">
        <f>-53.07 + (304.89 * (I8)) + (90.79 *Crescimento!#REF!) - (3.13 * Crescimento!#REF!*Crescimento!#REF!)</f>
        <v>#REF!</v>
      </c>
      <c r="L8" s="16" t="e">
        <f>(M7+(Crescimento!#REF!-(M7*0.64))/0.8)/1000</f>
        <v>#REF!</v>
      </c>
      <c r="M8" s="17" t="e">
        <f>-53.07 + (304.89 * (L8)) + (90.79 *Crescimento!#REF!) - (3.13 * Crescimento!#REF!*Crescimento!#REF!)</f>
        <v>#REF!</v>
      </c>
      <c r="O8" s="16" t="e">
        <f>(P7+(Crescimento!#REF!-(P7*0.64))/0.8)/1000</f>
        <v>#REF!</v>
      </c>
      <c r="P8" s="17" t="e">
        <f>-53.07 + (304.89 * (O8)) + (90.79 *Crescimento!#REF!) - (3.13 * Crescimento!#REF!*Crescimento!#REF!)</f>
        <v>#REF!</v>
      </c>
      <c r="R8" s="16" t="e">
        <f>(S7+(Crescimento!#REF!-(S7*0.64))/0.8)/1000</f>
        <v>#REF!</v>
      </c>
      <c r="S8" s="17" t="e">
        <f>-53.07 + (304.89 * (R8)) + (90.79 *Crescimento!#REF!) - (3.13 * Crescimento!#REF!*Crescimento!#REF!)</f>
        <v>#REF!</v>
      </c>
      <c r="U8" s="16" t="e">
        <f>(V7+(Crescimento!#REF!-(V7*0.64))/0.8)/1000</f>
        <v>#REF!</v>
      </c>
      <c r="V8" s="17" t="e">
        <f>-53.07 + (304.89 * (U8)) + (90.79 *Crescimento!#REF!) - (3.13 * Crescimento!#REF!*Crescimento!#REF!)</f>
        <v>#REF!</v>
      </c>
      <c r="X8" s="16" t="e">
        <f>(Y7+(Crescimento!#REF!-(Y7*0.64))/0.8)/1000</f>
        <v>#REF!</v>
      </c>
      <c r="Y8" s="17" t="e">
        <f>-53.07 + (304.89 * (X8)) + (90.79 *Crescimento!#REF!) - (3.13 * Crescimento!#REF!*Crescimento!#REF!)</f>
        <v>#REF!</v>
      </c>
      <c r="Z8" s="6"/>
      <c r="AA8" s="16" t="e">
        <f>(AB7+(Crescimento!#REF!-(AB7*0.64))/0.8)/1000</f>
        <v>#REF!</v>
      </c>
      <c r="AB8" s="17" t="e">
        <f>-53.07 + (304.89 * (AA8)) + (90.79 *Crescimento!#REF!) - (3.13 * Crescimento!#REF!*Crescimento!#REF!)</f>
        <v>#REF!</v>
      </c>
      <c r="AC8" s="6"/>
      <c r="AD8" s="16" t="e">
        <f>(AE7+(Crescimento!#REF!-(AE7*0.64))/0.8)/1000</f>
        <v>#REF!</v>
      </c>
      <c r="AE8" s="17" t="e">
        <f>-53.07 + (304.89 * (AD8)) + (90.79 *Crescimento!#REF!) - (3.13 * Crescimento!#REF!*Crescimento!#REF!)</f>
        <v>#REF!</v>
      </c>
      <c r="AF8" s="17"/>
      <c r="AG8" s="16" t="e">
        <f>(AH7+(Crescimento!#REF!-(AH7*0.64))/0.8)/1000</f>
        <v>#REF!</v>
      </c>
      <c r="AH8" s="17" t="e">
        <f>-53.07 + (304.89 * (AG8)) + (90.79 *Crescimento!#REF!) - (3.13 * Crescimento!#REF!*Crescimento!#REF!)</f>
        <v>#REF!</v>
      </c>
      <c r="AJ8" s="16" t="e">
        <f>(AK7+(Crescimento!#REF!-(AK7*0.64))/0.8)/1000</f>
        <v>#REF!</v>
      </c>
      <c r="AK8" s="17" t="e">
        <f>-53.07 + (304.89 * (AJ8)) + (90.79 *Crescimento!#REF!) - (3.13 * Crescimento!#REF!*Crescimento!#REF!)</f>
        <v>#REF!</v>
      </c>
      <c r="AM8" s="16" t="e">
        <f>(AN7+(Crescimento!#REF!-(AN7*0.64))/0.8)/1000</f>
        <v>#REF!</v>
      </c>
      <c r="AN8" s="17" t="e">
        <f>-53.07 + (304.89 * (AM8)) + (90.79 *Crescimento!#REF!) - (3.13 * Crescimento!#REF!*Crescimento!#REF!)</f>
        <v>#REF!</v>
      </c>
      <c r="AP8" s="16" t="e">
        <f>(AQ7+(Crescimento!#REF!-(AQ7*0.64))/0.8)/1000</f>
        <v>#REF!</v>
      </c>
      <c r="AQ8" s="17" t="e">
        <f>-53.07 + (304.89 * (AP8)) + (90.79 *Crescimento!#REF!) - (3.13 * Crescimento!#REF!*Crescimento!#REF!)</f>
        <v>#REF!</v>
      </c>
      <c r="AS8" s="16" t="e">
        <f>(AT7+(Crescimento!#REF!-(AT7*0.64))/0.8)/1000</f>
        <v>#REF!</v>
      </c>
      <c r="AT8" s="17" t="e">
        <f>-53.07 + (304.89 * (AS8)) + (90.79 *Crescimento!#REF!) - (3.13 * Crescimento!#REF!*Crescimento!#REF!)</f>
        <v>#REF!</v>
      </c>
      <c r="AV8" s="16" t="e">
        <f>(AW7+(Crescimento!#REF!-(AW7*0.64))/0.8)/1000</f>
        <v>#REF!</v>
      </c>
      <c r="AW8" s="17" t="e">
        <f>-53.07 + (304.89 * (AV8)) + (90.79 *Crescimento!#REF!) - (3.13 * Crescimento!#REF!*Crescimento!#REF!)</f>
        <v>#REF!</v>
      </c>
      <c r="AY8" s="21" t="e">
        <f>((AZ7+(Crescimento!#REF!-(AZ7*0.64))/0.8)/1000)-Crescimento!#REF!</f>
        <v>#REF!</v>
      </c>
      <c r="AZ8" s="22" t="e">
        <f>-53.07 + (304.89 * (AY8)) + (90.79 *(Crescimento!#REF!-Crescimento!#REF!)) - (3.13 * (Crescimento!#REF!-Crescimento!#REF!)^2)</f>
        <v>#REF!</v>
      </c>
      <c r="BA8" s="23"/>
      <c r="BB8" s="21" t="e">
        <f>((BC7+(Crescimento!#REF!-(BC7*0.64))/0.8)/1000)-Crescimento!#REF!</f>
        <v>#REF!</v>
      </c>
      <c r="BC8" s="22" t="e">
        <f>-53.07 + (304.89 * (BB8)) + (90.79 *(Crescimento!#REF!-Crescimento!#REF!)) - (3.13 * (Crescimento!#REF!-Crescimento!#REF!)^2)</f>
        <v>#REF!</v>
      </c>
      <c r="BD8" s="23"/>
      <c r="BE8" s="21" t="e">
        <f>((BF7+(Crescimento!#REF!-(BF7*0.64))/0.8)/1000)-Crescimento!#REF!</f>
        <v>#REF!</v>
      </c>
      <c r="BF8" s="22" t="e">
        <f>-53.07 + (304.89 * (BE8)) + (90.79 *(Crescimento!#REF!-Crescimento!#REF!)) - (3.13 * (Crescimento!#REF!-Crescimento!#REF!)^2)</f>
        <v>#REF!</v>
      </c>
      <c r="BG8" s="23"/>
      <c r="BH8" s="21" t="e">
        <f>((BI7+(Crescimento!#REF!-(BI7*0.64))/0.8)/1000)-Crescimento!#REF!</f>
        <v>#REF!</v>
      </c>
      <c r="BI8" s="22" t="e">
        <f>-53.07 + (304.89 * (BH8)) + (90.79 *(Crescimento!#REF!-Crescimento!#REF!)) - (3.13 * (Crescimento!#REF!-Crescimento!#REF!)^2)</f>
        <v>#REF!</v>
      </c>
      <c r="BJ8" s="23"/>
      <c r="BK8" s="21" t="e">
        <f>((BL7+(Crescimento!#REF!-(BL7*0.64))/0.8)/1000)-Crescimento!#REF!</f>
        <v>#REF!</v>
      </c>
      <c r="BL8" s="22" t="e">
        <f>-53.07 + (304.89 * (BK8)) + (90.79 *(Crescimento!#REF!-Crescimento!#REF!)) - (3.13 * (Crescimento!#REF!-Crescimento!#REF!)^2)</f>
        <v>#REF!</v>
      </c>
      <c r="BM8" s="23"/>
      <c r="BN8" s="21" t="e">
        <f>((BO7+(Crescimento!#REF!-(BO7*0.64))/0.8)/1000)-Crescimento!#REF!</f>
        <v>#REF!</v>
      </c>
      <c r="BO8" s="22" t="e">
        <f>-53.07 + (304.89 * (BN8)) + (90.79 *(Crescimento!#REF!-Crescimento!#REF!)) - (3.13 * (Crescimento!#REF!-Crescimento!#REF!)^2)</f>
        <v>#REF!</v>
      </c>
      <c r="BP8" s="23"/>
      <c r="BQ8" s="21" t="e">
        <f>((BR7+(Crescimento!#REF!-(BR7*0.64))/0.8)/1000)-Crescimento!#REF!</f>
        <v>#REF!</v>
      </c>
      <c r="BR8" s="22" t="e">
        <f>-53.07 + (304.89 * (BQ8)) + (90.79 *(Crescimento!#REF!-Crescimento!#REF!)) - (3.13 * (Crescimento!#REF!-Crescimento!#REF!)^2)</f>
        <v>#REF!</v>
      </c>
      <c r="BS8" s="23"/>
      <c r="BT8" s="21" t="e">
        <f>((BU7+(Crescimento!#REF!-(BU7*0.64))/0.8)/1000)-Crescimento!#REF!</f>
        <v>#REF!</v>
      </c>
      <c r="BU8" s="22" t="e">
        <f>-53.07 + (304.89 * (BT8)) + (90.79 *(Crescimento!#REF!-Crescimento!#REF!)) - (3.13 * (Crescimento!#REF!-Crescimento!#REF!)^2)</f>
        <v>#REF!</v>
      </c>
      <c r="BV8" s="23"/>
      <c r="BW8" s="21" t="e">
        <f>((BX7+(Crescimento!#REF!-(BX7*0.64))/0.8)/1000)-Crescimento!#REF!</f>
        <v>#REF!</v>
      </c>
      <c r="BX8" s="22" t="e">
        <f>-53.07 + (304.89 * (BW8)) + (90.79 *(Crescimento!#REF!-Crescimento!#REF!)) - (3.13 * (Crescimento!#REF!-Crescimento!#REF!)^2)</f>
        <v>#REF!</v>
      </c>
      <c r="BY8" s="23"/>
      <c r="BZ8" s="21" t="e">
        <f>((CA7+(Crescimento!#REF!-(CA7*0.64))/0.8)/1000)-Crescimento!#REF!</f>
        <v>#REF!</v>
      </c>
      <c r="CA8" s="22" t="e">
        <f>-53.07 + (304.89 * (BZ8)) + (90.79 *(Crescimento!#REF!-Crescimento!#REF!)) - (3.13 * (Crescimento!#REF!-Crescimento!#REF!)^2)</f>
        <v>#REF!</v>
      </c>
      <c r="CB8" s="23"/>
      <c r="CC8" s="21" t="e">
        <f>((CD7+(Crescimento!#REF!-(CD7*0.64))/0.8)/1000)-Crescimento!#REF!</f>
        <v>#REF!</v>
      </c>
      <c r="CD8" s="22" t="e">
        <f>-53.07 + (304.89 * (CC8)) + (90.79 *(Crescimento!#REF!-Crescimento!#REF!)) - (3.13 * (Crescimento!#REF!-Crescimento!#REF!)^2)</f>
        <v>#REF!</v>
      </c>
      <c r="CE8" s="23"/>
      <c r="CF8" s="21" t="e">
        <f>((CG7+(Crescimento!#REF!-(CG7*0.64))/0.8)/1000)-Crescimento!#REF!</f>
        <v>#REF!</v>
      </c>
      <c r="CG8" s="22" t="e">
        <f>-53.07 + (304.89 * (CF8)) + (90.79 *(Crescimento!#REF!-Crescimento!#REF!)) - (3.13 * (Crescimento!#REF!-Crescimento!#REF!)^2)</f>
        <v>#REF!</v>
      </c>
      <c r="CH8" s="23"/>
      <c r="CI8" s="21" t="e">
        <f>((CJ7+(Crescimento!#REF!-(CJ7*0.64))/0.8)/1000)-Crescimento!#REF!</f>
        <v>#REF!</v>
      </c>
      <c r="CJ8" s="22" t="e">
        <f>-53.07 + (304.89 * (CI8)) + (90.79 *(Crescimento!#REF!-Crescimento!#REF!)) - (3.13 * (Crescimento!#REF!-Crescimento!#REF!)^2)</f>
        <v>#REF!</v>
      </c>
      <c r="CK8" s="23"/>
      <c r="CL8" s="21" t="e">
        <f>((CM7+(Crescimento!#REF!-(CM7*0.64))/0.8)/1000)-Crescimento!#REF!</f>
        <v>#REF!</v>
      </c>
      <c r="CM8" s="22" t="e">
        <f>-53.07 + (304.89 * (CL8)) + (90.79 *(Crescimento!#REF!-Crescimento!#REF!)) - (3.13 * (Crescimento!#REF!-Crescimento!#REF!)^2)</f>
        <v>#REF!</v>
      </c>
      <c r="CN8" s="23"/>
      <c r="CO8" s="21" t="e">
        <f>((CP7+(Crescimento!#REF!-(CP7*0.64))/0.8)/1000)-Crescimento!#REF!</f>
        <v>#REF!</v>
      </c>
      <c r="CP8" s="22" t="e">
        <f>-53.07 + (304.89 * (CO8)) + (90.79 *(Crescimento!#REF!-Crescimento!#REF!)) - (3.13 * (Crescimento!#REF!-Crescimento!#REF!)^2)</f>
        <v>#REF!</v>
      </c>
      <c r="CQ8" s="23"/>
      <c r="CR8" s="21" t="e">
        <f>((CS7+(Crescimento!#REF!-(CS7*0.64))/0.8)/1000)-Crescimento!#REF!</f>
        <v>#REF!</v>
      </c>
      <c r="CS8" s="22" t="e">
        <f>-53.07 + (304.89 * (CR8)) + (90.79 *(Crescimento!#REF!-Crescimento!#REF!)) - (3.13 * (Crescimento!#REF!-Crescimento!#REF!)^2)</f>
        <v>#REF!</v>
      </c>
      <c r="CX8" s="16" t="e">
        <f>((CY7+(Crescimento!#REF!-(CY7*0.64))/0.8)/1000)-Crescimento!#REF!</f>
        <v>#REF!</v>
      </c>
      <c r="CY8" s="17" t="e">
        <f>-53.07 + (304.89 * (CX8)) + (90.79 *(Crescimento!#REF!-Crescimento!#REF!)) - (3.13 * (Crescimento!#REF!-Crescimento!#REF!)^2)</f>
        <v>#REF!</v>
      </c>
      <c r="DA8" s="16" t="e">
        <f>((DB7+(Crescimento!#REF!-(DB7*0.64))/0.8)/1000)-Crescimento!#REF!</f>
        <v>#REF!</v>
      </c>
      <c r="DB8" s="17" t="e">
        <f>-53.07 + (304.89 * (DA8)) + (90.79 *(Crescimento!#REF!-Crescimento!#REF!)) - (3.13 * (Crescimento!#REF!-Crescimento!#REF!)^2)</f>
        <v>#REF!</v>
      </c>
      <c r="DD8" s="16" t="e">
        <f>(DE7+(Crescimento!#REF!-(DE7*0.64))/0.8)/1000</f>
        <v>#REF!</v>
      </c>
      <c r="DE8" s="17" t="e">
        <f>-53.07 + (304.89 * (DD8)) + (90.79 *Crescimento!#REF!) - (3.13 * Crescimento!#REF!*Crescimento!#REF!)</f>
        <v>#REF!</v>
      </c>
      <c r="DG8" s="16" t="e">
        <f>((DH7+(Crescimento!#REF!-(DH7*0.64))/0.8)/1000)-Crescimento!#REF!</f>
        <v>#REF!</v>
      </c>
      <c r="DH8" s="17" t="e">
        <f>-53.07 + (304.89 * (DG8)) + (90.79 *(Crescimento!#REF!-Crescimento!#REF!)) - (3.13 * (Crescimento!#REF!-Crescimento!#REF!)^2)</f>
        <v>#REF!</v>
      </c>
      <c r="DJ8" s="16" t="e">
        <f>((DK7+(Crescimento!#REF!-(DK7*0.64))/0.8)/1000)-Crescimento!#REF!</f>
        <v>#REF!</v>
      </c>
      <c r="DK8" s="17" t="e">
        <f>-53.07 + (304.89 * (DJ8)) + (90.79 *(Crescimento!#REF!-Crescimento!#REF!)) - (3.13 * (Crescimento!#REF!-Crescimento!#REF!)^2)</f>
        <v>#REF!</v>
      </c>
      <c r="DM8" s="16" t="e">
        <f>((DN7+(Crescimento!#REF!-(DN7*0.64))/0.8)/1000)-Crescimento!#REF!</f>
        <v>#REF!</v>
      </c>
      <c r="DN8" s="17" t="e">
        <f>-53.07 + (304.89 * (DM8)) + (90.79 *(Crescimento!#REF!-Crescimento!#REF!)) - (3.13 * (Crescimento!#REF!-Crescimento!#REF!)^2)</f>
        <v>#REF!</v>
      </c>
      <c r="DP8" s="16" t="e">
        <f>(DQ7+(Crescimento!#REF!-(DQ7*0.64))/0.8)/1000</f>
        <v>#REF!</v>
      </c>
      <c r="DQ8" s="17" t="e">
        <f>-53.07 + (304.89 * (DP8)) + (90.79 *(Crescimento!#REF!-Crescimento!#REF!)) - (3.13 * (Crescimento!#REF!-Crescimento!#REF!)^2)</f>
        <v>#REF!</v>
      </c>
      <c r="DS8" s="16" t="e">
        <f>((DT7+(Crescimento!#REF!-(DT7*0.64))/0.8)/1000)-Crescimento!#REF!</f>
        <v>#REF!</v>
      </c>
      <c r="DT8" s="17" t="e">
        <f>-53.07 + (304.89 * (DS8)) + (90.79 *(Crescimento!#REF!-Crescimento!#REF!)) - (3.13 * (Crescimento!#REF!-Crescimento!#REF!)^2)</f>
        <v>#REF!</v>
      </c>
      <c r="DV8" s="16" t="e">
        <f>((DW7+(Crescimento!#REF!-(DW7*0.64))/0.8)/1000)-Crescimento!#REF!</f>
        <v>#REF!</v>
      </c>
      <c r="DW8" s="17" t="e">
        <f>-53.07 + (304.89 * (DV8)) + (90.79 *(Crescimento!#REF!-Crescimento!#REF!)) - (3.13 * (Crescimento!#REF!-Crescimento!#REF!)^2)</f>
        <v>#REF!</v>
      </c>
      <c r="DY8" s="16" t="e">
        <f>((DZ7+(Crescimento!#REF!-(DZ7*0.64))/0.8)/1000)-Crescimento!#REF!</f>
        <v>#REF!</v>
      </c>
      <c r="DZ8" s="17" t="e">
        <f>-53.07 + (304.89 * (DY8)) + (90.79 *(Crescimento!#REF!-Crescimento!#REF!)) - (3.13 * (Crescimento!#REF!-Crescimento!#REF!)^2)</f>
        <v>#REF!</v>
      </c>
      <c r="EB8" s="16" t="e">
        <f>((EC7+(Crescimento!#REF!-(EC7*0.64))/0.8)/1000)-Crescimento!#REF!</f>
        <v>#REF!</v>
      </c>
      <c r="EC8" s="17" t="e">
        <f>-53.07 + (304.89 * (EB8)) + (90.79 *(Crescimento!#REF!-Crescimento!#REF!)) - (3.13 * (Crescimento!#REF!-Crescimento!#REF!)^2)</f>
        <v>#REF!</v>
      </c>
      <c r="EE8" s="16" t="e">
        <f>((EF7+(Crescimento!#REF!-(EF7*0.64))/0.8)/1000)-Crescimento!#REF!</f>
        <v>#REF!</v>
      </c>
      <c r="EF8" s="17" t="e">
        <f>-53.07 + (304.89 * (EE8)) + (90.79 *(Crescimento!#REF!-Crescimento!#REF!)) - (3.13 * (Crescimento!#REF!-Crescimento!#REF!)^2)</f>
        <v>#REF!</v>
      </c>
      <c r="EH8" s="16" t="e">
        <f>((EI7+(Crescimento!#REF!-(EI7*0.64))/0.8)/1000)-Crescimento!#REF!</f>
        <v>#REF!</v>
      </c>
      <c r="EI8" s="17" t="e">
        <f>-53.07 + (304.89 * (EH8)) + (90.79 *(Crescimento!#REF!-Crescimento!#REF!)) - (3.13 * (Crescimento!#REF!-Crescimento!#REF!)^2)</f>
        <v>#REF!</v>
      </c>
      <c r="EK8" s="16" t="e">
        <f>((EL7+(Crescimento!#REF!-(EL7*0.64))/0.8)/1000)-Crescimento!#REF!</f>
        <v>#REF!</v>
      </c>
      <c r="EL8" s="17" t="e">
        <f>-53.07 + (304.89 * (EK8)) + (90.79 *(Crescimento!#REF!-Crescimento!#REF!)) - (3.13 * (Crescimento!#REF!-Crescimento!#REF!)^2)</f>
        <v>#REF!</v>
      </c>
      <c r="EN8" s="16" t="e">
        <f>((EO7+(Crescimento!#REF!-(EO7*0.64))/0.8)/1000)-Crescimento!#REF!</f>
        <v>#REF!</v>
      </c>
      <c r="EO8" s="17" t="e">
        <f>-53.07 + (304.89 * (EN8)) + (90.79 *(Crescimento!#REF!-Crescimento!#REF!)) - (3.13 * (Crescimento!#REF!-Crescimento!#REF!)^2)</f>
        <v>#REF!</v>
      </c>
      <c r="EQ8" s="16" t="e">
        <f>((ER7+(Crescimento!#REF!-(ER7*0.64))/0.8)/1000)-Crescimento!#REF!</f>
        <v>#REF!</v>
      </c>
      <c r="ER8" s="17" t="e">
        <f>-53.07 + (304.89 * (EQ8)) + (90.79 *(Crescimento!#REF!-Crescimento!#REF!)) - (3.13 * (Crescimento!#REF!-Crescimento!#REF!)^2)</f>
        <v>#REF!</v>
      </c>
      <c r="ET8" s="16" t="e">
        <f>((EU7+(Crescimento!#REF!-(EU7*0.64))/0.8)/1000)-Crescimento!#REF!</f>
        <v>#REF!</v>
      </c>
      <c r="EU8" s="17" t="e">
        <f>-53.07 + (304.89 * (ET8)) + (90.79 *(Crescimento!#REF!-Crescimento!#REF!)) - (3.13 * (Crescimento!#REF!-Crescimento!#REF!)^2)</f>
        <v>#REF!</v>
      </c>
      <c r="EW8" s="16" t="e">
        <f>((EX7+('Vacas e Bezerros'!#REF!-(EX7*0.64))/0.8)/1000)-'Vacas e Bezerros'!#REF!</f>
        <v>#REF!</v>
      </c>
      <c r="EX8" s="17" t="e">
        <f>-53.07 + (304.89 * (EW8)) + (90.79 *('Vacas e Bezerros'!#REF!-'Vacas e Bezerros'!#REF!)) - (3.13 * ('Vacas e Bezerros'!#REF!-'Vacas e Bezerros'!#REF!)^2)</f>
        <v>#REF!</v>
      </c>
      <c r="EZ8" s="16" t="e">
        <f>((FA7+('Vacas e Bezerros'!#REF!-(FA7*0.64))/0.8)/1000)-'Vacas e Bezerros'!#REF!</f>
        <v>#REF!</v>
      </c>
      <c r="FA8" s="17" t="e">
        <f>-53.07 + (304.89 * (EZ8)) + (90.79 *('Vacas e Bezerros'!#REF!-'Vacas e Bezerros'!#REF!)) - (3.13 * ('Vacas e Bezerros'!#REF!-'Vacas e Bezerros'!#REF!)^2)</f>
        <v>#REF!</v>
      </c>
      <c r="FC8" s="16" t="e">
        <f>((FD7+('Vacas e Bezerros'!#REF!-(FD7*0.64))/0.8)/1000)-'Vacas e Bezerros'!#REF!</f>
        <v>#REF!</v>
      </c>
      <c r="FD8" s="17" t="e">
        <f>-53.07 + (304.89 * (FC8)) + (90.79 *('Vacas e Bezerros'!#REF!-'Vacas e Bezerros'!#REF!)) - (3.13 * ('Vacas e Bezerros'!#REF!-'Vacas e Bezerros'!#REF!)^2)</f>
        <v>#REF!</v>
      </c>
      <c r="FF8" s="16" t="e">
        <f>((FG7+('Vacas e Bezerros'!#REF!-(FG7*0.64))/0.8)/1000)-'Vacas e Bezerros'!#REF!</f>
        <v>#REF!</v>
      </c>
      <c r="FG8" s="17" t="e">
        <f>-53.07 + (304.89 * (FF8)) + (90.79 *('Vacas e Bezerros'!#REF!-'Vacas e Bezerros'!#REF!)) - (3.13 * ('Vacas e Bezerros'!#REF!-'Vacas e Bezerros'!#REF!)^2)</f>
        <v>#REF!</v>
      </c>
      <c r="FI8" s="16" t="e">
        <f>((FJ7+('Vacas e Bezerros'!#REF!-(FJ7*0.64))/0.8)/1000)-'Vacas e Bezerros'!#REF!</f>
        <v>#REF!</v>
      </c>
      <c r="FJ8" s="17" t="e">
        <f>-53.07 + (304.89 * (FI8)) + (90.79 *('Vacas e Bezerros'!#REF!-'Vacas e Bezerros'!#REF!)) - (3.13 * ('Vacas e Bezerros'!#REF!-'Vacas e Bezerros'!#REF!)^2)</f>
        <v>#REF!</v>
      </c>
      <c r="FL8" s="16" t="e">
        <f>((FM7+('Vacas e Bezerros'!#REF!-(FM7*0.64))/0.8)/1000)-'Vacas e Bezerros'!#REF!</f>
        <v>#REF!</v>
      </c>
      <c r="FM8" s="17" t="e">
        <f>-53.07 + (304.89 * (FL8)) + (90.79 *('Vacas e Bezerros'!#REF!-'Vacas e Bezerros'!#REF!)) - (3.13 * ('Vacas e Bezerros'!#REF!-'Vacas e Bezerros'!#REF!)^2)</f>
        <v>#REF!</v>
      </c>
      <c r="FO8" s="16" t="e">
        <f>((FP7+('Vacas e Bezerros'!#REF!-(FP7*0.64))/0.8)/1000)-'Vacas e Bezerros'!#REF!</f>
        <v>#REF!</v>
      </c>
      <c r="FP8" s="17" t="e">
        <f>-53.07 + (304.89 * (FO8)) + (90.79 *('Vacas e Bezerros'!#REF!-'Vacas e Bezerros'!#REF!)) - (3.13 * ('Vacas e Bezerros'!#REF!-'Vacas e Bezerros'!#REF!)^2)</f>
        <v>#REF!</v>
      </c>
      <c r="FR8" s="16" t="e">
        <f>((FS7+('Vacas e Bezerros'!#REF!-(FS7*0.64))/0.8)/1000)-'Vacas e Bezerros'!#REF!</f>
        <v>#REF!</v>
      </c>
      <c r="FS8" s="17" t="e">
        <f>-53.07 + (304.89 * (FR8)) + (90.79 *('Vacas e Bezerros'!#REF!-'Vacas e Bezerros'!#REF!)) - (3.13 * ('Vacas e Bezerros'!#REF!-'Vacas e Bezerros'!#REF!)^2)</f>
        <v>#REF!</v>
      </c>
      <c r="FU8" s="16" t="e">
        <f>((FV7+('Vacas e Bezerros'!#REF!-(FV7*0.64))/0.8)/1000)-'Vacas e Bezerros'!#REF!</f>
        <v>#REF!</v>
      </c>
      <c r="FV8" s="17" t="e">
        <f>-53.07 + (304.89 * (FU8)) + (90.79 *('Vacas e Bezerros'!#REF!-'Vacas e Bezerros'!#REF!)) - (3.13 * ('Vacas e Bezerros'!#REF!-'Vacas e Bezerros'!#REF!)^2)</f>
        <v>#REF!</v>
      </c>
      <c r="FX8" s="16" t="e">
        <f>((FY7+('Vacas e Bezerros'!#REF!-(FY7*0.64))/0.8)/1000)-'Vacas e Bezerros'!#REF!</f>
        <v>#REF!</v>
      </c>
      <c r="FY8" s="17" t="e">
        <f>-53.07 + (304.89 * (FX8)) + (90.79 *('Vacas e Bezerros'!#REF!-'Vacas e Bezerros'!#REF!)) - (3.13 * ('Vacas e Bezerros'!#REF!-'Vacas e Bezerros'!#REF!)^2)</f>
        <v>#REF!</v>
      </c>
      <c r="GA8" s="16" t="e">
        <f>((GB7+('Vacas e Bezerros'!#REF!-(GB7*0.64))/0.8)/1000)-'Vacas e Bezerros'!#REF!</f>
        <v>#REF!</v>
      </c>
      <c r="GB8" s="17" t="e">
        <f>-53.07 + (304.89 * (GA8)) + (90.79 *('Vacas e Bezerros'!#REF!-'Vacas e Bezerros'!#REF!)) - (3.13 * ('Vacas e Bezerros'!#REF!-'Vacas e Bezerros'!#REF!)^2)</f>
        <v>#REF!</v>
      </c>
      <c r="GD8" s="16" t="e">
        <f>((GE7+('Vacas e Bezerros'!#REF!-(GE7*0.64))/0.8)/1000)-'Vacas e Bezerros'!#REF!</f>
        <v>#REF!</v>
      </c>
      <c r="GE8" s="17" t="e">
        <f>-53.07 + (304.89 * (GD8)) + (90.79 *('Vacas e Bezerros'!#REF!-'Vacas e Bezerros'!#REF!)) - (3.13 * ('Vacas e Bezerros'!#REF!-'Vacas e Bezerros'!#REF!)^2)</f>
        <v>#REF!</v>
      </c>
      <c r="GG8" s="16" t="e">
        <f>((GH7+('Vacas e Bezerros'!#REF!-(GH7*0.64))/0.8)/1000)-'Vacas e Bezerros'!#REF!</f>
        <v>#REF!</v>
      </c>
      <c r="GH8" s="17" t="e">
        <f>-53.07 + (304.89 * (GG8)) + (90.79 *('Vacas e Bezerros'!#REF!-'Vacas e Bezerros'!#REF!)) - (3.13 * ('Vacas e Bezerros'!#REF!-'Vacas e Bezerros'!#REF!)^2)</f>
        <v>#REF!</v>
      </c>
      <c r="GJ8" s="16" t="e">
        <f>((GK7+('Vacas e Bezerros'!#REF!-(GK7*0.64))/0.8)/1000)-'Vacas e Bezerros'!#REF!</f>
        <v>#REF!</v>
      </c>
      <c r="GK8" s="17" t="e">
        <f>-53.07 + (304.89 * (GJ8)) + (90.79 *('Vacas e Bezerros'!#REF!-'Vacas e Bezerros'!#REF!)) - (3.13 * ('Vacas e Bezerros'!#REF!-'Vacas e Bezerros'!#REF!)^2)</f>
        <v>#REF!</v>
      </c>
      <c r="GM8" s="16" t="e">
        <f>((GN7+('Vacas e Bezerros'!#REF!-(GN7*0.64))/0.8)/1000)-'Vacas e Bezerros'!#REF!</f>
        <v>#REF!</v>
      </c>
      <c r="GN8" s="17" t="e">
        <f>-53.07 + (304.89 * (GM8)) + (90.79 *('Vacas e Bezerros'!#REF!-'Vacas e Bezerros'!#REF!)) - (3.13 * ('Vacas e Bezerros'!#REF!-'Vacas e Bezerros'!#REF!)^2)</f>
        <v>#REF!</v>
      </c>
    </row>
    <row r="9" spans="2:196" x14ac:dyDescent="0.25">
      <c r="C9" s="16">
        <f>(D8+('Vacas e Bezerros'!$AA$28-(D8*0.64))/0.8)/1000</f>
        <v>0.35719722209255211</v>
      </c>
      <c r="D9" s="17">
        <f>-53.07 + (304.89 * (C9-'Vacas e Bezerros'!$C$206)) + (90.79 *('Vacas e Bezerros'!$AA$22)) - (3.13 *('Vacas e Bezerros'!$AA$22)^2)</f>
        <v>165.01892980478132</v>
      </c>
      <c r="F9" s="16" t="e">
        <f>(G8+(Crescimento!#REF!-(G8*0.64))/0.8)/1000</f>
        <v>#REF!</v>
      </c>
      <c r="G9" s="17" t="e">
        <f>-53.07 + (304.89 * (F9)) + (90.79 *Crescimento!#REF!) - (3.13 * Crescimento!#REF!*Crescimento!#REF!)</f>
        <v>#REF!</v>
      </c>
      <c r="H9" s="1"/>
      <c r="I9" s="16" t="e">
        <f>(J8+(Crescimento!#REF!-(J8*0.64))/0.8)/1000</f>
        <v>#REF!</v>
      </c>
      <c r="J9" s="17" t="e">
        <f>-53.07 + (304.89 * (I9)) + (90.79 *Crescimento!#REF!) - (3.13 * Crescimento!#REF!*Crescimento!#REF!)</f>
        <v>#REF!</v>
      </c>
      <c r="L9" s="16" t="e">
        <f>(M8+(Crescimento!#REF!-(M8*0.64))/0.8)/1000</f>
        <v>#REF!</v>
      </c>
      <c r="M9" s="17" t="e">
        <f>-53.07 + (304.89 * (L9)) + (90.79 *Crescimento!#REF!) - (3.13 * Crescimento!#REF!*Crescimento!#REF!)</f>
        <v>#REF!</v>
      </c>
      <c r="O9" s="16" t="e">
        <f>(P8+(Crescimento!#REF!-(P8*0.64))/0.8)/1000</f>
        <v>#REF!</v>
      </c>
      <c r="P9" s="17" t="e">
        <f>-53.07 + (304.89 * (O9)) + (90.79 *Crescimento!#REF!) - (3.13 * Crescimento!#REF!*Crescimento!#REF!)</f>
        <v>#REF!</v>
      </c>
      <c r="R9" s="16" t="e">
        <f>(S8+(Crescimento!#REF!-(S8*0.64))/0.8)/1000</f>
        <v>#REF!</v>
      </c>
      <c r="S9" s="17" t="e">
        <f>-53.07 + (304.89 * (R9)) + (90.79 *Crescimento!#REF!) - (3.13 * Crescimento!#REF!*Crescimento!#REF!)</f>
        <v>#REF!</v>
      </c>
      <c r="U9" s="16" t="e">
        <f>(V8+(Crescimento!#REF!-(V8*0.64))/0.8)/1000</f>
        <v>#REF!</v>
      </c>
      <c r="V9" s="17" t="e">
        <f>-53.07 + (304.89 * (U9)) + (90.79 *Crescimento!#REF!) - (3.13 * Crescimento!#REF!*Crescimento!#REF!)</f>
        <v>#REF!</v>
      </c>
      <c r="X9" s="16" t="e">
        <f>(Y8+(Crescimento!#REF!-(Y8*0.64))/0.8)/1000</f>
        <v>#REF!</v>
      </c>
      <c r="Y9" s="17" t="e">
        <f>-53.07 + (304.89 * (X9)) + (90.79 *Crescimento!#REF!) - (3.13 * Crescimento!#REF!*Crescimento!#REF!)</f>
        <v>#REF!</v>
      </c>
      <c r="Z9" s="6"/>
      <c r="AA9" s="16" t="e">
        <f>(AB8+(Crescimento!#REF!-(AB8*0.64))/0.8)/1000</f>
        <v>#REF!</v>
      </c>
      <c r="AB9" s="17" t="e">
        <f>-53.07 + (304.89 * (AA9)) + (90.79 *Crescimento!#REF!) - (3.13 * Crescimento!#REF!*Crescimento!#REF!)</f>
        <v>#REF!</v>
      </c>
      <c r="AC9" s="6"/>
      <c r="AD9" s="16" t="e">
        <f>(AE8+(Crescimento!#REF!-(AE8*0.64))/0.8)/1000</f>
        <v>#REF!</v>
      </c>
      <c r="AE9" s="17" t="e">
        <f>-53.07 + (304.89 * (AD9)) + (90.79 *Crescimento!#REF!) - (3.13 * Crescimento!#REF!*Crescimento!#REF!)</f>
        <v>#REF!</v>
      </c>
      <c r="AF9" s="17"/>
      <c r="AG9" s="16" t="e">
        <f>(AH8+(Crescimento!#REF!-(AH8*0.64))/0.8)/1000</f>
        <v>#REF!</v>
      </c>
      <c r="AH9" s="17" t="e">
        <f>-53.07 + (304.89 * (AG9)) + (90.79 *Crescimento!#REF!) - (3.13 * Crescimento!#REF!*Crescimento!#REF!)</f>
        <v>#REF!</v>
      </c>
      <c r="AJ9" s="16" t="e">
        <f>(AK8+(Crescimento!#REF!-(AK8*0.64))/0.8)/1000</f>
        <v>#REF!</v>
      </c>
      <c r="AK9" s="17" t="e">
        <f>-53.07 + (304.89 * (AJ9)) + (90.79 *Crescimento!#REF!) - (3.13 * Crescimento!#REF!*Crescimento!#REF!)</f>
        <v>#REF!</v>
      </c>
      <c r="AM9" s="16" t="e">
        <f>(AN8+(Crescimento!#REF!-(AN8*0.64))/0.8)/1000</f>
        <v>#REF!</v>
      </c>
      <c r="AN9" s="17" t="e">
        <f>-53.07 + (304.89 * (AM9)) + (90.79 *Crescimento!#REF!) - (3.13 * Crescimento!#REF!*Crescimento!#REF!)</f>
        <v>#REF!</v>
      </c>
      <c r="AP9" s="16" t="e">
        <f>(AQ8+(Crescimento!#REF!-(AQ8*0.64))/0.8)/1000</f>
        <v>#REF!</v>
      </c>
      <c r="AQ9" s="17" t="e">
        <f>-53.07 + (304.89 * (AP9)) + (90.79 *Crescimento!#REF!) - (3.13 * Crescimento!#REF!*Crescimento!#REF!)</f>
        <v>#REF!</v>
      </c>
      <c r="AS9" s="16" t="e">
        <f>(AT8+(Crescimento!#REF!-(AT8*0.64))/0.8)/1000</f>
        <v>#REF!</v>
      </c>
      <c r="AT9" s="17" t="e">
        <f>-53.07 + (304.89 * (AS9)) + (90.79 *Crescimento!#REF!) - (3.13 * Crescimento!#REF!*Crescimento!#REF!)</f>
        <v>#REF!</v>
      </c>
      <c r="AV9" s="16" t="e">
        <f>(AW8+(Crescimento!#REF!-(AW8*0.64))/0.8)/1000</f>
        <v>#REF!</v>
      </c>
      <c r="AW9" s="17" t="e">
        <f>-53.07 + (304.89 * (AV9)) + (90.79 *Crescimento!#REF!) - (3.13 * Crescimento!#REF!*Crescimento!#REF!)</f>
        <v>#REF!</v>
      </c>
      <c r="AY9" s="21" t="e">
        <f>((AZ8+(Crescimento!#REF!-(AZ8*0.64))/0.8)/1000)-Crescimento!#REF!</f>
        <v>#REF!</v>
      </c>
      <c r="AZ9" s="22" t="e">
        <f>-53.07 + (304.89 * (AY9)) + (90.79 *(Crescimento!#REF!-Crescimento!#REF!)) - (3.13 * (Crescimento!#REF!-Crescimento!#REF!)^2)</f>
        <v>#REF!</v>
      </c>
      <c r="BA9" s="23"/>
      <c r="BB9" s="21" t="e">
        <f>((BC8+(Crescimento!#REF!-(BC8*0.64))/0.8)/1000)-Crescimento!#REF!</f>
        <v>#REF!</v>
      </c>
      <c r="BC9" s="22" t="e">
        <f>-53.07 + (304.89 * (BB9)) + (90.79 *(Crescimento!#REF!-Crescimento!#REF!)) - (3.13 * (Crescimento!#REF!-Crescimento!#REF!)^2)</f>
        <v>#REF!</v>
      </c>
      <c r="BD9" s="23"/>
      <c r="BE9" s="21" t="e">
        <f>((BF8+(Crescimento!#REF!-(BF8*0.64))/0.8)/1000)-Crescimento!#REF!</f>
        <v>#REF!</v>
      </c>
      <c r="BF9" s="22" t="e">
        <f>-53.07 + (304.89 * (BE9)) + (90.79 *(Crescimento!#REF!-Crescimento!#REF!)) - (3.13 * (Crescimento!#REF!-Crescimento!#REF!)^2)</f>
        <v>#REF!</v>
      </c>
      <c r="BG9" s="23"/>
      <c r="BH9" s="21" t="e">
        <f>((BI8+(Crescimento!#REF!-(BI8*0.64))/0.8)/1000)-Crescimento!#REF!</f>
        <v>#REF!</v>
      </c>
      <c r="BI9" s="22" t="e">
        <f>-53.07 + (304.89 * (BH9)) + (90.79 *(Crescimento!#REF!-Crescimento!#REF!)) - (3.13 * (Crescimento!#REF!-Crescimento!#REF!)^2)</f>
        <v>#REF!</v>
      </c>
      <c r="BJ9" s="23"/>
      <c r="BK9" s="21" t="e">
        <f>((BL8+(Crescimento!#REF!-(BL8*0.64))/0.8)/1000)-Crescimento!#REF!</f>
        <v>#REF!</v>
      </c>
      <c r="BL9" s="22" t="e">
        <f>-53.07 + (304.89 * (BK9)) + (90.79 *(Crescimento!#REF!-Crescimento!#REF!)) - (3.13 * (Crescimento!#REF!-Crescimento!#REF!)^2)</f>
        <v>#REF!</v>
      </c>
      <c r="BM9" s="23"/>
      <c r="BN9" s="21" t="e">
        <f>((BO8+(Crescimento!#REF!-(BO8*0.64))/0.8)/1000)-Crescimento!#REF!</f>
        <v>#REF!</v>
      </c>
      <c r="BO9" s="22" t="e">
        <f>-53.07 + (304.89 * (BN9)) + (90.79 *(Crescimento!#REF!-Crescimento!#REF!)) - (3.13 * (Crescimento!#REF!-Crescimento!#REF!)^2)</f>
        <v>#REF!</v>
      </c>
      <c r="BP9" s="23"/>
      <c r="BQ9" s="21" t="e">
        <f>((BR8+(Crescimento!#REF!-(BR8*0.64))/0.8)/1000)-Crescimento!#REF!</f>
        <v>#REF!</v>
      </c>
      <c r="BR9" s="22" t="e">
        <f>-53.07 + (304.89 * (BQ9)) + (90.79 *(Crescimento!#REF!-Crescimento!#REF!)) - (3.13 * (Crescimento!#REF!-Crescimento!#REF!)^2)</f>
        <v>#REF!</v>
      </c>
      <c r="BS9" s="23"/>
      <c r="BT9" s="21" t="e">
        <f>((BU8+(Crescimento!#REF!-(BU8*0.64))/0.8)/1000)-Crescimento!#REF!</f>
        <v>#REF!</v>
      </c>
      <c r="BU9" s="22" t="e">
        <f>-53.07 + (304.89 * (BT9)) + (90.79 *(Crescimento!#REF!-Crescimento!#REF!)) - (3.13 * (Crescimento!#REF!-Crescimento!#REF!)^2)</f>
        <v>#REF!</v>
      </c>
      <c r="BV9" s="23"/>
      <c r="BW9" s="21" t="e">
        <f>((BX8+(Crescimento!#REF!-(BX8*0.64))/0.8)/1000)-Crescimento!#REF!</f>
        <v>#REF!</v>
      </c>
      <c r="BX9" s="22" t="e">
        <f>-53.07 + (304.89 * (BW9)) + (90.79 *(Crescimento!#REF!-Crescimento!#REF!)) - (3.13 * (Crescimento!#REF!-Crescimento!#REF!)^2)</f>
        <v>#REF!</v>
      </c>
      <c r="BY9" s="23"/>
      <c r="BZ9" s="21" t="e">
        <f>((CA8+(Crescimento!#REF!-(CA8*0.64))/0.8)/1000)-Crescimento!#REF!</f>
        <v>#REF!</v>
      </c>
      <c r="CA9" s="22" t="e">
        <f>-53.07 + (304.89 * (BZ9)) + (90.79 *(Crescimento!#REF!-Crescimento!#REF!)) - (3.13 * (Crescimento!#REF!-Crescimento!#REF!)^2)</f>
        <v>#REF!</v>
      </c>
      <c r="CB9" s="23"/>
      <c r="CC9" s="21" t="e">
        <f>((CD8+(Crescimento!#REF!-(CD8*0.64))/0.8)/1000)-Crescimento!#REF!</f>
        <v>#REF!</v>
      </c>
      <c r="CD9" s="22" t="e">
        <f>-53.07 + (304.89 * (CC9)) + (90.79 *(Crescimento!#REF!-Crescimento!#REF!)) - (3.13 * (Crescimento!#REF!-Crescimento!#REF!)^2)</f>
        <v>#REF!</v>
      </c>
      <c r="CE9" s="23"/>
      <c r="CF9" s="21" t="e">
        <f>((CG8+(Crescimento!#REF!-(CG8*0.64))/0.8)/1000)-Crescimento!#REF!</f>
        <v>#REF!</v>
      </c>
      <c r="CG9" s="22" t="e">
        <f>-53.07 + (304.89 * (CF9)) + (90.79 *(Crescimento!#REF!-Crescimento!#REF!)) - (3.13 * (Crescimento!#REF!-Crescimento!#REF!)^2)</f>
        <v>#REF!</v>
      </c>
      <c r="CH9" s="23"/>
      <c r="CI9" s="21" t="e">
        <f>((CJ8+(Crescimento!#REF!-(CJ8*0.64))/0.8)/1000)-Crescimento!#REF!</f>
        <v>#REF!</v>
      </c>
      <c r="CJ9" s="22" t="e">
        <f>-53.07 + (304.89 * (CI9)) + (90.79 *(Crescimento!#REF!-Crescimento!#REF!)) - (3.13 * (Crescimento!#REF!-Crescimento!#REF!)^2)</f>
        <v>#REF!</v>
      </c>
      <c r="CK9" s="23"/>
      <c r="CL9" s="21" t="e">
        <f>((CM8+(Crescimento!#REF!-(CM8*0.64))/0.8)/1000)-Crescimento!#REF!</f>
        <v>#REF!</v>
      </c>
      <c r="CM9" s="22" t="e">
        <f>-53.07 + (304.89 * (CL9)) + (90.79 *(Crescimento!#REF!-Crescimento!#REF!)) - (3.13 * (Crescimento!#REF!-Crescimento!#REF!)^2)</f>
        <v>#REF!</v>
      </c>
      <c r="CN9" s="23"/>
      <c r="CO9" s="21" t="e">
        <f>((CP8+(Crescimento!#REF!-(CP8*0.64))/0.8)/1000)-Crescimento!#REF!</f>
        <v>#REF!</v>
      </c>
      <c r="CP9" s="22" t="e">
        <f>-53.07 + (304.89 * (CO9)) + (90.79 *(Crescimento!#REF!-Crescimento!#REF!)) - (3.13 * (Crescimento!#REF!-Crescimento!#REF!)^2)</f>
        <v>#REF!</v>
      </c>
      <c r="CQ9" s="23"/>
      <c r="CR9" s="21" t="e">
        <f>((CS8+(Crescimento!#REF!-(CS8*0.64))/0.8)/1000)-Crescimento!#REF!</f>
        <v>#REF!</v>
      </c>
      <c r="CS9" s="22" t="e">
        <f>-53.07 + (304.89 * (CR9)) + (90.79 *(Crescimento!#REF!-Crescimento!#REF!)) - (3.13 * (Crescimento!#REF!-Crescimento!#REF!)^2)</f>
        <v>#REF!</v>
      </c>
      <c r="CX9" s="16" t="e">
        <f>((CY8+(Crescimento!#REF!-(CY8*0.64))/0.8)/1000)-Crescimento!#REF!</f>
        <v>#REF!</v>
      </c>
      <c r="CY9" s="17" t="e">
        <f>-53.07 + (304.89 * (CX9)) + (90.79 *(Crescimento!#REF!-Crescimento!#REF!)) - (3.13 * (Crescimento!#REF!-Crescimento!#REF!)^2)</f>
        <v>#REF!</v>
      </c>
      <c r="DA9" s="16" t="e">
        <f>((DB8+(Crescimento!#REF!-(DB8*0.64))/0.8)/1000)-Crescimento!#REF!</f>
        <v>#REF!</v>
      </c>
      <c r="DB9" s="17" t="e">
        <f>-53.07 + (304.89 * (DA9)) + (90.79 *(Crescimento!#REF!-Crescimento!#REF!)) - (3.13 * (Crescimento!#REF!-Crescimento!#REF!)^2)</f>
        <v>#REF!</v>
      </c>
      <c r="DD9" s="16" t="e">
        <f>(DE8+(Crescimento!#REF!-(DE8*0.64))/0.8)/1000</f>
        <v>#REF!</v>
      </c>
      <c r="DE9" s="17" t="e">
        <f>-53.07 + (304.89 * (DD9)) + (90.79 *Crescimento!#REF!) - (3.13 * Crescimento!#REF!*Crescimento!#REF!)</f>
        <v>#REF!</v>
      </c>
      <c r="DG9" s="16" t="e">
        <f>((DH8+(Crescimento!#REF!-(DH8*0.64))/0.8)/1000)-Crescimento!#REF!</f>
        <v>#REF!</v>
      </c>
      <c r="DH9" s="17" t="e">
        <f>-53.07 + (304.89 * (DG9)) + (90.79 *(Crescimento!#REF!-Crescimento!#REF!)) - (3.13 * (Crescimento!#REF!-Crescimento!#REF!)^2)</f>
        <v>#REF!</v>
      </c>
      <c r="DJ9" s="16" t="e">
        <f>((DK8+(Crescimento!#REF!-(DK8*0.64))/0.8)/1000)-Crescimento!#REF!</f>
        <v>#REF!</v>
      </c>
      <c r="DK9" s="17" t="e">
        <f>-53.07 + (304.89 * (DJ9)) + (90.79 *(Crescimento!#REF!-Crescimento!#REF!)) - (3.13 * (Crescimento!#REF!-Crescimento!#REF!)^2)</f>
        <v>#REF!</v>
      </c>
      <c r="DM9" s="16" t="e">
        <f>((DN8+(Crescimento!#REF!-(DN8*0.64))/0.8)/1000)-Crescimento!#REF!</f>
        <v>#REF!</v>
      </c>
      <c r="DN9" s="17" t="e">
        <f>-53.07 + (304.89 * (DM9)) + (90.79 *(Crescimento!#REF!-Crescimento!#REF!)) - (3.13 * (Crescimento!#REF!-Crescimento!#REF!)^2)</f>
        <v>#REF!</v>
      </c>
      <c r="DP9" s="16" t="e">
        <f>(DQ8+(Crescimento!#REF!-(DQ8*0.64))/0.8)/1000</f>
        <v>#REF!</v>
      </c>
      <c r="DQ9" s="17" t="e">
        <f>-53.07 + (304.89 * (DP9)) + (90.79 *(Crescimento!#REF!-Crescimento!#REF!)) - (3.13 * (Crescimento!#REF!-Crescimento!#REF!)^2)</f>
        <v>#REF!</v>
      </c>
      <c r="DS9" s="16" t="e">
        <f>((DT8+(Crescimento!#REF!-(DT8*0.64))/0.8)/1000)-Crescimento!#REF!</f>
        <v>#REF!</v>
      </c>
      <c r="DT9" s="17" t="e">
        <f>-53.07 + (304.89 * (DS9)) + (90.79 *(Crescimento!#REF!-Crescimento!#REF!)) - (3.13 * (Crescimento!#REF!-Crescimento!#REF!)^2)</f>
        <v>#REF!</v>
      </c>
      <c r="DV9" s="16" t="e">
        <f>((DW8+(Crescimento!#REF!-(DW8*0.64))/0.8)/1000)-Crescimento!#REF!</f>
        <v>#REF!</v>
      </c>
      <c r="DW9" s="17" t="e">
        <f>-53.07 + (304.89 * (DV9)) + (90.79 *(Crescimento!#REF!-Crescimento!#REF!)) - (3.13 * (Crescimento!#REF!-Crescimento!#REF!)^2)</f>
        <v>#REF!</v>
      </c>
      <c r="DY9" s="16" t="e">
        <f>((DZ8+(Crescimento!#REF!-(DZ8*0.64))/0.8)/1000)-Crescimento!#REF!</f>
        <v>#REF!</v>
      </c>
      <c r="DZ9" s="17" t="e">
        <f>-53.07 + (304.89 * (DY9)) + (90.79 *(Crescimento!#REF!-Crescimento!#REF!)) - (3.13 * (Crescimento!#REF!-Crescimento!#REF!)^2)</f>
        <v>#REF!</v>
      </c>
      <c r="EB9" s="16" t="e">
        <f>((EC8+(Crescimento!#REF!-(EC8*0.64))/0.8)/1000)-Crescimento!#REF!</f>
        <v>#REF!</v>
      </c>
      <c r="EC9" s="17" t="e">
        <f>-53.07 + (304.89 * (EB9)) + (90.79 *(Crescimento!#REF!-Crescimento!#REF!)) - (3.13 * (Crescimento!#REF!-Crescimento!#REF!)^2)</f>
        <v>#REF!</v>
      </c>
      <c r="EE9" s="16" t="e">
        <f>((EF8+(Crescimento!#REF!-(EF8*0.64))/0.8)/1000)-Crescimento!#REF!</f>
        <v>#REF!</v>
      </c>
      <c r="EF9" s="17" t="e">
        <f>-53.07 + (304.89 * (EE9)) + (90.79 *(Crescimento!#REF!-Crescimento!#REF!)) - (3.13 * (Crescimento!#REF!-Crescimento!#REF!)^2)</f>
        <v>#REF!</v>
      </c>
      <c r="EH9" s="16" t="e">
        <f>((EI8+(Crescimento!#REF!-(EI8*0.64))/0.8)/1000)-Crescimento!#REF!</f>
        <v>#REF!</v>
      </c>
      <c r="EI9" s="17" t="e">
        <f>-53.07 + (304.89 * (EH9)) + (90.79 *(Crescimento!#REF!-Crescimento!#REF!)) - (3.13 * (Crescimento!#REF!-Crescimento!#REF!)^2)</f>
        <v>#REF!</v>
      </c>
      <c r="EK9" s="16" t="e">
        <f>((EL8+(Crescimento!#REF!-(EL8*0.64))/0.8)/1000)-Crescimento!#REF!</f>
        <v>#REF!</v>
      </c>
      <c r="EL9" s="17" t="e">
        <f>-53.07 + (304.89 * (EK9)) + (90.79 *(Crescimento!#REF!-Crescimento!#REF!)) - (3.13 * (Crescimento!#REF!-Crescimento!#REF!)^2)</f>
        <v>#REF!</v>
      </c>
      <c r="EN9" s="16" t="e">
        <f>((EO8+(Crescimento!#REF!-(EO8*0.64))/0.8)/1000)-Crescimento!#REF!</f>
        <v>#REF!</v>
      </c>
      <c r="EO9" s="17" t="e">
        <f>-53.07 + (304.89 * (EN9)) + (90.79 *(Crescimento!#REF!-Crescimento!#REF!)) - (3.13 * (Crescimento!#REF!-Crescimento!#REF!)^2)</f>
        <v>#REF!</v>
      </c>
      <c r="EQ9" s="16" t="e">
        <f>((ER8+(Crescimento!#REF!-(ER8*0.64))/0.8)/1000)-Crescimento!#REF!</f>
        <v>#REF!</v>
      </c>
      <c r="ER9" s="17" t="e">
        <f>-53.07 + (304.89 * (EQ9)) + (90.79 *(Crescimento!#REF!-Crescimento!#REF!)) - (3.13 * (Crescimento!#REF!-Crescimento!#REF!)^2)</f>
        <v>#REF!</v>
      </c>
      <c r="ET9" s="16" t="e">
        <f>((EU8+(Crescimento!#REF!-(EU8*0.64))/0.8)/1000)-Crescimento!#REF!</f>
        <v>#REF!</v>
      </c>
      <c r="EU9" s="17" t="e">
        <f>-53.07 + (304.89 * (ET9)) + (90.79 *(Crescimento!#REF!-Crescimento!#REF!)) - (3.13 * (Crescimento!#REF!-Crescimento!#REF!)^2)</f>
        <v>#REF!</v>
      </c>
      <c r="EW9" s="16" t="e">
        <f>((EX8+('Vacas e Bezerros'!#REF!-(EX8*0.64))/0.8)/1000)-'Vacas e Bezerros'!#REF!</f>
        <v>#REF!</v>
      </c>
      <c r="EX9" s="17" t="e">
        <f>-53.07 + (304.89 * (EW9)) + (90.79 *('Vacas e Bezerros'!#REF!-'Vacas e Bezerros'!#REF!)) - (3.13 * ('Vacas e Bezerros'!#REF!-'Vacas e Bezerros'!#REF!)^2)</f>
        <v>#REF!</v>
      </c>
      <c r="EZ9" s="16" t="e">
        <f>((FA8+('Vacas e Bezerros'!#REF!-(FA8*0.64))/0.8)/1000)-'Vacas e Bezerros'!#REF!</f>
        <v>#REF!</v>
      </c>
      <c r="FA9" s="17" t="e">
        <f>-53.07 + (304.89 * (EZ9)) + (90.79 *('Vacas e Bezerros'!#REF!-'Vacas e Bezerros'!#REF!)) - (3.13 * ('Vacas e Bezerros'!#REF!-'Vacas e Bezerros'!#REF!)^2)</f>
        <v>#REF!</v>
      </c>
      <c r="FC9" s="16" t="e">
        <f>((FD8+('Vacas e Bezerros'!#REF!-(FD8*0.64))/0.8)/1000)-'Vacas e Bezerros'!#REF!</f>
        <v>#REF!</v>
      </c>
      <c r="FD9" s="17" t="e">
        <f>-53.07 + (304.89 * (FC9)) + (90.79 *('Vacas e Bezerros'!#REF!-'Vacas e Bezerros'!#REF!)) - (3.13 * ('Vacas e Bezerros'!#REF!-'Vacas e Bezerros'!#REF!)^2)</f>
        <v>#REF!</v>
      </c>
      <c r="FF9" s="16" t="e">
        <f>((FG8+('Vacas e Bezerros'!#REF!-(FG8*0.64))/0.8)/1000)-'Vacas e Bezerros'!#REF!</f>
        <v>#REF!</v>
      </c>
      <c r="FG9" s="17" t="e">
        <f>-53.07 + (304.89 * (FF9)) + (90.79 *('Vacas e Bezerros'!#REF!-'Vacas e Bezerros'!#REF!)) - (3.13 * ('Vacas e Bezerros'!#REF!-'Vacas e Bezerros'!#REF!)^2)</f>
        <v>#REF!</v>
      </c>
      <c r="FI9" s="16" t="e">
        <f>((FJ8+('Vacas e Bezerros'!#REF!-(FJ8*0.64))/0.8)/1000)-'Vacas e Bezerros'!#REF!</f>
        <v>#REF!</v>
      </c>
      <c r="FJ9" s="17" t="e">
        <f>-53.07 + (304.89 * (FI9)) + (90.79 *('Vacas e Bezerros'!#REF!-'Vacas e Bezerros'!#REF!)) - (3.13 * ('Vacas e Bezerros'!#REF!-'Vacas e Bezerros'!#REF!)^2)</f>
        <v>#REF!</v>
      </c>
      <c r="FL9" s="16" t="e">
        <f>((FM8+('Vacas e Bezerros'!#REF!-(FM8*0.64))/0.8)/1000)-'Vacas e Bezerros'!#REF!</f>
        <v>#REF!</v>
      </c>
      <c r="FM9" s="17" t="e">
        <f>-53.07 + (304.89 * (FL9)) + (90.79 *('Vacas e Bezerros'!#REF!-'Vacas e Bezerros'!#REF!)) - (3.13 * ('Vacas e Bezerros'!#REF!-'Vacas e Bezerros'!#REF!)^2)</f>
        <v>#REF!</v>
      </c>
      <c r="FO9" s="16" t="e">
        <f>((FP8+('Vacas e Bezerros'!#REF!-(FP8*0.64))/0.8)/1000)-'Vacas e Bezerros'!#REF!</f>
        <v>#REF!</v>
      </c>
      <c r="FP9" s="17" t="e">
        <f>-53.07 + (304.89 * (FO9)) + (90.79 *('Vacas e Bezerros'!#REF!-'Vacas e Bezerros'!#REF!)) - (3.13 * ('Vacas e Bezerros'!#REF!-'Vacas e Bezerros'!#REF!)^2)</f>
        <v>#REF!</v>
      </c>
      <c r="FR9" s="16" t="e">
        <f>((FS8+('Vacas e Bezerros'!#REF!-(FS8*0.64))/0.8)/1000)-'Vacas e Bezerros'!#REF!</f>
        <v>#REF!</v>
      </c>
      <c r="FS9" s="17" t="e">
        <f>-53.07 + (304.89 * (FR9)) + (90.79 *('Vacas e Bezerros'!#REF!-'Vacas e Bezerros'!#REF!)) - (3.13 * ('Vacas e Bezerros'!#REF!-'Vacas e Bezerros'!#REF!)^2)</f>
        <v>#REF!</v>
      </c>
      <c r="FU9" s="16" t="e">
        <f>((FV8+('Vacas e Bezerros'!#REF!-(FV8*0.64))/0.8)/1000)-'Vacas e Bezerros'!#REF!</f>
        <v>#REF!</v>
      </c>
      <c r="FV9" s="17" t="e">
        <f>-53.07 + (304.89 * (FU9)) + (90.79 *('Vacas e Bezerros'!#REF!-'Vacas e Bezerros'!#REF!)) - (3.13 * ('Vacas e Bezerros'!#REF!-'Vacas e Bezerros'!#REF!)^2)</f>
        <v>#REF!</v>
      </c>
      <c r="FX9" s="16" t="e">
        <f>((FY8+('Vacas e Bezerros'!#REF!-(FY8*0.64))/0.8)/1000)-'Vacas e Bezerros'!#REF!</f>
        <v>#REF!</v>
      </c>
      <c r="FY9" s="17" t="e">
        <f>-53.07 + (304.89 * (FX9)) + (90.79 *('Vacas e Bezerros'!#REF!-'Vacas e Bezerros'!#REF!)) - (3.13 * ('Vacas e Bezerros'!#REF!-'Vacas e Bezerros'!#REF!)^2)</f>
        <v>#REF!</v>
      </c>
      <c r="GA9" s="16" t="e">
        <f>((GB8+('Vacas e Bezerros'!#REF!-(GB8*0.64))/0.8)/1000)-'Vacas e Bezerros'!#REF!</f>
        <v>#REF!</v>
      </c>
      <c r="GB9" s="17" t="e">
        <f>-53.07 + (304.89 * (GA9)) + (90.79 *('Vacas e Bezerros'!#REF!-'Vacas e Bezerros'!#REF!)) - (3.13 * ('Vacas e Bezerros'!#REF!-'Vacas e Bezerros'!#REF!)^2)</f>
        <v>#REF!</v>
      </c>
      <c r="GD9" s="16" t="e">
        <f>((GE8+('Vacas e Bezerros'!#REF!-(GE8*0.64))/0.8)/1000)-'Vacas e Bezerros'!#REF!</f>
        <v>#REF!</v>
      </c>
      <c r="GE9" s="17" t="e">
        <f>-53.07 + (304.89 * (GD9)) + (90.79 *('Vacas e Bezerros'!#REF!-'Vacas e Bezerros'!#REF!)) - (3.13 * ('Vacas e Bezerros'!#REF!-'Vacas e Bezerros'!#REF!)^2)</f>
        <v>#REF!</v>
      </c>
      <c r="GG9" s="16" t="e">
        <f>((GH8+('Vacas e Bezerros'!#REF!-(GH8*0.64))/0.8)/1000)-'Vacas e Bezerros'!#REF!</f>
        <v>#REF!</v>
      </c>
      <c r="GH9" s="17" t="e">
        <f>-53.07 + (304.89 * (GG9)) + (90.79 *('Vacas e Bezerros'!#REF!-'Vacas e Bezerros'!#REF!)) - (3.13 * ('Vacas e Bezerros'!#REF!-'Vacas e Bezerros'!#REF!)^2)</f>
        <v>#REF!</v>
      </c>
      <c r="GJ9" s="16" t="e">
        <f>((GK8+('Vacas e Bezerros'!#REF!-(GK8*0.64))/0.8)/1000)-'Vacas e Bezerros'!#REF!</f>
        <v>#REF!</v>
      </c>
      <c r="GK9" s="17" t="e">
        <f>-53.07 + (304.89 * (GJ9)) + (90.79 *('Vacas e Bezerros'!#REF!-'Vacas e Bezerros'!#REF!)) - (3.13 * ('Vacas e Bezerros'!#REF!-'Vacas e Bezerros'!#REF!)^2)</f>
        <v>#REF!</v>
      </c>
      <c r="GM9" s="16" t="e">
        <f>((GN8+('Vacas e Bezerros'!#REF!-(GN8*0.64))/0.8)/1000)-'Vacas e Bezerros'!#REF!</f>
        <v>#REF!</v>
      </c>
      <c r="GN9" s="17" t="e">
        <f>-53.07 + (304.89 * (GM9)) + (90.79 *('Vacas e Bezerros'!#REF!-'Vacas e Bezerros'!#REF!)) - (3.13 * ('Vacas e Bezerros'!#REF!-'Vacas e Bezerros'!#REF!)^2)</f>
        <v>#REF!</v>
      </c>
    </row>
    <row r="10" spans="2:196" x14ac:dyDescent="0.25">
      <c r="C10" s="16">
        <f>(D9+('Vacas e Bezerros'!$AA$28-(D9*0.64))/0.8)/1000</f>
        <v>0.35719671320742508</v>
      </c>
      <c r="D10" s="17">
        <f>-53.07 + (304.89 * (C10-'Vacas e Bezerros'!$C$206)) + (90.79 *('Vacas e Bezerros'!$AA$22)) - (3.13 *('Vacas e Bezerros'!$AA$22)^2)</f>
        <v>165.01877465079494</v>
      </c>
      <c r="F10" s="16" t="e">
        <f>(G9+(Crescimento!#REF!-(G9*0.64))/0.8)/1000</f>
        <v>#REF!</v>
      </c>
      <c r="G10" s="17" t="e">
        <f>-53.07 + (304.89 * (F10)) + (90.79 *Crescimento!#REF!) - (3.13 * Crescimento!#REF!*Crescimento!#REF!)</f>
        <v>#REF!</v>
      </c>
      <c r="H10" s="1"/>
      <c r="I10" s="16" t="e">
        <f>(J9+(Crescimento!#REF!-(J9*0.64))/0.8)/1000</f>
        <v>#REF!</v>
      </c>
      <c r="J10" s="17" t="e">
        <f>-53.07 + (304.89 * (I10)) + (90.79 *Crescimento!#REF!) - (3.13 * Crescimento!#REF!*Crescimento!#REF!)</f>
        <v>#REF!</v>
      </c>
      <c r="L10" s="16" t="e">
        <f>(M9+(Crescimento!#REF!-(M9*0.64))/0.8)/1000</f>
        <v>#REF!</v>
      </c>
      <c r="M10" s="17" t="e">
        <f>-53.07 + (304.89 * (L10)) + (90.79 *Crescimento!#REF!) - (3.13 * Crescimento!#REF!*Crescimento!#REF!)</f>
        <v>#REF!</v>
      </c>
      <c r="O10" s="16" t="e">
        <f>(P9+(Crescimento!#REF!-(P9*0.64))/0.8)/1000</f>
        <v>#REF!</v>
      </c>
      <c r="P10" s="17" t="e">
        <f>-53.07 + (304.89 * (O10)) + (90.79 *Crescimento!#REF!) - (3.13 * Crescimento!#REF!*Crescimento!#REF!)</f>
        <v>#REF!</v>
      </c>
      <c r="R10" s="16" t="e">
        <f>(S9+(Crescimento!#REF!-(S9*0.64))/0.8)/1000</f>
        <v>#REF!</v>
      </c>
      <c r="S10" s="17" t="e">
        <f>-53.07 + (304.89 * (R10)) + (90.79 *Crescimento!#REF!) - (3.13 * Crescimento!#REF!*Crescimento!#REF!)</f>
        <v>#REF!</v>
      </c>
      <c r="U10" s="16" t="e">
        <f>(V9+(Crescimento!#REF!-(V9*0.64))/0.8)/1000</f>
        <v>#REF!</v>
      </c>
      <c r="V10" s="17" t="e">
        <f>-53.07 + (304.89 * (U10)) + (90.79 *Crescimento!#REF!) - (3.13 * Crescimento!#REF!*Crescimento!#REF!)</f>
        <v>#REF!</v>
      </c>
      <c r="X10" s="16" t="e">
        <f>(Y9+(Crescimento!#REF!-(Y9*0.64))/0.8)/1000</f>
        <v>#REF!</v>
      </c>
      <c r="Y10" s="17" t="e">
        <f>-53.07 + (304.89 * (X10)) + (90.79 *Crescimento!#REF!) - (3.13 * Crescimento!#REF!*Crescimento!#REF!)</f>
        <v>#REF!</v>
      </c>
      <c r="Z10" s="6"/>
      <c r="AA10" s="16" t="e">
        <f>(AB9+(Crescimento!#REF!-(AB9*0.64))/0.8)/1000</f>
        <v>#REF!</v>
      </c>
      <c r="AB10" s="17" t="e">
        <f>-53.07 + (304.89 * (AA10)) + (90.79 *Crescimento!#REF!) - (3.13 * Crescimento!#REF!*Crescimento!#REF!)</f>
        <v>#REF!</v>
      </c>
      <c r="AC10" s="6"/>
      <c r="AD10" s="16" t="e">
        <f>(AE9+(Crescimento!#REF!-(AE9*0.64))/0.8)/1000</f>
        <v>#REF!</v>
      </c>
      <c r="AE10" s="17" t="e">
        <f>-53.07 + (304.89 * (AD10)) + (90.79 *Crescimento!#REF!) - (3.13 * Crescimento!#REF!*Crescimento!#REF!)</f>
        <v>#REF!</v>
      </c>
      <c r="AF10" s="17"/>
      <c r="AG10" s="16" t="e">
        <f>(AH9+(Crescimento!#REF!-(AH9*0.64))/0.8)/1000</f>
        <v>#REF!</v>
      </c>
      <c r="AH10" s="17" t="e">
        <f>-53.07 + (304.89 * (AG10)) + (90.79 *Crescimento!#REF!) - (3.13 * Crescimento!#REF!*Crescimento!#REF!)</f>
        <v>#REF!</v>
      </c>
      <c r="AJ10" s="16" t="e">
        <f>(AK9+(Crescimento!#REF!-(AK9*0.64))/0.8)/1000</f>
        <v>#REF!</v>
      </c>
      <c r="AK10" s="17" t="e">
        <f>-53.07 + (304.89 * (AJ10)) + (90.79 *Crescimento!#REF!) - (3.13 * Crescimento!#REF!*Crescimento!#REF!)</f>
        <v>#REF!</v>
      </c>
      <c r="AM10" s="16" t="e">
        <f>(AN9+(Crescimento!#REF!-(AN9*0.64))/0.8)/1000</f>
        <v>#REF!</v>
      </c>
      <c r="AN10" s="17" t="e">
        <f>-53.07 + (304.89 * (AM10)) + (90.79 *Crescimento!#REF!) - (3.13 * Crescimento!#REF!*Crescimento!#REF!)</f>
        <v>#REF!</v>
      </c>
      <c r="AP10" s="16" t="e">
        <f>(AQ9+(Crescimento!#REF!-(AQ9*0.64))/0.8)/1000</f>
        <v>#REF!</v>
      </c>
      <c r="AQ10" s="17" t="e">
        <f>-53.07 + (304.89 * (AP10)) + (90.79 *Crescimento!#REF!) - (3.13 * Crescimento!#REF!*Crescimento!#REF!)</f>
        <v>#REF!</v>
      </c>
      <c r="AS10" s="16" t="e">
        <f>(AT9+(Crescimento!#REF!-(AT9*0.64))/0.8)/1000</f>
        <v>#REF!</v>
      </c>
      <c r="AT10" s="17" t="e">
        <f>-53.07 + (304.89 * (AS10)) + (90.79 *Crescimento!#REF!) - (3.13 * Crescimento!#REF!*Crescimento!#REF!)</f>
        <v>#REF!</v>
      </c>
      <c r="AV10" s="16" t="e">
        <f>(AW9+(Crescimento!#REF!-(AW9*0.64))/0.8)/1000</f>
        <v>#REF!</v>
      </c>
      <c r="AW10" s="17" t="e">
        <f>-53.07 + (304.89 * (AV10)) + (90.79 *Crescimento!#REF!) - (3.13 * Crescimento!#REF!*Crescimento!#REF!)</f>
        <v>#REF!</v>
      </c>
      <c r="AY10" s="21" t="e">
        <f>((AZ9+(Crescimento!#REF!-(AZ9*0.64))/0.8)/1000)-Crescimento!#REF!</f>
        <v>#REF!</v>
      </c>
      <c r="AZ10" s="22" t="e">
        <f>-53.07 + (304.89 * (AY10)) + (90.79 *(Crescimento!#REF!-Crescimento!#REF!)) - (3.13 * (Crescimento!#REF!-Crescimento!#REF!)^2)</f>
        <v>#REF!</v>
      </c>
      <c r="BA10" s="23"/>
      <c r="BB10" s="21" t="e">
        <f>((BC9+(Crescimento!#REF!-(BC9*0.64))/0.8)/1000)-Crescimento!#REF!</f>
        <v>#REF!</v>
      </c>
      <c r="BC10" s="22" t="e">
        <f>-53.07 + (304.89 * (BB10)) + (90.79 *(Crescimento!#REF!-Crescimento!#REF!)) - (3.13 * (Crescimento!#REF!-Crescimento!#REF!)^2)</f>
        <v>#REF!</v>
      </c>
      <c r="BD10" s="23"/>
      <c r="BE10" s="21" t="e">
        <f>((BF9+(Crescimento!#REF!-(BF9*0.64))/0.8)/1000)-Crescimento!#REF!</f>
        <v>#REF!</v>
      </c>
      <c r="BF10" s="22" t="e">
        <f>-53.07 + (304.89 * (BE10)) + (90.79 *(Crescimento!#REF!-Crescimento!#REF!)) - (3.13 * (Crescimento!#REF!-Crescimento!#REF!)^2)</f>
        <v>#REF!</v>
      </c>
      <c r="BG10" s="23"/>
      <c r="BH10" s="21" t="e">
        <f>((BI9+(Crescimento!#REF!-(BI9*0.64))/0.8)/1000)-Crescimento!#REF!</f>
        <v>#REF!</v>
      </c>
      <c r="BI10" s="22" t="e">
        <f>-53.07 + (304.89 * (BH10)) + (90.79 *(Crescimento!#REF!-Crescimento!#REF!)) - (3.13 * (Crescimento!#REF!-Crescimento!#REF!)^2)</f>
        <v>#REF!</v>
      </c>
      <c r="BJ10" s="23"/>
      <c r="BK10" s="21" t="e">
        <f>((BL9+(Crescimento!#REF!-(BL9*0.64))/0.8)/1000)-Crescimento!#REF!</f>
        <v>#REF!</v>
      </c>
      <c r="BL10" s="22" t="e">
        <f>-53.07 + (304.89 * (BK10)) + (90.79 *(Crescimento!#REF!-Crescimento!#REF!)) - (3.13 * (Crescimento!#REF!-Crescimento!#REF!)^2)</f>
        <v>#REF!</v>
      </c>
      <c r="BM10" s="23"/>
      <c r="BN10" s="21" t="e">
        <f>((BO9+(Crescimento!#REF!-(BO9*0.64))/0.8)/1000)-Crescimento!#REF!</f>
        <v>#REF!</v>
      </c>
      <c r="BO10" s="22" t="e">
        <f>-53.07 + (304.89 * (BN10)) + (90.79 *(Crescimento!#REF!-Crescimento!#REF!)) - (3.13 * (Crescimento!#REF!-Crescimento!#REF!)^2)</f>
        <v>#REF!</v>
      </c>
      <c r="BP10" s="23"/>
      <c r="BQ10" s="21" t="e">
        <f>((BR9+(Crescimento!#REF!-(BR9*0.64))/0.8)/1000)-Crescimento!#REF!</f>
        <v>#REF!</v>
      </c>
      <c r="BR10" s="22" t="e">
        <f>-53.07 + (304.89 * (BQ10)) + (90.79 *(Crescimento!#REF!-Crescimento!#REF!)) - (3.13 * (Crescimento!#REF!-Crescimento!#REF!)^2)</f>
        <v>#REF!</v>
      </c>
      <c r="BS10" s="23"/>
      <c r="BT10" s="21" t="e">
        <f>((BU9+(Crescimento!#REF!-(BU9*0.64))/0.8)/1000)-Crescimento!#REF!</f>
        <v>#REF!</v>
      </c>
      <c r="BU10" s="22" t="e">
        <f>-53.07 + (304.89 * (BT10)) + (90.79 *(Crescimento!#REF!-Crescimento!#REF!)) - (3.13 * (Crescimento!#REF!-Crescimento!#REF!)^2)</f>
        <v>#REF!</v>
      </c>
      <c r="BV10" s="23"/>
      <c r="BW10" s="21" t="e">
        <f>((BX9+(Crescimento!#REF!-(BX9*0.64))/0.8)/1000)-Crescimento!#REF!</f>
        <v>#REF!</v>
      </c>
      <c r="BX10" s="22" t="e">
        <f>-53.07 + (304.89 * (BW10)) + (90.79 *(Crescimento!#REF!-Crescimento!#REF!)) - (3.13 * (Crescimento!#REF!-Crescimento!#REF!)^2)</f>
        <v>#REF!</v>
      </c>
      <c r="BY10" s="23"/>
      <c r="BZ10" s="21" t="e">
        <f>((CA9+(Crescimento!#REF!-(CA9*0.64))/0.8)/1000)-Crescimento!#REF!</f>
        <v>#REF!</v>
      </c>
      <c r="CA10" s="22" t="e">
        <f>-53.07 + (304.89 * (BZ10)) + (90.79 *(Crescimento!#REF!-Crescimento!#REF!)) - (3.13 * (Crescimento!#REF!-Crescimento!#REF!)^2)</f>
        <v>#REF!</v>
      </c>
      <c r="CB10" s="23"/>
      <c r="CC10" s="21" t="e">
        <f>((CD9+(Crescimento!#REF!-(CD9*0.64))/0.8)/1000)-Crescimento!#REF!</f>
        <v>#REF!</v>
      </c>
      <c r="CD10" s="22" t="e">
        <f>-53.07 + (304.89 * (CC10)) + (90.79 *(Crescimento!#REF!-Crescimento!#REF!)) - (3.13 * (Crescimento!#REF!-Crescimento!#REF!)^2)</f>
        <v>#REF!</v>
      </c>
      <c r="CE10" s="23"/>
      <c r="CF10" s="21" t="e">
        <f>((CG9+(Crescimento!#REF!-(CG9*0.64))/0.8)/1000)-Crescimento!#REF!</f>
        <v>#REF!</v>
      </c>
      <c r="CG10" s="22" t="e">
        <f>-53.07 + (304.89 * (CF10)) + (90.79 *(Crescimento!#REF!-Crescimento!#REF!)) - (3.13 * (Crescimento!#REF!-Crescimento!#REF!)^2)</f>
        <v>#REF!</v>
      </c>
      <c r="CH10" s="23"/>
      <c r="CI10" s="21" t="e">
        <f>((CJ9+(Crescimento!#REF!-(CJ9*0.64))/0.8)/1000)-Crescimento!#REF!</f>
        <v>#REF!</v>
      </c>
      <c r="CJ10" s="22" t="e">
        <f>-53.07 + (304.89 * (CI10)) + (90.79 *(Crescimento!#REF!-Crescimento!#REF!)) - (3.13 * (Crescimento!#REF!-Crescimento!#REF!)^2)</f>
        <v>#REF!</v>
      </c>
      <c r="CK10" s="23"/>
      <c r="CL10" s="21" t="e">
        <f>((CM9+(Crescimento!#REF!-(CM9*0.64))/0.8)/1000)-Crescimento!#REF!</f>
        <v>#REF!</v>
      </c>
      <c r="CM10" s="22" t="e">
        <f>-53.07 + (304.89 * (CL10)) + (90.79 *(Crescimento!#REF!-Crescimento!#REF!)) - (3.13 * (Crescimento!#REF!-Crescimento!#REF!)^2)</f>
        <v>#REF!</v>
      </c>
      <c r="CN10" s="23"/>
      <c r="CO10" s="21" t="e">
        <f>((CP9+(Crescimento!#REF!-(CP9*0.64))/0.8)/1000)-Crescimento!#REF!</f>
        <v>#REF!</v>
      </c>
      <c r="CP10" s="22" t="e">
        <f>-53.07 + (304.89 * (CO10)) + (90.79 *(Crescimento!#REF!-Crescimento!#REF!)) - (3.13 * (Crescimento!#REF!-Crescimento!#REF!)^2)</f>
        <v>#REF!</v>
      </c>
      <c r="CQ10" s="23"/>
      <c r="CR10" s="21" t="e">
        <f>((CS9+(Crescimento!#REF!-(CS9*0.64))/0.8)/1000)-Crescimento!#REF!</f>
        <v>#REF!</v>
      </c>
      <c r="CS10" s="22" t="e">
        <f>-53.07 + (304.89 * (CR10)) + (90.79 *(Crescimento!#REF!-Crescimento!#REF!)) - (3.13 * (Crescimento!#REF!-Crescimento!#REF!)^2)</f>
        <v>#REF!</v>
      </c>
      <c r="CX10" s="16" t="e">
        <f>((CY9+(Crescimento!#REF!-(CY9*0.64))/0.8)/1000)-Crescimento!#REF!</f>
        <v>#REF!</v>
      </c>
      <c r="CY10" s="17" t="e">
        <f>-53.07 + (304.89 * (CX10)) + (90.79 *(Crescimento!#REF!-Crescimento!#REF!)) - (3.13 * (Crescimento!#REF!-Crescimento!#REF!)^2)</f>
        <v>#REF!</v>
      </c>
      <c r="DA10" s="16" t="e">
        <f>((DB9+(Crescimento!#REF!-(DB9*0.64))/0.8)/1000)-Crescimento!#REF!</f>
        <v>#REF!</v>
      </c>
      <c r="DB10" s="17" t="e">
        <f>-53.07 + (304.89 * (DA10)) + (90.79 *(Crescimento!#REF!-Crescimento!#REF!)) - (3.13 * (Crescimento!#REF!-Crescimento!#REF!)^2)</f>
        <v>#REF!</v>
      </c>
      <c r="DD10" s="16" t="e">
        <f>(DE9+(Crescimento!#REF!-(DE9*0.64))/0.8)/1000</f>
        <v>#REF!</v>
      </c>
      <c r="DE10" s="17" t="e">
        <f>-53.07 + (304.89 * (DD10)) + (90.79 *Crescimento!#REF!) - (3.13 * Crescimento!#REF!*Crescimento!#REF!)</f>
        <v>#REF!</v>
      </c>
      <c r="DG10" s="16" t="e">
        <f>((DH9+(Crescimento!#REF!-(DH9*0.64))/0.8)/1000)-Crescimento!#REF!</f>
        <v>#REF!</v>
      </c>
      <c r="DH10" s="17" t="e">
        <f>-53.07 + (304.89 * (DG10)) + (90.79 *(Crescimento!#REF!-Crescimento!#REF!)) - (3.13 * (Crescimento!#REF!-Crescimento!#REF!)^2)</f>
        <v>#REF!</v>
      </c>
      <c r="DJ10" s="16" t="e">
        <f>((DK9+(Crescimento!#REF!-(DK9*0.64))/0.8)/1000)-Crescimento!#REF!</f>
        <v>#REF!</v>
      </c>
      <c r="DK10" s="17" t="e">
        <f>-53.07 + (304.89 * (DJ10)) + (90.79 *(Crescimento!#REF!-Crescimento!#REF!)) - (3.13 * (Crescimento!#REF!-Crescimento!#REF!)^2)</f>
        <v>#REF!</v>
      </c>
      <c r="DM10" s="16" t="e">
        <f>((DN9+(Crescimento!#REF!-(DN9*0.64))/0.8)/1000)-Crescimento!#REF!</f>
        <v>#REF!</v>
      </c>
      <c r="DN10" s="17" t="e">
        <f>-53.07 + (304.89 * (DM10)) + (90.79 *(Crescimento!#REF!-Crescimento!#REF!)) - (3.13 * (Crescimento!#REF!-Crescimento!#REF!)^2)</f>
        <v>#REF!</v>
      </c>
      <c r="DP10" s="16" t="e">
        <f>(DQ9+(Crescimento!#REF!-(DQ9*0.64))/0.8)/1000</f>
        <v>#REF!</v>
      </c>
      <c r="DQ10" s="17" t="e">
        <f>-53.07 + (304.89 * (DP10)) + (90.79 *(Crescimento!#REF!-Crescimento!#REF!)) - (3.13 * (Crescimento!#REF!-Crescimento!#REF!)^2)</f>
        <v>#REF!</v>
      </c>
      <c r="DS10" s="16" t="e">
        <f>((DT9+(Crescimento!#REF!-(DT9*0.64))/0.8)/1000)-Crescimento!#REF!</f>
        <v>#REF!</v>
      </c>
      <c r="DT10" s="17" t="e">
        <f>-53.07 + (304.89 * (DS10)) + (90.79 *(Crescimento!#REF!-Crescimento!#REF!)) - (3.13 * (Crescimento!#REF!-Crescimento!#REF!)^2)</f>
        <v>#REF!</v>
      </c>
      <c r="DV10" s="16" t="e">
        <f>((DW9+(Crescimento!#REF!-(DW9*0.64))/0.8)/1000)-Crescimento!#REF!</f>
        <v>#REF!</v>
      </c>
      <c r="DW10" s="17" t="e">
        <f>-53.07 + (304.89 * (DV10)) + (90.79 *(Crescimento!#REF!-Crescimento!#REF!)) - (3.13 * (Crescimento!#REF!-Crescimento!#REF!)^2)</f>
        <v>#REF!</v>
      </c>
      <c r="DY10" s="16" t="e">
        <f>((DZ9+(Crescimento!#REF!-(DZ9*0.64))/0.8)/1000)-Crescimento!#REF!</f>
        <v>#REF!</v>
      </c>
      <c r="DZ10" s="17" t="e">
        <f>-53.07 + (304.89 * (DY10)) + (90.79 *(Crescimento!#REF!-Crescimento!#REF!)) - (3.13 * (Crescimento!#REF!-Crescimento!#REF!)^2)</f>
        <v>#REF!</v>
      </c>
      <c r="EB10" s="16" t="e">
        <f>((EC9+(Crescimento!#REF!-(EC9*0.64))/0.8)/1000)-Crescimento!#REF!</f>
        <v>#REF!</v>
      </c>
      <c r="EC10" s="17" t="e">
        <f>-53.07 + (304.89 * (EB10)) + (90.79 *(Crescimento!#REF!-Crescimento!#REF!)) - (3.13 * (Crescimento!#REF!-Crescimento!#REF!)^2)</f>
        <v>#REF!</v>
      </c>
      <c r="EE10" s="16" t="e">
        <f>((EF9+(Crescimento!#REF!-(EF9*0.64))/0.8)/1000)-Crescimento!#REF!</f>
        <v>#REF!</v>
      </c>
      <c r="EF10" s="17" t="e">
        <f>-53.07 + (304.89 * (EE10)) + (90.79 *(Crescimento!#REF!-Crescimento!#REF!)) - (3.13 * (Crescimento!#REF!-Crescimento!#REF!)^2)</f>
        <v>#REF!</v>
      </c>
      <c r="EH10" s="16" t="e">
        <f>((EI9+(Crescimento!#REF!-(EI9*0.64))/0.8)/1000)-Crescimento!#REF!</f>
        <v>#REF!</v>
      </c>
      <c r="EI10" s="17" t="e">
        <f>-53.07 + (304.89 * (EH10)) + (90.79 *(Crescimento!#REF!-Crescimento!#REF!)) - (3.13 * (Crescimento!#REF!-Crescimento!#REF!)^2)</f>
        <v>#REF!</v>
      </c>
      <c r="EK10" s="16" t="e">
        <f>((EL9+(Crescimento!#REF!-(EL9*0.64))/0.8)/1000)-Crescimento!#REF!</f>
        <v>#REF!</v>
      </c>
      <c r="EL10" s="17" t="e">
        <f>-53.07 + (304.89 * (EK10)) + (90.79 *(Crescimento!#REF!-Crescimento!#REF!)) - (3.13 * (Crescimento!#REF!-Crescimento!#REF!)^2)</f>
        <v>#REF!</v>
      </c>
      <c r="EN10" s="16" t="e">
        <f>((EO9+(Crescimento!#REF!-(EO9*0.64))/0.8)/1000)-Crescimento!#REF!</f>
        <v>#REF!</v>
      </c>
      <c r="EO10" s="17" t="e">
        <f>-53.07 + (304.89 * (EN10)) + (90.79 *(Crescimento!#REF!-Crescimento!#REF!)) - (3.13 * (Crescimento!#REF!-Crescimento!#REF!)^2)</f>
        <v>#REF!</v>
      </c>
      <c r="EQ10" s="16" t="e">
        <f>((ER9+(Crescimento!#REF!-(ER9*0.64))/0.8)/1000)-Crescimento!#REF!</f>
        <v>#REF!</v>
      </c>
      <c r="ER10" s="17" t="e">
        <f>-53.07 + (304.89 * (EQ10)) + (90.79 *(Crescimento!#REF!-Crescimento!#REF!)) - (3.13 * (Crescimento!#REF!-Crescimento!#REF!)^2)</f>
        <v>#REF!</v>
      </c>
      <c r="ET10" s="16" t="e">
        <f>((EU9+(Crescimento!#REF!-(EU9*0.64))/0.8)/1000)-Crescimento!#REF!</f>
        <v>#REF!</v>
      </c>
      <c r="EU10" s="17" t="e">
        <f>-53.07 + (304.89 * (ET10)) + (90.79 *(Crescimento!#REF!-Crescimento!#REF!)) - (3.13 * (Crescimento!#REF!-Crescimento!#REF!)^2)</f>
        <v>#REF!</v>
      </c>
      <c r="EW10" s="16" t="e">
        <f>((EX9+('Vacas e Bezerros'!#REF!-(EX9*0.64))/0.8)/1000)-'Vacas e Bezerros'!#REF!</f>
        <v>#REF!</v>
      </c>
      <c r="EX10" s="17" t="e">
        <f>-53.07 + (304.89 * (EW10)) + (90.79 *('Vacas e Bezerros'!#REF!-'Vacas e Bezerros'!#REF!)) - (3.13 * ('Vacas e Bezerros'!#REF!-'Vacas e Bezerros'!#REF!)^2)</f>
        <v>#REF!</v>
      </c>
      <c r="EZ10" s="16" t="e">
        <f>((FA9+('Vacas e Bezerros'!#REF!-(FA9*0.64))/0.8)/1000)-'Vacas e Bezerros'!#REF!</f>
        <v>#REF!</v>
      </c>
      <c r="FA10" s="17" t="e">
        <f>-53.07 + (304.89 * (EZ10)) + (90.79 *('Vacas e Bezerros'!#REF!-'Vacas e Bezerros'!#REF!)) - (3.13 * ('Vacas e Bezerros'!#REF!-'Vacas e Bezerros'!#REF!)^2)</f>
        <v>#REF!</v>
      </c>
      <c r="FC10" s="16" t="e">
        <f>((FD9+('Vacas e Bezerros'!#REF!-(FD9*0.64))/0.8)/1000)-'Vacas e Bezerros'!#REF!</f>
        <v>#REF!</v>
      </c>
      <c r="FD10" s="17" t="e">
        <f>-53.07 + (304.89 * (FC10)) + (90.79 *('Vacas e Bezerros'!#REF!-'Vacas e Bezerros'!#REF!)) - (3.13 * ('Vacas e Bezerros'!#REF!-'Vacas e Bezerros'!#REF!)^2)</f>
        <v>#REF!</v>
      </c>
      <c r="FF10" s="16" t="e">
        <f>((FG9+('Vacas e Bezerros'!#REF!-(FG9*0.64))/0.8)/1000)-'Vacas e Bezerros'!#REF!</f>
        <v>#REF!</v>
      </c>
      <c r="FG10" s="17" t="e">
        <f>-53.07 + (304.89 * (FF10)) + (90.79 *('Vacas e Bezerros'!#REF!-'Vacas e Bezerros'!#REF!)) - (3.13 * ('Vacas e Bezerros'!#REF!-'Vacas e Bezerros'!#REF!)^2)</f>
        <v>#REF!</v>
      </c>
      <c r="FI10" s="16" t="e">
        <f>((FJ9+('Vacas e Bezerros'!#REF!-(FJ9*0.64))/0.8)/1000)-'Vacas e Bezerros'!#REF!</f>
        <v>#REF!</v>
      </c>
      <c r="FJ10" s="17" t="e">
        <f>-53.07 + (304.89 * (FI10)) + (90.79 *('Vacas e Bezerros'!#REF!-'Vacas e Bezerros'!#REF!)) - (3.13 * ('Vacas e Bezerros'!#REF!-'Vacas e Bezerros'!#REF!)^2)</f>
        <v>#REF!</v>
      </c>
      <c r="FL10" s="16" t="e">
        <f>((FM9+('Vacas e Bezerros'!#REF!-(FM9*0.64))/0.8)/1000)-'Vacas e Bezerros'!#REF!</f>
        <v>#REF!</v>
      </c>
      <c r="FM10" s="17" t="e">
        <f>-53.07 + (304.89 * (FL10)) + (90.79 *('Vacas e Bezerros'!#REF!-'Vacas e Bezerros'!#REF!)) - (3.13 * ('Vacas e Bezerros'!#REF!-'Vacas e Bezerros'!#REF!)^2)</f>
        <v>#REF!</v>
      </c>
      <c r="FO10" s="16" t="e">
        <f>((FP9+('Vacas e Bezerros'!#REF!-(FP9*0.64))/0.8)/1000)-'Vacas e Bezerros'!#REF!</f>
        <v>#REF!</v>
      </c>
      <c r="FP10" s="17" t="e">
        <f>-53.07 + (304.89 * (FO10)) + (90.79 *('Vacas e Bezerros'!#REF!-'Vacas e Bezerros'!#REF!)) - (3.13 * ('Vacas e Bezerros'!#REF!-'Vacas e Bezerros'!#REF!)^2)</f>
        <v>#REF!</v>
      </c>
      <c r="FR10" s="16" t="e">
        <f>((FS9+('Vacas e Bezerros'!#REF!-(FS9*0.64))/0.8)/1000)-'Vacas e Bezerros'!#REF!</f>
        <v>#REF!</v>
      </c>
      <c r="FS10" s="17" t="e">
        <f>-53.07 + (304.89 * (FR10)) + (90.79 *('Vacas e Bezerros'!#REF!-'Vacas e Bezerros'!#REF!)) - (3.13 * ('Vacas e Bezerros'!#REF!-'Vacas e Bezerros'!#REF!)^2)</f>
        <v>#REF!</v>
      </c>
      <c r="FU10" s="16" t="e">
        <f>((FV9+('Vacas e Bezerros'!#REF!-(FV9*0.64))/0.8)/1000)-'Vacas e Bezerros'!#REF!</f>
        <v>#REF!</v>
      </c>
      <c r="FV10" s="17" t="e">
        <f>-53.07 + (304.89 * (FU10)) + (90.79 *('Vacas e Bezerros'!#REF!-'Vacas e Bezerros'!#REF!)) - (3.13 * ('Vacas e Bezerros'!#REF!-'Vacas e Bezerros'!#REF!)^2)</f>
        <v>#REF!</v>
      </c>
      <c r="FX10" s="16" t="e">
        <f>((FY9+('Vacas e Bezerros'!#REF!-(FY9*0.64))/0.8)/1000)-'Vacas e Bezerros'!#REF!</f>
        <v>#REF!</v>
      </c>
      <c r="FY10" s="17" t="e">
        <f>-53.07 + (304.89 * (FX10)) + (90.79 *('Vacas e Bezerros'!#REF!-'Vacas e Bezerros'!#REF!)) - (3.13 * ('Vacas e Bezerros'!#REF!-'Vacas e Bezerros'!#REF!)^2)</f>
        <v>#REF!</v>
      </c>
      <c r="GA10" s="16" t="e">
        <f>((GB9+('Vacas e Bezerros'!#REF!-(GB9*0.64))/0.8)/1000)-'Vacas e Bezerros'!#REF!</f>
        <v>#REF!</v>
      </c>
      <c r="GB10" s="17" t="e">
        <f>-53.07 + (304.89 * (GA10)) + (90.79 *('Vacas e Bezerros'!#REF!-'Vacas e Bezerros'!#REF!)) - (3.13 * ('Vacas e Bezerros'!#REF!-'Vacas e Bezerros'!#REF!)^2)</f>
        <v>#REF!</v>
      </c>
      <c r="GD10" s="16" t="e">
        <f>((GE9+('Vacas e Bezerros'!#REF!-(GE9*0.64))/0.8)/1000)-'Vacas e Bezerros'!#REF!</f>
        <v>#REF!</v>
      </c>
      <c r="GE10" s="17" t="e">
        <f>-53.07 + (304.89 * (GD10)) + (90.79 *('Vacas e Bezerros'!#REF!-'Vacas e Bezerros'!#REF!)) - (3.13 * ('Vacas e Bezerros'!#REF!-'Vacas e Bezerros'!#REF!)^2)</f>
        <v>#REF!</v>
      </c>
      <c r="GG10" s="16" t="e">
        <f>((GH9+('Vacas e Bezerros'!#REF!-(GH9*0.64))/0.8)/1000)-'Vacas e Bezerros'!#REF!</f>
        <v>#REF!</v>
      </c>
      <c r="GH10" s="17" t="e">
        <f>-53.07 + (304.89 * (GG10)) + (90.79 *('Vacas e Bezerros'!#REF!-'Vacas e Bezerros'!#REF!)) - (3.13 * ('Vacas e Bezerros'!#REF!-'Vacas e Bezerros'!#REF!)^2)</f>
        <v>#REF!</v>
      </c>
      <c r="GJ10" s="16" t="e">
        <f>((GK9+('Vacas e Bezerros'!#REF!-(GK9*0.64))/0.8)/1000)-'Vacas e Bezerros'!#REF!</f>
        <v>#REF!</v>
      </c>
      <c r="GK10" s="17" t="e">
        <f>-53.07 + (304.89 * (GJ10)) + (90.79 *('Vacas e Bezerros'!#REF!-'Vacas e Bezerros'!#REF!)) - (3.13 * ('Vacas e Bezerros'!#REF!-'Vacas e Bezerros'!#REF!)^2)</f>
        <v>#REF!</v>
      </c>
      <c r="GM10" s="16" t="e">
        <f>((GN9+('Vacas e Bezerros'!#REF!-(GN9*0.64))/0.8)/1000)-'Vacas e Bezerros'!#REF!</f>
        <v>#REF!</v>
      </c>
      <c r="GN10" s="17" t="e">
        <f>-53.07 + (304.89 * (GM10)) + (90.79 *('Vacas e Bezerros'!#REF!-'Vacas e Bezerros'!#REF!)) - (3.13 * ('Vacas e Bezerros'!#REF!-'Vacas e Bezerros'!#REF!)^2)</f>
        <v>#REF!</v>
      </c>
    </row>
    <row r="11" spans="2:196" x14ac:dyDescent="0.25">
      <c r="C11" s="16">
        <f>(D10+('Vacas e Bezerros'!$AA$28-(D10*0.64))/0.8)/1000</f>
        <v>0.35719668217662776</v>
      </c>
      <c r="D11" s="17">
        <f>-53.07 + (304.89 * (C11-'Vacas e Bezerros'!$C$206)) + (90.79 *('Vacas e Bezerros'!$AA$22)) - (3.13 *('Vacas e Bezerros'!$AA$22)^2)</f>
        <v>165.01876518981516</v>
      </c>
      <c r="F11" s="16" t="e">
        <f>(G10+(Crescimento!#REF!-(G10*0.64))/0.8)/1000</f>
        <v>#REF!</v>
      </c>
      <c r="G11" s="17" t="e">
        <f>-53.07 + (304.89 * (F11)) + (90.79 *Crescimento!#REF!) - (3.13 * Crescimento!#REF!*Crescimento!#REF!)</f>
        <v>#REF!</v>
      </c>
      <c r="H11" s="1"/>
      <c r="I11" s="16" t="e">
        <f>(J10+(Crescimento!#REF!-(J10*0.64))/0.8)/1000</f>
        <v>#REF!</v>
      </c>
      <c r="J11" s="17" t="e">
        <f>-53.07 + (304.89 * (I11)) + (90.79 *Crescimento!#REF!) - (3.13 * Crescimento!#REF!*Crescimento!#REF!)</f>
        <v>#REF!</v>
      </c>
      <c r="L11" s="16" t="e">
        <f>(M10+(Crescimento!#REF!-(M10*0.64))/0.8)/1000</f>
        <v>#REF!</v>
      </c>
      <c r="M11" s="17" t="e">
        <f>-53.07 + (304.89 * (L11)) + (90.79 *Crescimento!#REF!) - (3.13 * Crescimento!#REF!*Crescimento!#REF!)</f>
        <v>#REF!</v>
      </c>
      <c r="O11" s="16" t="e">
        <f>(P10+(Crescimento!#REF!-(P10*0.64))/0.8)/1000</f>
        <v>#REF!</v>
      </c>
      <c r="P11" s="17" t="e">
        <f>-53.07 + (304.89 * (O11)) + (90.79 *Crescimento!#REF!) - (3.13 * Crescimento!#REF!*Crescimento!#REF!)</f>
        <v>#REF!</v>
      </c>
      <c r="R11" s="16" t="e">
        <f>(S10+(Crescimento!#REF!-(S10*0.64))/0.8)/1000</f>
        <v>#REF!</v>
      </c>
      <c r="S11" s="17" t="e">
        <f>-53.07 + (304.89 * (R11)) + (90.79 *Crescimento!#REF!) - (3.13 * Crescimento!#REF!*Crescimento!#REF!)</f>
        <v>#REF!</v>
      </c>
      <c r="U11" s="16" t="e">
        <f>(V10+(Crescimento!#REF!-(V10*0.64))/0.8)/1000</f>
        <v>#REF!</v>
      </c>
      <c r="V11" s="17" t="e">
        <f>-53.07 + (304.89 * (U11)) + (90.79 *Crescimento!#REF!) - (3.13 * Crescimento!#REF!*Crescimento!#REF!)</f>
        <v>#REF!</v>
      </c>
      <c r="X11" s="16" t="e">
        <f>(Y10+(Crescimento!#REF!-(Y10*0.64))/0.8)/1000</f>
        <v>#REF!</v>
      </c>
      <c r="Y11" s="17" t="e">
        <f>-53.07 + (304.89 * (X11)) + (90.79 *Crescimento!#REF!) - (3.13 * Crescimento!#REF!*Crescimento!#REF!)</f>
        <v>#REF!</v>
      </c>
      <c r="Z11" s="6"/>
      <c r="AA11" s="16" t="e">
        <f>(AB10+(Crescimento!#REF!-(AB10*0.64))/0.8)/1000</f>
        <v>#REF!</v>
      </c>
      <c r="AB11" s="17" t="e">
        <f>-53.07 + (304.89 * (AA11)) + (90.79 *Crescimento!#REF!) - (3.13 * Crescimento!#REF!*Crescimento!#REF!)</f>
        <v>#REF!</v>
      </c>
      <c r="AC11" s="6"/>
      <c r="AD11" s="16" t="e">
        <f>(AE10+(Crescimento!#REF!-(AE10*0.64))/0.8)/1000</f>
        <v>#REF!</v>
      </c>
      <c r="AE11" s="17" t="e">
        <f>-53.07 + (304.89 * (AD11)) + (90.79 *Crescimento!#REF!) - (3.13 * Crescimento!#REF!*Crescimento!#REF!)</f>
        <v>#REF!</v>
      </c>
      <c r="AF11" s="17"/>
      <c r="AG11" s="16" t="e">
        <f>(AH10+(Crescimento!#REF!-(AH10*0.64))/0.8)/1000</f>
        <v>#REF!</v>
      </c>
      <c r="AH11" s="17" t="e">
        <f>-53.07 + (304.89 * (AG11)) + (90.79 *Crescimento!#REF!) - (3.13 * Crescimento!#REF!*Crescimento!#REF!)</f>
        <v>#REF!</v>
      </c>
      <c r="AJ11" s="16" t="e">
        <f>(AK10+(Crescimento!#REF!-(AK10*0.64))/0.8)/1000</f>
        <v>#REF!</v>
      </c>
      <c r="AK11" s="17" t="e">
        <f>-53.07 + (304.89 * (AJ11)) + (90.79 *Crescimento!#REF!) - (3.13 * Crescimento!#REF!*Crescimento!#REF!)</f>
        <v>#REF!</v>
      </c>
      <c r="AM11" s="16" t="e">
        <f>(AN10+(Crescimento!#REF!-(AN10*0.64))/0.8)/1000</f>
        <v>#REF!</v>
      </c>
      <c r="AN11" s="17" t="e">
        <f>-53.07 + (304.89 * (AM11)) + (90.79 *Crescimento!#REF!) - (3.13 * Crescimento!#REF!*Crescimento!#REF!)</f>
        <v>#REF!</v>
      </c>
      <c r="AP11" s="16" t="e">
        <f>(AQ10+(Crescimento!#REF!-(AQ10*0.64))/0.8)/1000</f>
        <v>#REF!</v>
      </c>
      <c r="AQ11" s="17" t="e">
        <f>-53.07 + (304.89 * (AP11)) + (90.79 *Crescimento!#REF!) - (3.13 * Crescimento!#REF!*Crescimento!#REF!)</f>
        <v>#REF!</v>
      </c>
      <c r="AS11" s="16" t="e">
        <f>(AT10+(Crescimento!#REF!-(AT10*0.64))/0.8)/1000</f>
        <v>#REF!</v>
      </c>
      <c r="AT11" s="17" t="e">
        <f>-53.07 + (304.89 * (AS11)) + (90.79 *Crescimento!#REF!) - (3.13 * Crescimento!#REF!*Crescimento!#REF!)</f>
        <v>#REF!</v>
      </c>
      <c r="AV11" s="16" t="e">
        <f>(AW10+(Crescimento!#REF!-(AW10*0.64))/0.8)/1000</f>
        <v>#REF!</v>
      </c>
      <c r="AW11" s="17" t="e">
        <f>-53.07 + (304.89 * (AV11)) + (90.79 *Crescimento!#REF!) - (3.13 * Crescimento!#REF!*Crescimento!#REF!)</f>
        <v>#REF!</v>
      </c>
      <c r="AY11" s="21" t="e">
        <f>((AZ10+(Crescimento!#REF!-(AZ10*0.64))/0.8)/1000)-Crescimento!#REF!</f>
        <v>#REF!</v>
      </c>
      <c r="AZ11" s="22" t="e">
        <f>-53.07 + (304.89 * (AY11)) + (90.79 *(Crescimento!#REF!-Crescimento!#REF!)) - (3.13 * (Crescimento!#REF!-Crescimento!#REF!)^2)</f>
        <v>#REF!</v>
      </c>
      <c r="BA11" s="23"/>
      <c r="BB11" s="21" t="e">
        <f>((BC10+(Crescimento!#REF!-(BC10*0.64))/0.8)/1000)-Crescimento!#REF!</f>
        <v>#REF!</v>
      </c>
      <c r="BC11" s="22" t="e">
        <f>-53.07 + (304.89 * (BB11)) + (90.79 *(Crescimento!#REF!-Crescimento!#REF!)) - (3.13 * (Crescimento!#REF!-Crescimento!#REF!)^2)</f>
        <v>#REF!</v>
      </c>
      <c r="BD11" s="23"/>
      <c r="BE11" s="21" t="e">
        <f>((BF10+(Crescimento!#REF!-(BF10*0.64))/0.8)/1000)-Crescimento!#REF!</f>
        <v>#REF!</v>
      </c>
      <c r="BF11" s="22" t="e">
        <f>-53.07 + (304.89 * (BE11)) + (90.79 *(Crescimento!#REF!-Crescimento!#REF!)) - (3.13 * (Crescimento!#REF!-Crescimento!#REF!)^2)</f>
        <v>#REF!</v>
      </c>
      <c r="BG11" s="23"/>
      <c r="BH11" s="21" t="e">
        <f>((BI10+(Crescimento!#REF!-(BI10*0.64))/0.8)/1000)-Crescimento!#REF!</f>
        <v>#REF!</v>
      </c>
      <c r="BI11" s="22" t="e">
        <f>-53.07 + (304.89 * (BH11)) + (90.79 *(Crescimento!#REF!-Crescimento!#REF!)) - (3.13 * (Crescimento!#REF!-Crescimento!#REF!)^2)</f>
        <v>#REF!</v>
      </c>
      <c r="BJ11" s="23"/>
      <c r="BK11" s="21" t="e">
        <f>((BL10+(Crescimento!#REF!-(BL10*0.64))/0.8)/1000)-Crescimento!#REF!</f>
        <v>#REF!</v>
      </c>
      <c r="BL11" s="22" t="e">
        <f>-53.07 + (304.89 * (BK11)) + (90.79 *(Crescimento!#REF!-Crescimento!#REF!)) - (3.13 * (Crescimento!#REF!-Crescimento!#REF!)^2)</f>
        <v>#REF!</v>
      </c>
      <c r="BM11" s="23"/>
      <c r="BN11" s="21" t="e">
        <f>((BO10+(Crescimento!#REF!-(BO10*0.64))/0.8)/1000)-Crescimento!#REF!</f>
        <v>#REF!</v>
      </c>
      <c r="BO11" s="22" t="e">
        <f>-53.07 + (304.89 * (BN11)) + (90.79 *(Crescimento!#REF!-Crescimento!#REF!)) - (3.13 * (Crescimento!#REF!-Crescimento!#REF!)^2)</f>
        <v>#REF!</v>
      </c>
      <c r="BP11" s="23"/>
      <c r="BQ11" s="21" t="e">
        <f>((BR10+(Crescimento!#REF!-(BR10*0.64))/0.8)/1000)-Crescimento!#REF!</f>
        <v>#REF!</v>
      </c>
      <c r="BR11" s="22" t="e">
        <f>-53.07 + (304.89 * (BQ11)) + (90.79 *(Crescimento!#REF!-Crescimento!#REF!)) - (3.13 * (Crescimento!#REF!-Crescimento!#REF!)^2)</f>
        <v>#REF!</v>
      </c>
      <c r="BS11" s="23"/>
      <c r="BT11" s="21" t="e">
        <f>((BU10+(Crescimento!#REF!-(BU10*0.64))/0.8)/1000)-Crescimento!#REF!</f>
        <v>#REF!</v>
      </c>
      <c r="BU11" s="22" t="e">
        <f>-53.07 + (304.89 * (BT11)) + (90.79 *(Crescimento!#REF!-Crescimento!#REF!)) - (3.13 * (Crescimento!#REF!-Crescimento!#REF!)^2)</f>
        <v>#REF!</v>
      </c>
      <c r="BV11" s="23"/>
      <c r="BW11" s="21" t="e">
        <f>((BX10+(Crescimento!#REF!-(BX10*0.64))/0.8)/1000)-Crescimento!#REF!</f>
        <v>#REF!</v>
      </c>
      <c r="BX11" s="22" t="e">
        <f>-53.07 + (304.89 * (BW11)) + (90.79 *(Crescimento!#REF!-Crescimento!#REF!)) - (3.13 * (Crescimento!#REF!-Crescimento!#REF!)^2)</f>
        <v>#REF!</v>
      </c>
      <c r="BY11" s="23"/>
      <c r="BZ11" s="21" t="e">
        <f>((CA10+(Crescimento!#REF!-(CA10*0.64))/0.8)/1000)-Crescimento!#REF!</f>
        <v>#REF!</v>
      </c>
      <c r="CA11" s="22" t="e">
        <f>-53.07 + (304.89 * (BZ11)) + (90.79 *(Crescimento!#REF!-Crescimento!#REF!)) - (3.13 * (Crescimento!#REF!-Crescimento!#REF!)^2)</f>
        <v>#REF!</v>
      </c>
      <c r="CB11" s="23"/>
      <c r="CC11" s="21" t="e">
        <f>((CD10+(Crescimento!#REF!-(CD10*0.64))/0.8)/1000)-Crescimento!#REF!</f>
        <v>#REF!</v>
      </c>
      <c r="CD11" s="22" t="e">
        <f>-53.07 + (304.89 * (CC11)) + (90.79 *(Crescimento!#REF!-Crescimento!#REF!)) - (3.13 * (Crescimento!#REF!-Crescimento!#REF!)^2)</f>
        <v>#REF!</v>
      </c>
      <c r="CE11" s="23"/>
      <c r="CF11" s="21" t="e">
        <f>((CG10+(Crescimento!#REF!-(CG10*0.64))/0.8)/1000)-Crescimento!#REF!</f>
        <v>#REF!</v>
      </c>
      <c r="CG11" s="22" t="e">
        <f>-53.07 + (304.89 * (CF11)) + (90.79 *(Crescimento!#REF!-Crescimento!#REF!)) - (3.13 * (Crescimento!#REF!-Crescimento!#REF!)^2)</f>
        <v>#REF!</v>
      </c>
      <c r="CH11" s="23"/>
      <c r="CI11" s="21" t="e">
        <f>((CJ10+(Crescimento!#REF!-(CJ10*0.64))/0.8)/1000)-Crescimento!#REF!</f>
        <v>#REF!</v>
      </c>
      <c r="CJ11" s="22" t="e">
        <f>-53.07 + (304.89 * (CI11)) + (90.79 *(Crescimento!#REF!-Crescimento!#REF!)) - (3.13 * (Crescimento!#REF!-Crescimento!#REF!)^2)</f>
        <v>#REF!</v>
      </c>
      <c r="CK11" s="23"/>
      <c r="CL11" s="21" t="e">
        <f>((CM10+(Crescimento!#REF!-(CM10*0.64))/0.8)/1000)-Crescimento!#REF!</f>
        <v>#REF!</v>
      </c>
      <c r="CM11" s="22" t="e">
        <f>-53.07 + (304.89 * (CL11)) + (90.79 *(Crescimento!#REF!-Crescimento!#REF!)) - (3.13 * (Crescimento!#REF!-Crescimento!#REF!)^2)</f>
        <v>#REF!</v>
      </c>
      <c r="CN11" s="23"/>
      <c r="CO11" s="21" t="e">
        <f>((CP10+(Crescimento!#REF!-(CP10*0.64))/0.8)/1000)-Crescimento!#REF!</f>
        <v>#REF!</v>
      </c>
      <c r="CP11" s="22" t="e">
        <f>-53.07 + (304.89 * (CO11)) + (90.79 *(Crescimento!#REF!-Crescimento!#REF!)) - (3.13 * (Crescimento!#REF!-Crescimento!#REF!)^2)</f>
        <v>#REF!</v>
      </c>
      <c r="CQ11" s="23"/>
      <c r="CR11" s="21" t="e">
        <f>((CS10+(Crescimento!#REF!-(CS10*0.64))/0.8)/1000)-Crescimento!#REF!</f>
        <v>#REF!</v>
      </c>
      <c r="CS11" s="22" t="e">
        <f>-53.07 + (304.89 * (CR11)) + (90.79 *(Crescimento!#REF!-Crescimento!#REF!)) - (3.13 * (Crescimento!#REF!-Crescimento!#REF!)^2)</f>
        <v>#REF!</v>
      </c>
      <c r="CX11" s="16" t="e">
        <f>((CY10+(Crescimento!#REF!-(CY10*0.64))/0.8)/1000)-Crescimento!#REF!</f>
        <v>#REF!</v>
      </c>
      <c r="CY11" s="17" t="e">
        <f>-53.07 + (304.89 * (CX11)) + (90.79 *(Crescimento!#REF!-Crescimento!#REF!)) - (3.13 * (Crescimento!#REF!-Crescimento!#REF!)^2)</f>
        <v>#REF!</v>
      </c>
      <c r="DA11" s="16" t="e">
        <f>((DB10+(Crescimento!#REF!-(DB10*0.64))/0.8)/1000)-Crescimento!#REF!</f>
        <v>#REF!</v>
      </c>
      <c r="DB11" s="17" t="e">
        <f>-53.07 + (304.89 * (DA11)) + (90.79 *(Crescimento!#REF!-Crescimento!#REF!)) - (3.13 * (Crescimento!#REF!-Crescimento!#REF!)^2)</f>
        <v>#REF!</v>
      </c>
      <c r="DD11" s="16" t="e">
        <f>(DE10+(Crescimento!#REF!-(DE10*0.64))/0.8)/1000</f>
        <v>#REF!</v>
      </c>
      <c r="DE11" s="17" t="e">
        <f>-53.07 + (304.89 * (DD11)) + (90.79 *Crescimento!#REF!) - (3.13 * Crescimento!#REF!*Crescimento!#REF!)</f>
        <v>#REF!</v>
      </c>
      <c r="DG11" s="16" t="e">
        <f>((DH10+(Crescimento!#REF!-(DH10*0.64))/0.8)/1000)-Crescimento!#REF!</f>
        <v>#REF!</v>
      </c>
      <c r="DH11" s="17" t="e">
        <f>-53.07 + (304.89 * (DG11)) + (90.79 *(Crescimento!#REF!-Crescimento!#REF!)) - (3.13 * (Crescimento!#REF!-Crescimento!#REF!)^2)</f>
        <v>#REF!</v>
      </c>
      <c r="DJ11" s="16" t="e">
        <f>((DK10+(Crescimento!#REF!-(DK10*0.64))/0.8)/1000)-Crescimento!#REF!</f>
        <v>#REF!</v>
      </c>
      <c r="DK11" s="17" t="e">
        <f>-53.07 + (304.89 * (DJ11)) + (90.79 *(Crescimento!#REF!-Crescimento!#REF!)) - (3.13 * (Crescimento!#REF!-Crescimento!#REF!)^2)</f>
        <v>#REF!</v>
      </c>
      <c r="DM11" s="16" t="e">
        <f>((DN10+(Crescimento!#REF!-(DN10*0.64))/0.8)/1000)-Crescimento!#REF!</f>
        <v>#REF!</v>
      </c>
      <c r="DN11" s="17" t="e">
        <f>-53.07 + (304.89 * (DM11)) + (90.79 *(Crescimento!#REF!-Crescimento!#REF!)) - (3.13 * (Crescimento!#REF!-Crescimento!#REF!)^2)</f>
        <v>#REF!</v>
      </c>
      <c r="DP11" s="16" t="e">
        <f>(DQ10+(Crescimento!#REF!-(DQ10*0.64))/0.8)/1000</f>
        <v>#REF!</v>
      </c>
      <c r="DQ11" s="17" t="e">
        <f>-53.07 + (304.89 * (DP11)) + (90.79 *(Crescimento!#REF!-Crescimento!#REF!)) - (3.13 * (Crescimento!#REF!-Crescimento!#REF!)^2)</f>
        <v>#REF!</v>
      </c>
      <c r="DS11" s="16" t="e">
        <f>((DT10+(Crescimento!#REF!-(DT10*0.64))/0.8)/1000)-Crescimento!#REF!</f>
        <v>#REF!</v>
      </c>
      <c r="DT11" s="17" t="e">
        <f>-53.07 + (304.89 * (DS11)) + (90.79 *(Crescimento!#REF!-Crescimento!#REF!)) - (3.13 * (Crescimento!#REF!-Crescimento!#REF!)^2)</f>
        <v>#REF!</v>
      </c>
      <c r="DV11" s="16" t="e">
        <f>((DW10+(Crescimento!#REF!-(DW10*0.64))/0.8)/1000)-Crescimento!#REF!</f>
        <v>#REF!</v>
      </c>
      <c r="DW11" s="17" t="e">
        <f>-53.07 + (304.89 * (DV11)) + (90.79 *(Crescimento!#REF!-Crescimento!#REF!)) - (3.13 * (Crescimento!#REF!-Crescimento!#REF!)^2)</f>
        <v>#REF!</v>
      </c>
      <c r="DY11" s="16" t="e">
        <f>((DZ10+(Crescimento!#REF!-(DZ10*0.64))/0.8)/1000)-Crescimento!#REF!</f>
        <v>#REF!</v>
      </c>
      <c r="DZ11" s="17" t="e">
        <f>-53.07 + (304.89 * (DY11)) + (90.79 *(Crescimento!#REF!-Crescimento!#REF!)) - (3.13 * (Crescimento!#REF!-Crescimento!#REF!)^2)</f>
        <v>#REF!</v>
      </c>
      <c r="EB11" s="16" t="e">
        <f>((EC10+(Crescimento!#REF!-(EC10*0.64))/0.8)/1000)-Crescimento!#REF!</f>
        <v>#REF!</v>
      </c>
      <c r="EC11" s="17" t="e">
        <f>-53.07 + (304.89 * (EB11)) + (90.79 *(Crescimento!#REF!-Crescimento!#REF!)) - (3.13 * (Crescimento!#REF!-Crescimento!#REF!)^2)</f>
        <v>#REF!</v>
      </c>
      <c r="EE11" s="16" t="e">
        <f>((EF10+(Crescimento!#REF!-(EF10*0.64))/0.8)/1000)-Crescimento!#REF!</f>
        <v>#REF!</v>
      </c>
      <c r="EF11" s="17" t="e">
        <f>-53.07 + (304.89 * (EE11)) + (90.79 *(Crescimento!#REF!-Crescimento!#REF!)) - (3.13 * (Crescimento!#REF!-Crescimento!#REF!)^2)</f>
        <v>#REF!</v>
      </c>
      <c r="EH11" s="16" t="e">
        <f>((EI10+(Crescimento!#REF!-(EI10*0.64))/0.8)/1000)-Crescimento!#REF!</f>
        <v>#REF!</v>
      </c>
      <c r="EI11" s="17" t="e">
        <f>-53.07 + (304.89 * (EH11)) + (90.79 *(Crescimento!#REF!-Crescimento!#REF!)) - (3.13 * (Crescimento!#REF!-Crescimento!#REF!)^2)</f>
        <v>#REF!</v>
      </c>
      <c r="EK11" s="16" t="e">
        <f>((EL10+(Crescimento!#REF!-(EL10*0.64))/0.8)/1000)-Crescimento!#REF!</f>
        <v>#REF!</v>
      </c>
      <c r="EL11" s="17" t="e">
        <f>-53.07 + (304.89 * (EK11)) + (90.79 *(Crescimento!#REF!-Crescimento!#REF!)) - (3.13 * (Crescimento!#REF!-Crescimento!#REF!)^2)</f>
        <v>#REF!</v>
      </c>
      <c r="EN11" s="16" t="e">
        <f>((EO10+(Crescimento!#REF!-(EO10*0.64))/0.8)/1000)-Crescimento!#REF!</f>
        <v>#REF!</v>
      </c>
      <c r="EO11" s="17" t="e">
        <f>-53.07 + (304.89 * (EN11)) + (90.79 *(Crescimento!#REF!-Crescimento!#REF!)) - (3.13 * (Crescimento!#REF!-Crescimento!#REF!)^2)</f>
        <v>#REF!</v>
      </c>
      <c r="EQ11" s="16" t="e">
        <f>((ER10+(Crescimento!#REF!-(ER10*0.64))/0.8)/1000)-Crescimento!#REF!</f>
        <v>#REF!</v>
      </c>
      <c r="ER11" s="17" t="e">
        <f>-53.07 + (304.89 * (EQ11)) + (90.79 *(Crescimento!#REF!-Crescimento!#REF!)) - (3.13 * (Crescimento!#REF!-Crescimento!#REF!)^2)</f>
        <v>#REF!</v>
      </c>
      <c r="ET11" s="16" t="e">
        <f>((EU10+(Crescimento!#REF!-(EU10*0.64))/0.8)/1000)-Crescimento!#REF!</f>
        <v>#REF!</v>
      </c>
      <c r="EU11" s="17" t="e">
        <f>-53.07 + (304.89 * (ET11)) + (90.79 *(Crescimento!#REF!-Crescimento!#REF!)) - (3.13 * (Crescimento!#REF!-Crescimento!#REF!)^2)</f>
        <v>#REF!</v>
      </c>
      <c r="EW11" s="16" t="e">
        <f>((EX10+('Vacas e Bezerros'!#REF!-(EX10*0.64))/0.8)/1000)-'Vacas e Bezerros'!#REF!</f>
        <v>#REF!</v>
      </c>
      <c r="EX11" s="17" t="e">
        <f>-53.07 + (304.89 * (EW11)) + (90.79 *('Vacas e Bezerros'!#REF!-'Vacas e Bezerros'!#REF!)) - (3.13 * ('Vacas e Bezerros'!#REF!-'Vacas e Bezerros'!#REF!)^2)</f>
        <v>#REF!</v>
      </c>
      <c r="EZ11" s="16" t="e">
        <f>((FA10+('Vacas e Bezerros'!#REF!-(FA10*0.64))/0.8)/1000)-'Vacas e Bezerros'!#REF!</f>
        <v>#REF!</v>
      </c>
      <c r="FA11" s="17" t="e">
        <f>-53.07 + (304.89 * (EZ11)) + (90.79 *('Vacas e Bezerros'!#REF!-'Vacas e Bezerros'!#REF!)) - (3.13 * ('Vacas e Bezerros'!#REF!-'Vacas e Bezerros'!#REF!)^2)</f>
        <v>#REF!</v>
      </c>
      <c r="FC11" s="16" t="e">
        <f>((FD10+('Vacas e Bezerros'!#REF!-(FD10*0.64))/0.8)/1000)-'Vacas e Bezerros'!#REF!</f>
        <v>#REF!</v>
      </c>
      <c r="FD11" s="17" t="e">
        <f>-53.07 + (304.89 * (FC11)) + (90.79 *('Vacas e Bezerros'!#REF!-'Vacas e Bezerros'!#REF!)) - (3.13 * ('Vacas e Bezerros'!#REF!-'Vacas e Bezerros'!#REF!)^2)</f>
        <v>#REF!</v>
      </c>
      <c r="FF11" s="16" t="e">
        <f>((FG10+('Vacas e Bezerros'!#REF!-(FG10*0.64))/0.8)/1000)-'Vacas e Bezerros'!#REF!</f>
        <v>#REF!</v>
      </c>
      <c r="FG11" s="17" t="e">
        <f>-53.07 + (304.89 * (FF11)) + (90.79 *('Vacas e Bezerros'!#REF!-'Vacas e Bezerros'!#REF!)) - (3.13 * ('Vacas e Bezerros'!#REF!-'Vacas e Bezerros'!#REF!)^2)</f>
        <v>#REF!</v>
      </c>
      <c r="FI11" s="16" t="e">
        <f>((FJ10+('Vacas e Bezerros'!#REF!-(FJ10*0.64))/0.8)/1000)-'Vacas e Bezerros'!#REF!</f>
        <v>#REF!</v>
      </c>
      <c r="FJ11" s="17" t="e">
        <f>-53.07 + (304.89 * (FI11)) + (90.79 *('Vacas e Bezerros'!#REF!-'Vacas e Bezerros'!#REF!)) - (3.13 * ('Vacas e Bezerros'!#REF!-'Vacas e Bezerros'!#REF!)^2)</f>
        <v>#REF!</v>
      </c>
      <c r="FL11" s="16" t="e">
        <f>((FM10+('Vacas e Bezerros'!#REF!-(FM10*0.64))/0.8)/1000)-'Vacas e Bezerros'!#REF!</f>
        <v>#REF!</v>
      </c>
      <c r="FM11" s="17" t="e">
        <f>-53.07 + (304.89 * (FL11)) + (90.79 *('Vacas e Bezerros'!#REF!-'Vacas e Bezerros'!#REF!)) - (3.13 * ('Vacas e Bezerros'!#REF!-'Vacas e Bezerros'!#REF!)^2)</f>
        <v>#REF!</v>
      </c>
      <c r="FO11" s="16" t="e">
        <f>((FP10+('Vacas e Bezerros'!#REF!-(FP10*0.64))/0.8)/1000)-'Vacas e Bezerros'!#REF!</f>
        <v>#REF!</v>
      </c>
      <c r="FP11" s="17" t="e">
        <f>-53.07 + (304.89 * (FO11)) + (90.79 *('Vacas e Bezerros'!#REF!-'Vacas e Bezerros'!#REF!)) - (3.13 * ('Vacas e Bezerros'!#REF!-'Vacas e Bezerros'!#REF!)^2)</f>
        <v>#REF!</v>
      </c>
      <c r="FR11" s="16" t="e">
        <f>((FS10+('Vacas e Bezerros'!#REF!-(FS10*0.64))/0.8)/1000)-'Vacas e Bezerros'!#REF!</f>
        <v>#REF!</v>
      </c>
      <c r="FS11" s="17" t="e">
        <f>-53.07 + (304.89 * (FR11)) + (90.79 *('Vacas e Bezerros'!#REF!-'Vacas e Bezerros'!#REF!)) - (3.13 * ('Vacas e Bezerros'!#REF!-'Vacas e Bezerros'!#REF!)^2)</f>
        <v>#REF!</v>
      </c>
      <c r="FU11" s="16" t="e">
        <f>((FV10+('Vacas e Bezerros'!#REF!-(FV10*0.64))/0.8)/1000)-'Vacas e Bezerros'!#REF!</f>
        <v>#REF!</v>
      </c>
      <c r="FV11" s="17" t="e">
        <f>-53.07 + (304.89 * (FU11)) + (90.79 *('Vacas e Bezerros'!#REF!-'Vacas e Bezerros'!#REF!)) - (3.13 * ('Vacas e Bezerros'!#REF!-'Vacas e Bezerros'!#REF!)^2)</f>
        <v>#REF!</v>
      </c>
      <c r="FX11" s="16" t="e">
        <f>((FY10+('Vacas e Bezerros'!#REF!-(FY10*0.64))/0.8)/1000)-'Vacas e Bezerros'!#REF!</f>
        <v>#REF!</v>
      </c>
      <c r="FY11" s="17" t="e">
        <f>-53.07 + (304.89 * (FX11)) + (90.79 *('Vacas e Bezerros'!#REF!-'Vacas e Bezerros'!#REF!)) - (3.13 * ('Vacas e Bezerros'!#REF!-'Vacas e Bezerros'!#REF!)^2)</f>
        <v>#REF!</v>
      </c>
      <c r="GA11" s="16" t="e">
        <f>((GB10+('Vacas e Bezerros'!#REF!-(GB10*0.64))/0.8)/1000)-'Vacas e Bezerros'!#REF!</f>
        <v>#REF!</v>
      </c>
      <c r="GB11" s="17" t="e">
        <f>-53.07 + (304.89 * (GA11)) + (90.79 *('Vacas e Bezerros'!#REF!-'Vacas e Bezerros'!#REF!)) - (3.13 * ('Vacas e Bezerros'!#REF!-'Vacas e Bezerros'!#REF!)^2)</f>
        <v>#REF!</v>
      </c>
      <c r="GD11" s="16" t="e">
        <f>((GE10+('Vacas e Bezerros'!#REF!-(GE10*0.64))/0.8)/1000)-'Vacas e Bezerros'!#REF!</f>
        <v>#REF!</v>
      </c>
      <c r="GE11" s="17" t="e">
        <f>-53.07 + (304.89 * (GD11)) + (90.79 *('Vacas e Bezerros'!#REF!-'Vacas e Bezerros'!#REF!)) - (3.13 * ('Vacas e Bezerros'!#REF!-'Vacas e Bezerros'!#REF!)^2)</f>
        <v>#REF!</v>
      </c>
      <c r="GG11" s="16" t="e">
        <f>((GH10+('Vacas e Bezerros'!#REF!-(GH10*0.64))/0.8)/1000)-'Vacas e Bezerros'!#REF!</f>
        <v>#REF!</v>
      </c>
      <c r="GH11" s="17" t="e">
        <f>-53.07 + (304.89 * (GG11)) + (90.79 *('Vacas e Bezerros'!#REF!-'Vacas e Bezerros'!#REF!)) - (3.13 * ('Vacas e Bezerros'!#REF!-'Vacas e Bezerros'!#REF!)^2)</f>
        <v>#REF!</v>
      </c>
      <c r="GJ11" s="16" t="e">
        <f>((GK10+('Vacas e Bezerros'!#REF!-(GK10*0.64))/0.8)/1000)-'Vacas e Bezerros'!#REF!</f>
        <v>#REF!</v>
      </c>
      <c r="GK11" s="17" t="e">
        <f>-53.07 + (304.89 * (GJ11)) + (90.79 *('Vacas e Bezerros'!#REF!-'Vacas e Bezerros'!#REF!)) - (3.13 * ('Vacas e Bezerros'!#REF!-'Vacas e Bezerros'!#REF!)^2)</f>
        <v>#REF!</v>
      </c>
      <c r="GM11" s="16" t="e">
        <f>((GN10+('Vacas e Bezerros'!#REF!-(GN10*0.64))/0.8)/1000)-'Vacas e Bezerros'!#REF!</f>
        <v>#REF!</v>
      </c>
      <c r="GN11" s="17" t="e">
        <f>-53.07 + (304.89 * (GM11)) + (90.79 *('Vacas e Bezerros'!#REF!-'Vacas e Bezerros'!#REF!)) - (3.13 * ('Vacas e Bezerros'!#REF!-'Vacas e Bezerros'!#REF!)^2)</f>
        <v>#REF!</v>
      </c>
    </row>
    <row r="12" spans="2:196" x14ac:dyDescent="0.25">
      <c r="C12" s="16">
        <f>(D11+('Vacas e Bezerros'!$AA$28-(D11*0.64))/0.8)/1000</f>
        <v>0.35719668028443186</v>
      </c>
      <c r="D12" s="17">
        <f>-53.07 + (304.89 * (C12-'Vacas e Bezerros'!$C$206)) + (90.79 *('Vacas e Bezerros'!$AA$22)) - (3.13 *('Vacas e Bezerros'!$AA$22)^2)</f>
        <v>165.01876461290354</v>
      </c>
      <c r="F12" s="16" t="e">
        <f>(G11+(Crescimento!#REF!-(G11*0.64))/0.8)/1000</f>
        <v>#REF!</v>
      </c>
      <c r="G12" s="17" t="e">
        <f>-53.07 + (304.89 * (F12)) + (90.79 *Crescimento!#REF!) - (3.13 * Crescimento!#REF!*Crescimento!#REF!)</f>
        <v>#REF!</v>
      </c>
      <c r="H12" s="1"/>
      <c r="I12" s="16" t="e">
        <f>(J11+(Crescimento!#REF!-(J11*0.64))/0.8)/1000</f>
        <v>#REF!</v>
      </c>
      <c r="J12" s="17" t="e">
        <f>-53.07 + (304.89 * (I12)) + (90.79 *Crescimento!#REF!) - (3.13 * Crescimento!#REF!*Crescimento!#REF!)</f>
        <v>#REF!</v>
      </c>
      <c r="L12" s="16" t="e">
        <f>(M11+(Crescimento!#REF!-(M11*0.64))/0.8)/1000</f>
        <v>#REF!</v>
      </c>
      <c r="M12" s="17" t="e">
        <f>-53.07 + (304.89 * (L12)) + (90.79 *Crescimento!#REF!) - (3.13 * Crescimento!#REF!*Crescimento!#REF!)</f>
        <v>#REF!</v>
      </c>
      <c r="O12" s="16" t="e">
        <f>(P11+(Crescimento!#REF!-(P11*0.64))/0.8)/1000</f>
        <v>#REF!</v>
      </c>
      <c r="P12" s="17" t="e">
        <f>-53.07 + (304.89 * (O12)) + (90.79 *Crescimento!#REF!) - (3.13 * Crescimento!#REF!*Crescimento!#REF!)</f>
        <v>#REF!</v>
      </c>
      <c r="R12" s="16" t="e">
        <f>(S11+(Crescimento!#REF!-(S11*0.64))/0.8)/1000</f>
        <v>#REF!</v>
      </c>
      <c r="S12" s="17" t="e">
        <f>-53.07 + (304.89 * (R12)) + (90.79 *Crescimento!#REF!) - (3.13 * Crescimento!#REF!*Crescimento!#REF!)</f>
        <v>#REF!</v>
      </c>
      <c r="U12" s="16" t="e">
        <f>(V11+(Crescimento!#REF!-(V11*0.64))/0.8)/1000</f>
        <v>#REF!</v>
      </c>
      <c r="V12" s="17" t="e">
        <f>-53.07 + (304.89 * (U12)) + (90.79 *Crescimento!#REF!) - (3.13 * Crescimento!#REF!*Crescimento!#REF!)</f>
        <v>#REF!</v>
      </c>
      <c r="X12" s="16" t="e">
        <f>(Y11+(Crescimento!#REF!-(Y11*0.64))/0.8)/1000</f>
        <v>#REF!</v>
      </c>
      <c r="Y12" s="17" t="e">
        <f>-53.07 + (304.89 * (X12)) + (90.79 *Crescimento!#REF!) - (3.13 * Crescimento!#REF!*Crescimento!#REF!)</f>
        <v>#REF!</v>
      </c>
      <c r="Z12" s="6"/>
      <c r="AA12" s="16" t="e">
        <f>(AB11+(Crescimento!#REF!-(AB11*0.64))/0.8)/1000</f>
        <v>#REF!</v>
      </c>
      <c r="AB12" s="17" t="e">
        <f>-53.07 + (304.89 * (AA12)) + (90.79 *Crescimento!#REF!) - (3.13 * Crescimento!#REF!*Crescimento!#REF!)</f>
        <v>#REF!</v>
      </c>
      <c r="AC12" s="6"/>
      <c r="AD12" s="16" t="e">
        <f>(AE11+(Crescimento!#REF!-(AE11*0.64))/0.8)/1000</f>
        <v>#REF!</v>
      </c>
      <c r="AE12" s="17" t="e">
        <f>-53.07 + (304.89 * (AD12)) + (90.79 *Crescimento!#REF!) - (3.13 * Crescimento!#REF!*Crescimento!#REF!)</f>
        <v>#REF!</v>
      </c>
      <c r="AF12" s="17"/>
      <c r="AG12" s="16" t="e">
        <f>(AH11+(Crescimento!#REF!-(AH11*0.64))/0.8)/1000</f>
        <v>#REF!</v>
      </c>
      <c r="AH12" s="17" t="e">
        <f>-53.07 + (304.89 * (AG12)) + (90.79 *Crescimento!#REF!) - (3.13 * Crescimento!#REF!*Crescimento!#REF!)</f>
        <v>#REF!</v>
      </c>
      <c r="AJ12" s="16" t="e">
        <f>(AK11+(Crescimento!#REF!-(AK11*0.64))/0.8)/1000</f>
        <v>#REF!</v>
      </c>
      <c r="AK12" s="17" t="e">
        <f>-53.07 + (304.89 * (AJ12)) + (90.79 *Crescimento!#REF!) - (3.13 * Crescimento!#REF!*Crescimento!#REF!)</f>
        <v>#REF!</v>
      </c>
      <c r="AM12" s="16" t="e">
        <f>(AN11+(Crescimento!#REF!-(AN11*0.64))/0.8)/1000</f>
        <v>#REF!</v>
      </c>
      <c r="AN12" s="17" t="e">
        <f>-53.07 + (304.89 * (AM12)) + (90.79 *Crescimento!#REF!) - (3.13 * Crescimento!#REF!*Crescimento!#REF!)</f>
        <v>#REF!</v>
      </c>
      <c r="AP12" s="16" t="e">
        <f>(AQ11+(Crescimento!#REF!-(AQ11*0.64))/0.8)/1000</f>
        <v>#REF!</v>
      </c>
      <c r="AQ12" s="17" t="e">
        <f>-53.07 + (304.89 * (AP12)) + (90.79 *Crescimento!#REF!) - (3.13 * Crescimento!#REF!*Crescimento!#REF!)</f>
        <v>#REF!</v>
      </c>
      <c r="AS12" s="16" t="e">
        <f>(AT11+(Crescimento!#REF!-(AT11*0.64))/0.8)/1000</f>
        <v>#REF!</v>
      </c>
      <c r="AT12" s="17" t="e">
        <f>-53.07 + (304.89 * (AS12)) + (90.79 *Crescimento!#REF!) - (3.13 * Crescimento!#REF!*Crescimento!#REF!)</f>
        <v>#REF!</v>
      </c>
      <c r="AV12" s="16" t="e">
        <f>(AW11+(Crescimento!#REF!-(AW11*0.64))/0.8)/1000</f>
        <v>#REF!</v>
      </c>
      <c r="AW12" s="17" t="e">
        <f>-53.07 + (304.89 * (AV12)) + (90.79 *Crescimento!#REF!) - (3.13 * Crescimento!#REF!*Crescimento!#REF!)</f>
        <v>#REF!</v>
      </c>
      <c r="AY12" s="21" t="e">
        <f>((AZ11+(Crescimento!#REF!-(AZ11*0.64))/0.8)/1000)-Crescimento!#REF!</f>
        <v>#REF!</v>
      </c>
      <c r="AZ12" s="22" t="e">
        <f>-53.07 + (304.89 * (AY12)) + (90.79 *(Crescimento!#REF!-Crescimento!#REF!)) - (3.13 * (Crescimento!#REF!-Crescimento!#REF!)^2)</f>
        <v>#REF!</v>
      </c>
      <c r="BA12" s="23"/>
      <c r="BB12" s="21" t="e">
        <f>((BC11+(Crescimento!#REF!-(BC11*0.64))/0.8)/1000)-Crescimento!#REF!</f>
        <v>#REF!</v>
      </c>
      <c r="BC12" s="22" t="e">
        <f>-53.07 + (304.89 * (BB12)) + (90.79 *(Crescimento!#REF!-Crescimento!#REF!)) - (3.13 * (Crescimento!#REF!-Crescimento!#REF!)^2)</f>
        <v>#REF!</v>
      </c>
      <c r="BD12" s="23"/>
      <c r="BE12" s="21" t="e">
        <f>((BF11+(Crescimento!#REF!-(BF11*0.64))/0.8)/1000)-Crescimento!#REF!</f>
        <v>#REF!</v>
      </c>
      <c r="BF12" s="22" t="e">
        <f>-53.07 + (304.89 * (BE12)) + (90.79 *(Crescimento!#REF!-Crescimento!#REF!)) - (3.13 * (Crescimento!#REF!-Crescimento!#REF!)^2)</f>
        <v>#REF!</v>
      </c>
      <c r="BG12" s="23"/>
      <c r="BH12" s="21" t="e">
        <f>((BI11+(Crescimento!#REF!-(BI11*0.64))/0.8)/1000)-Crescimento!#REF!</f>
        <v>#REF!</v>
      </c>
      <c r="BI12" s="22" t="e">
        <f>-53.07 + (304.89 * (BH12)) + (90.79 *(Crescimento!#REF!-Crescimento!#REF!)) - (3.13 * (Crescimento!#REF!-Crescimento!#REF!)^2)</f>
        <v>#REF!</v>
      </c>
      <c r="BJ12" s="23"/>
      <c r="BK12" s="21" t="e">
        <f>((BL11+(Crescimento!#REF!-(BL11*0.64))/0.8)/1000)-Crescimento!#REF!</f>
        <v>#REF!</v>
      </c>
      <c r="BL12" s="22" t="e">
        <f>-53.07 + (304.89 * (BK12)) + (90.79 *(Crescimento!#REF!-Crescimento!#REF!)) - (3.13 * (Crescimento!#REF!-Crescimento!#REF!)^2)</f>
        <v>#REF!</v>
      </c>
      <c r="BM12" s="23"/>
      <c r="BN12" s="21" t="e">
        <f>((BO11+(Crescimento!#REF!-(BO11*0.64))/0.8)/1000)-Crescimento!#REF!</f>
        <v>#REF!</v>
      </c>
      <c r="BO12" s="22" t="e">
        <f>-53.07 + (304.89 * (BN12)) + (90.79 *(Crescimento!#REF!-Crescimento!#REF!)) - (3.13 * (Crescimento!#REF!-Crescimento!#REF!)^2)</f>
        <v>#REF!</v>
      </c>
      <c r="BP12" s="23"/>
      <c r="BQ12" s="21" t="e">
        <f>((BR11+(Crescimento!#REF!-(BR11*0.64))/0.8)/1000)-Crescimento!#REF!</f>
        <v>#REF!</v>
      </c>
      <c r="BR12" s="22" t="e">
        <f>-53.07 + (304.89 * (BQ12)) + (90.79 *(Crescimento!#REF!-Crescimento!#REF!)) - (3.13 * (Crescimento!#REF!-Crescimento!#REF!)^2)</f>
        <v>#REF!</v>
      </c>
      <c r="BS12" s="23"/>
      <c r="BT12" s="21" t="e">
        <f>((BU11+(Crescimento!#REF!-(BU11*0.64))/0.8)/1000)-Crescimento!#REF!</f>
        <v>#REF!</v>
      </c>
      <c r="BU12" s="22" t="e">
        <f>-53.07 + (304.89 * (BT12)) + (90.79 *(Crescimento!#REF!-Crescimento!#REF!)) - (3.13 * (Crescimento!#REF!-Crescimento!#REF!)^2)</f>
        <v>#REF!</v>
      </c>
      <c r="BV12" s="23"/>
      <c r="BW12" s="21" t="e">
        <f>((BX11+(Crescimento!#REF!-(BX11*0.64))/0.8)/1000)-Crescimento!#REF!</f>
        <v>#REF!</v>
      </c>
      <c r="BX12" s="22" t="e">
        <f>-53.07 + (304.89 * (BW12)) + (90.79 *(Crescimento!#REF!-Crescimento!#REF!)) - (3.13 * (Crescimento!#REF!-Crescimento!#REF!)^2)</f>
        <v>#REF!</v>
      </c>
      <c r="BY12" s="23"/>
      <c r="BZ12" s="21" t="e">
        <f>((CA11+(Crescimento!#REF!-(CA11*0.64))/0.8)/1000)-Crescimento!#REF!</f>
        <v>#REF!</v>
      </c>
      <c r="CA12" s="22" t="e">
        <f>-53.07 + (304.89 * (BZ12)) + (90.79 *(Crescimento!#REF!-Crescimento!#REF!)) - (3.13 * (Crescimento!#REF!-Crescimento!#REF!)^2)</f>
        <v>#REF!</v>
      </c>
      <c r="CB12" s="23"/>
      <c r="CC12" s="21" t="e">
        <f>((CD11+(Crescimento!#REF!-(CD11*0.64))/0.8)/1000)-Crescimento!#REF!</f>
        <v>#REF!</v>
      </c>
      <c r="CD12" s="22" t="e">
        <f>-53.07 + (304.89 * (CC12)) + (90.79 *(Crescimento!#REF!-Crescimento!#REF!)) - (3.13 * (Crescimento!#REF!-Crescimento!#REF!)^2)</f>
        <v>#REF!</v>
      </c>
      <c r="CE12" s="23"/>
      <c r="CF12" s="21" t="e">
        <f>((CG11+(Crescimento!#REF!-(CG11*0.64))/0.8)/1000)-Crescimento!#REF!</f>
        <v>#REF!</v>
      </c>
      <c r="CG12" s="22" t="e">
        <f>-53.07 + (304.89 * (CF12)) + (90.79 *(Crescimento!#REF!-Crescimento!#REF!)) - (3.13 * (Crescimento!#REF!-Crescimento!#REF!)^2)</f>
        <v>#REF!</v>
      </c>
      <c r="CH12" s="23"/>
      <c r="CI12" s="21" t="e">
        <f>((CJ11+(Crescimento!#REF!-(CJ11*0.64))/0.8)/1000)-Crescimento!#REF!</f>
        <v>#REF!</v>
      </c>
      <c r="CJ12" s="22" t="e">
        <f>-53.07 + (304.89 * (CI12)) + (90.79 *(Crescimento!#REF!-Crescimento!#REF!)) - (3.13 * (Crescimento!#REF!-Crescimento!#REF!)^2)</f>
        <v>#REF!</v>
      </c>
      <c r="CK12" s="23"/>
      <c r="CL12" s="21" t="e">
        <f>((CM11+(Crescimento!#REF!-(CM11*0.64))/0.8)/1000)-Crescimento!#REF!</f>
        <v>#REF!</v>
      </c>
      <c r="CM12" s="22" t="e">
        <f>-53.07 + (304.89 * (CL12)) + (90.79 *(Crescimento!#REF!-Crescimento!#REF!)) - (3.13 * (Crescimento!#REF!-Crescimento!#REF!)^2)</f>
        <v>#REF!</v>
      </c>
      <c r="CN12" s="23"/>
      <c r="CO12" s="21" t="e">
        <f>((CP11+(Crescimento!#REF!-(CP11*0.64))/0.8)/1000)-Crescimento!#REF!</f>
        <v>#REF!</v>
      </c>
      <c r="CP12" s="22" t="e">
        <f>-53.07 + (304.89 * (CO12)) + (90.79 *(Crescimento!#REF!-Crescimento!#REF!)) - (3.13 * (Crescimento!#REF!-Crescimento!#REF!)^2)</f>
        <v>#REF!</v>
      </c>
      <c r="CQ12" s="23"/>
      <c r="CR12" s="21" t="e">
        <f>((CS11+(Crescimento!#REF!-(CS11*0.64))/0.8)/1000)-Crescimento!#REF!</f>
        <v>#REF!</v>
      </c>
      <c r="CS12" s="22" t="e">
        <f>-53.07 + (304.89 * (CR12)) + (90.79 *(Crescimento!#REF!-Crescimento!#REF!)) - (3.13 * (Crescimento!#REF!-Crescimento!#REF!)^2)</f>
        <v>#REF!</v>
      </c>
      <c r="CX12" s="16" t="e">
        <f>((CY11+(Crescimento!#REF!-(CY11*0.64))/0.8)/1000)-Crescimento!#REF!</f>
        <v>#REF!</v>
      </c>
      <c r="CY12" s="17" t="e">
        <f>-53.07 + (304.89 * (CX12)) + (90.79 *(Crescimento!#REF!-Crescimento!#REF!)) - (3.13 * (Crescimento!#REF!-Crescimento!#REF!)^2)</f>
        <v>#REF!</v>
      </c>
      <c r="DA12" s="16" t="e">
        <f>((DB11+(Crescimento!#REF!-(DB11*0.64))/0.8)/1000)-Crescimento!#REF!</f>
        <v>#REF!</v>
      </c>
      <c r="DB12" s="17" t="e">
        <f>-53.07 + (304.89 * (DA12)) + (90.79 *(Crescimento!#REF!-Crescimento!#REF!)) - (3.13 * (Crescimento!#REF!-Crescimento!#REF!)^2)</f>
        <v>#REF!</v>
      </c>
      <c r="DD12" s="16" t="e">
        <f>(DE11+(Crescimento!#REF!-(DE11*0.64))/0.8)/1000</f>
        <v>#REF!</v>
      </c>
      <c r="DE12" s="17" t="e">
        <f>-53.07 + (304.89 * (DD12)) + (90.79 *Crescimento!#REF!) - (3.13 * Crescimento!#REF!*Crescimento!#REF!)</f>
        <v>#REF!</v>
      </c>
      <c r="DG12" s="16" t="e">
        <f>((DH11+(Crescimento!#REF!-(DH11*0.64))/0.8)/1000)-Crescimento!#REF!</f>
        <v>#REF!</v>
      </c>
      <c r="DH12" s="17" t="e">
        <f>-53.07 + (304.89 * (DG12)) + (90.79 *(Crescimento!#REF!-Crescimento!#REF!)) - (3.13 * (Crescimento!#REF!-Crescimento!#REF!)^2)</f>
        <v>#REF!</v>
      </c>
      <c r="DJ12" s="16" t="e">
        <f>((DK11+(Crescimento!#REF!-(DK11*0.64))/0.8)/1000)-Crescimento!#REF!</f>
        <v>#REF!</v>
      </c>
      <c r="DK12" s="17" t="e">
        <f>-53.07 + (304.89 * (DJ12)) + (90.79 *(Crescimento!#REF!-Crescimento!#REF!)) - (3.13 * (Crescimento!#REF!-Crescimento!#REF!)^2)</f>
        <v>#REF!</v>
      </c>
      <c r="DM12" s="16" t="e">
        <f>((DN11+(Crescimento!#REF!-(DN11*0.64))/0.8)/1000)-Crescimento!#REF!</f>
        <v>#REF!</v>
      </c>
      <c r="DN12" s="17" t="e">
        <f>-53.07 + (304.89 * (DM12)) + (90.79 *(Crescimento!#REF!-Crescimento!#REF!)) - (3.13 * (Crescimento!#REF!-Crescimento!#REF!)^2)</f>
        <v>#REF!</v>
      </c>
      <c r="DP12" s="16" t="e">
        <f>(DQ11+(Crescimento!#REF!-(DQ11*0.64))/0.8)/1000</f>
        <v>#REF!</v>
      </c>
      <c r="DQ12" s="17" t="e">
        <f>-53.07 + (304.89 * (DP12)) + (90.79 *(Crescimento!#REF!-Crescimento!#REF!)) - (3.13 * (Crescimento!#REF!-Crescimento!#REF!)^2)</f>
        <v>#REF!</v>
      </c>
      <c r="DS12" s="16" t="e">
        <f>((DT11+(Crescimento!#REF!-(DT11*0.64))/0.8)/1000)-Crescimento!#REF!</f>
        <v>#REF!</v>
      </c>
      <c r="DT12" s="17" t="e">
        <f>-53.07 + (304.89 * (DS12)) + (90.79 *(Crescimento!#REF!-Crescimento!#REF!)) - (3.13 * (Crescimento!#REF!-Crescimento!#REF!)^2)</f>
        <v>#REF!</v>
      </c>
      <c r="DV12" s="16" t="e">
        <f>((DW11+(Crescimento!#REF!-(DW11*0.64))/0.8)/1000)-Crescimento!#REF!</f>
        <v>#REF!</v>
      </c>
      <c r="DW12" s="17" t="e">
        <f>-53.07 + (304.89 * (DV12)) + (90.79 *(Crescimento!#REF!-Crescimento!#REF!)) - (3.13 * (Crescimento!#REF!-Crescimento!#REF!)^2)</f>
        <v>#REF!</v>
      </c>
      <c r="DY12" s="16" t="e">
        <f>((DZ11+(Crescimento!#REF!-(DZ11*0.64))/0.8)/1000)-Crescimento!#REF!</f>
        <v>#REF!</v>
      </c>
      <c r="DZ12" s="17" t="e">
        <f>-53.07 + (304.89 * (DY12)) + (90.79 *(Crescimento!#REF!-Crescimento!#REF!)) - (3.13 * (Crescimento!#REF!-Crescimento!#REF!)^2)</f>
        <v>#REF!</v>
      </c>
      <c r="EB12" s="16" t="e">
        <f>((EC11+(Crescimento!#REF!-(EC11*0.64))/0.8)/1000)-Crescimento!#REF!</f>
        <v>#REF!</v>
      </c>
      <c r="EC12" s="17" t="e">
        <f>-53.07 + (304.89 * (EB12)) + (90.79 *(Crescimento!#REF!-Crescimento!#REF!)) - (3.13 * (Crescimento!#REF!-Crescimento!#REF!)^2)</f>
        <v>#REF!</v>
      </c>
      <c r="EE12" s="16" t="e">
        <f>((EF11+(Crescimento!#REF!-(EF11*0.64))/0.8)/1000)-Crescimento!#REF!</f>
        <v>#REF!</v>
      </c>
      <c r="EF12" s="17" t="e">
        <f>-53.07 + (304.89 * (EE12)) + (90.79 *(Crescimento!#REF!-Crescimento!#REF!)) - (3.13 * (Crescimento!#REF!-Crescimento!#REF!)^2)</f>
        <v>#REF!</v>
      </c>
      <c r="EH12" s="16" t="e">
        <f>((EI11+(Crescimento!#REF!-(EI11*0.64))/0.8)/1000)-Crescimento!#REF!</f>
        <v>#REF!</v>
      </c>
      <c r="EI12" s="17" t="e">
        <f>-53.07 + (304.89 * (EH12)) + (90.79 *(Crescimento!#REF!-Crescimento!#REF!)) - (3.13 * (Crescimento!#REF!-Crescimento!#REF!)^2)</f>
        <v>#REF!</v>
      </c>
      <c r="EK12" s="16" t="e">
        <f>((EL11+(Crescimento!#REF!-(EL11*0.64))/0.8)/1000)-Crescimento!#REF!</f>
        <v>#REF!</v>
      </c>
      <c r="EL12" s="17" t="e">
        <f>-53.07 + (304.89 * (EK12)) + (90.79 *(Crescimento!#REF!-Crescimento!#REF!)) - (3.13 * (Crescimento!#REF!-Crescimento!#REF!)^2)</f>
        <v>#REF!</v>
      </c>
      <c r="EN12" s="16" t="e">
        <f>((EO11+(Crescimento!#REF!-(EO11*0.64))/0.8)/1000)-Crescimento!#REF!</f>
        <v>#REF!</v>
      </c>
      <c r="EO12" s="17" t="e">
        <f>-53.07 + (304.89 * (EN12)) + (90.79 *(Crescimento!#REF!-Crescimento!#REF!)) - (3.13 * (Crescimento!#REF!-Crescimento!#REF!)^2)</f>
        <v>#REF!</v>
      </c>
      <c r="EQ12" s="16" t="e">
        <f>((ER11+(Crescimento!#REF!-(ER11*0.64))/0.8)/1000)-Crescimento!#REF!</f>
        <v>#REF!</v>
      </c>
      <c r="ER12" s="17" t="e">
        <f>-53.07 + (304.89 * (EQ12)) + (90.79 *(Crescimento!#REF!-Crescimento!#REF!)) - (3.13 * (Crescimento!#REF!-Crescimento!#REF!)^2)</f>
        <v>#REF!</v>
      </c>
      <c r="ET12" s="16" t="e">
        <f>((EU11+(Crescimento!#REF!-(EU11*0.64))/0.8)/1000)-Crescimento!#REF!</f>
        <v>#REF!</v>
      </c>
      <c r="EU12" s="17" t="e">
        <f>-53.07 + (304.89 * (ET12)) + (90.79 *(Crescimento!#REF!-Crescimento!#REF!)) - (3.13 * (Crescimento!#REF!-Crescimento!#REF!)^2)</f>
        <v>#REF!</v>
      </c>
      <c r="EW12" s="16" t="e">
        <f>((EX11+('Vacas e Bezerros'!#REF!-(EX11*0.64))/0.8)/1000)-'Vacas e Bezerros'!#REF!</f>
        <v>#REF!</v>
      </c>
      <c r="EX12" s="17" t="e">
        <f>-53.07 + (304.89 * (EW12)) + (90.79 *('Vacas e Bezerros'!#REF!-'Vacas e Bezerros'!#REF!)) - (3.13 * ('Vacas e Bezerros'!#REF!-'Vacas e Bezerros'!#REF!)^2)</f>
        <v>#REF!</v>
      </c>
      <c r="EZ12" s="16" t="e">
        <f>((FA11+('Vacas e Bezerros'!#REF!-(FA11*0.64))/0.8)/1000)-'Vacas e Bezerros'!#REF!</f>
        <v>#REF!</v>
      </c>
      <c r="FA12" s="17" t="e">
        <f>-53.07 + (304.89 * (EZ12)) + (90.79 *('Vacas e Bezerros'!#REF!-'Vacas e Bezerros'!#REF!)) - (3.13 * ('Vacas e Bezerros'!#REF!-'Vacas e Bezerros'!#REF!)^2)</f>
        <v>#REF!</v>
      </c>
      <c r="FC12" s="16" t="e">
        <f>((FD11+('Vacas e Bezerros'!#REF!-(FD11*0.64))/0.8)/1000)-'Vacas e Bezerros'!#REF!</f>
        <v>#REF!</v>
      </c>
      <c r="FD12" s="17" t="e">
        <f>-53.07 + (304.89 * (FC12)) + (90.79 *('Vacas e Bezerros'!#REF!-'Vacas e Bezerros'!#REF!)) - (3.13 * ('Vacas e Bezerros'!#REF!-'Vacas e Bezerros'!#REF!)^2)</f>
        <v>#REF!</v>
      </c>
      <c r="FF12" s="16" t="e">
        <f>((FG11+('Vacas e Bezerros'!#REF!-(FG11*0.64))/0.8)/1000)-'Vacas e Bezerros'!#REF!</f>
        <v>#REF!</v>
      </c>
      <c r="FG12" s="17" t="e">
        <f>-53.07 + (304.89 * (FF12)) + (90.79 *('Vacas e Bezerros'!#REF!-'Vacas e Bezerros'!#REF!)) - (3.13 * ('Vacas e Bezerros'!#REF!-'Vacas e Bezerros'!#REF!)^2)</f>
        <v>#REF!</v>
      </c>
      <c r="FI12" s="16" t="e">
        <f>((FJ11+('Vacas e Bezerros'!#REF!-(FJ11*0.64))/0.8)/1000)-'Vacas e Bezerros'!#REF!</f>
        <v>#REF!</v>
      </c>
      <c r="FJ12" s="17" t="e">
        <f>-53.07 + (304.89 * (FI12)) + (90.79 *('Vacas e Bezerros'!#REF!-'Vacas e Bezerros'!#REF!)) - (3.13 * ('Vacas e Bezerros'!#REF!-'Vacas e Bezerros'!#REF!)^2)</f>
        <v>#REF!</v>
      </c>
      <c r="FL12" s="16" t="e">
        <f>((FM11+('Vacas e Bezerros'!#REF!-(FM11*0.64))/0.8)/1000)-'Vacas e Bezerros'!#REF!</f>
        <v>#REF!</v>
      </c>
      <c r="FM12" s="17" t="e">
        <f>-53.07 + (304.89 * (FL12)) + (90.79 *('Vacas e Bezerros'!#REF!-'Vacas e Bezerros'!#REF!)) - (3.13 * ('Vacas e Bezerros'!#REF!-'Vacas e Bezerros'!#REF!)^2)</f>
        <v>#REF!</v>
      </c>
      <c r="FO12" s="16" t="e">
        <f>((FP11+('Vacas e Bezerros'!#REF!-(FP11*0.64))/0.8)/1000)-'Vacas e Bezerros'!#REF!</f>
        <v>#REF!</v>
      </c>
      <c r="FP12" s="17" t="e">
        <f>-53.07 + (304.89 * (FO12)) + (90.79 *('Vacas e Bezerros'!#REF!-'Vacas e Bezerros'!#REF!)) - (3.13 * ('Vacas e Bezerros'!#REF!-'Vacas e Bezerros'!#REF!)^2)</f>
        <v>#REF!</v>
      </c>
      <c r="FR12" s="16" t="e">
        <f>((FS11+('Vacas e Bezerros'!#REF!-(FS11*0.64))/0.8)/1000)-'Vacas e Bezerros'!#REF!</f>
        <v>#REF!</v>
      </c>
      <c r="FS12" s="17" t="e">
        <f>-53.07 + (304.89 * (FR12)) + (90.79 *('Vacas e Bezerros'!#REF!-'Vacas e Bezerros'!#REF!)) - (3.13 * ('Vacas e Bezerros'!#REF!-'Vacas e Bezerros'!#REF!)^2)</f>
        <v>#REF!</v>
      </c>
      <c r="FU12" s="16" t="e">
        <f>((FV11+('Vacas e Bezerros'!#REF!-(FV11*0.64))/0.8)/1000)-'Vacas e Bezerros'!#REF!</f>
        <v>#REF!</v>
      </c>
      <c r="FV12" s="17" t="e">
        <f>-53.07 + (304.89 * (FU12)) + (90.79 *('Vacas e Bezerros'!#REF!-'Vacas e Bezerros'!#REF!)) - (3.13 * ('Vacas e Bezerros'!#REF!-'Vacas e Bezerros'!#REF!)^2)</f>
        <v>#REF!</v>
      </c>
      <c r="FX12" s="16" t="e">
        <f>((FY11+('Vacas e Bezerros'!#REF!-(FY11*0.64))/0.8)/1000)-'Vacas e Bezerros'!#REF!</f>
        <v>#REF!</v>
      </c>
      <c r="FY12" s="17" t="e">
        <f>-53.07 + (304.89 * (FX12)) + (90.79 *('Vacas e Bezerros'!#REF!-'Vacas e Bezerros'!#REF!)) - (3.13 * ('Vacas e Bezerros'!#REF!-'Vacas e Bezerros'!#REF!)^2)</f>
        <v>#REF!</v>
      </c>
      <c r="GA12" s="16" t="e">
        <f>((GB11+('Vacas e Bezerros'!#REF!-(GB11*0.64))/0.8)/1000)-'Vacas e Bezerros'!#REF!</f>
        <v>#REF!</v>
      </c>
      <c r="GB12" s="17" t="e">
        <f>-53.07 + (304.89 * (GA12)) + (90.79 *('Vacas e Bezerros'!#REF!-'Vacas e Bezerros'!#REF!)) - (3.13 * ('Vacas e Bezerros'!#REF!-'Vacas e Bezerros'!#REF!)^2)</f>
        <v>#REF!</v>
      </c>
      <c r="GD12" s="16" t="e">
        <f>((GE11+('Vacas e Bezerros'!#REF!-(GE11*0.64))/0.8)/1000)-'Vacas e Bezerros'!#REF!</f>
        <v>#REF!</v>
      </c>
      <c r="GE12" s="17" t="e">
        <f>-53.07 + (304.89 * (GD12)) + (90.79 *('Vacas e Bezerros'!#REF!-'Vacas e Bezerros'!#REF!)) - (3.13 * ('Vacas e Bezerros'!#REF!-'Vacas e Bezerros'!#REF!)^2)</f>
        <v>#REF!</v>
      </c>
      <c r="GG12" s="16" t="e">
        <f>((GH11+('Vacas e Bezerros'!#REF!-(GH11*0.64))/0.8)/1000)-'Vacas e Bezerros'!#REF!</f>
        <v>#REF!</v>
      </c>
      <c r="GH12" s="17" t="e">
        <f>-53.07 + (304.89 * (GG12)) + (90.79 *('Vacas e Bezerros'!#REF!-'Vacas e Bezerros'!#REF!)) - (3.13 * ('Vacas e Bezerros'!#REF!-'Vacas e Bezerros'!#REF!)^2)</f>
        <v>#REF!</v>
      </c>
      <c r="GJ12" s="16" t="e">
        <f>((GK11+('Vacas e Bezerros'!#REF!-(GK11*0.64))/0.8)/1000)-'Vacas e Bezerros'!#REF!</f>
        <v>#REF!</v>
      </c>
      <c r="GK12" s="17" t="e">
        <f>-53.07 + (304.89 * (GJ12)) + (90.79 *('Vacas e Bezerros'!#REF!-'Vacas e Bezerros'!#REF!)) - (3.13 * ('Vacas e Bezerros'!#REF!-'Vacas e Bezerros'!#REF!)^2)</f>
        <v>#REF!</v>
      </c>
      <c r="GM12" s="16" t="e">
        <f>((GN11+('Vacas e Bezerros'!#REF!-(GN11*0.64))/0.8)/1000)-'Vacas e Bezerros'!#REF!</f>
        <v>#REF!</v>
      </c>
      <c r="GN12" s="17" t="e">
        <f>-53.07 + (304.89 * (GM12)) + (90.79 *('Vacas e Bezerros'!#REF!-'Vacas e Bezerros'!#REF!)) - (3.13 * ('Vacas e Bezerros'!#REF!-'Vacas e Bezerros'!#REF!)^2)</f>
        <v>#REF!</v>
      </c>
    </row>
    <row r="13" spans="2:196" x14ac:dyDescent="0.25">
      <c r="C13" s="16">
        <f>(D12+('Vacas e Bezerros'!$AA$28-(D12*0.64))/0.8)/1000</f>
        <v>0.35719668016904949</v>
      </c>
      <c r="D13" s="17">
        <f>-53.07 + (304.89 * (C13-'Vacas e Bezerros'!$C$206)) + (90.79 *('Vacas e Bezerros'!$AA$22)) - (3.13 *('Vacas e Bezerros'!$AA$22)^2)</f>
        <v>165.0187645777246</v>
      </c>
      <c r="F13" s="16" t="e">
        <f>(G12+(Crescimento!#REF!-(G12*0.64))/0.8)/1000</f>
        <v>#REF!</v>
      </c>
      <c r="G13" s="17" t="e">
        <f>-53.07 + (304.89 * (F13)) + (90.79 *Crescimento!#REF!) - (3.13 * Crescimento!#REF!*Crescimento!#REF!)</f>
        <v>#REF!</v>
      </c>
      <c r="H13" s="1"/>
      <c r="I13" s="16" t="e">
        <f>(J12+(Crescimento!#REF!-(J12*0.64))/0.8)/1000</f>
        <v>#REF!</v>
      </c>
      <c r="J13" s="17" t="e">
        <f>-53.07 + (304.89 * (I13)) + (90.79 *Crescimento!#REF!) - (3.13 * Crescimento!#REF!*Crescimento!#REF!)</f>
        <v>#REF!</v>
      </c>
      <c r="L13" s="16" t="e">
        <f>(M12+(Crescimento!#REF!-(M12*0.64))/0.8)/1000</f>
        <v>#REF!</v>
      </c>
      <c r="M13" s="17" t="e">
        <f>-53.07 + (304.89 * (L13)) + (90.79 *Crescimento!#REF!) - (3.13 * Crescimento!#REF!*Crescimento!#REF!)</f>
        <v>#REF!</v>
      </c>
      <c r="O13" s="16" t="e">
        <f>(P12+(Crescimento!#REF!-(P12*0.64))/0.8)/1000</f>
        <v>#REF!</v>
      </c>
      <c r="P13" s="17" t="e">
        <f>-53.07 + (304.89 * (O13)) + (90.79 *Crescimento!#REF!) - (3.13 * Crescimento!#REF!*Crescimento!#REF!)</f>
        <v>#REF!</v>
      </c>
      <c r="R13" s="16" t="e">
        <f>(S12+(Crescimento!#REF!-(S12*0.64))/0.8)/1000</f>
        <v>#REF!</v>
      </c>
      <c r="S13" s="17" t="e">
        <f>-53.07 + (304.89 * (R13)) + (90.79 *Crescimento!#REF!) - (3.13 * Crescimento!#REF!*Crescimento!#REF!)</f>
        <v>#REF!</v>
      </c>
      <c r="U13" s="16" t="e">
        <f>(V12+(Crescimento!#REF!-(V12*0.64))/0.8)/1000</f>
        <v>#REF!</v>
      </c>
      <c r="V13" s="17" t="e">
        <f>-53.07 + (304.89 * (U13)) + (90.79 *Crescimento!#REF!) - (3.13 * Crescimento!#REF!*Crescimento!#REF!)</f>
        <v>#REF!</v>
      </c>
      <c r="X13" s="16" t="e">
        <f>(Y12+(Crescimento!#REF!-(Y12*0.64))/0.8)/1000</f>
        <v>#REF!</v>
      </c>
      <c r="Y13" s="17" t="e">
        <f>-53.07 + (304.89 * (X13)) + (90.79 *Crescimento!#REF!) - (3.13 * Crescimento!#REF!*Crescimento!#REF!)</f>
        <v>#REF!</v>
      </c>
      <c r="Z13" s="6"/>
      <c r="AA13" s="16" t="e">
        <f>(AB12+(Crescimento!#REF!-(AB12*0.64))/0.8)/1000</f>
        <v>#REF!</v>
      </c>
      <c r="AB13" s="17" t="e">
        <f>-53.07 + (304.89 * (AA13)) + (90.79 *Crescimento!#REF!) - (3.13 * Crescimento!#REF!*Crescimento!#REF!)</f>
        <v>#REF!</v>
      </c>
      <c r="AC13" s="6"/>
      <c r="AD13" s="16" t="e">
        <f>(AE12+(Crescimento!#REF!-(AE12*0.64))/0.8)/1000</f>
        <v>#REF!</v>
      </c>
      <c r="AE13" s="17" t="e">
        <f>-53.07 + (304.89 * (AD13)) + (90.79 *Crescimento!#REF!) - (3.13 * Crescimento!#REF!*Crescimento!#REF!)</f>
        <v>#REF!</v>
      </c>
      <c r="AF13" s="17"/>
      <c r="AG13" s="16" t="e">
        <f>(AH12+(Crescimento!#REF!-(AH12*0.64))/0.8)/1000</f>
        <v>#REF!</v>
      </c>
      <c r="AH13" s="17" t="e">
        <f>-53.07 + (304.89 * (AG13)) + (90.79 *Crescimento!#REF!) - (3.13 * Crescimento!#REF!*Crescimento!#REF!)</f>
        <v>#REF!</v>
      </c>
      <c r="AJ13" s="16" t="e">
        <f>(AK12+(Crescimento!#REF!-(AK12*0.64))/0.8)/1000</f>
        <v>#REF!</v>
      </c>
      <c r="AK13" s="17" t="e">
        <f>-53.07 + (304.89 * (AJ13)) + (90.79 *Crescimento!#REF!) - (3.13 * Crescimento!#REF!*Crescimento!#REF!)</f>
        <v>#REF!</v>
      </c>
      <c r="AM13" s="16" t="e">
        <f>(AN12+(Crescimento!#REF!-(AN12*0.64))/0.8)/1000</f>
        <v>#REF!</v>
      </c>
      <c r="AN13" s="17" t="e">
        <f>-53.07 + (304.89 * (AM13)) + (90.79 *Crescimento!#REF!) - (3.13 * Crescimento!#REF!*Crescimento!#REF!)</f>
        <v>#REF!</v>
      </c>
      <c r="AP13" s="16" t="e">
        <f>(AQ12+(Crescimento!#REF!-(AQ12*0.64))/0.8)/1000</f>
        <v>#REF!</v>
      </c>
      <c r="AQ13" s="17" t="e">
        <f>-53.07 + (304.89 * (AP13)) + (90.79 *Crescimento!#REF!) - (3.13 * Crescimento!#REF!*Crescimento!#REF!)</f>
        <v>#REF!</v>
      </c>
      <c r="AS13" s="16" t="e">
        <f>(AT12+(Crescimento!#REF!-(AT12*0.64))/0.8)/1000</f>
        <v>#REF!</v>
      </c>
      <c r="AT13" s="17" t="e">
        <f>-53.07 + (304.89 * (AS13)) + (90.79 *Crescimento!#REF!) - (3.13 * Crescimento!#REF!*Crescimento!#REF!)</f>
        <v>#REF!</v>
      </c>
      <c r="AV13" s="16" t="e">
        <f>(AW12+(Crescimento!#REF!-(AW12*0.64))/0.8)/1000</f>
        <v>#REF!</v>
      </c>
      <c r="AW13" s="17" t="e">
        <f>-53.07 + (304.89 * (AV13)) + (90.79 *Crescimento!#REF!) - (3.13 * Crescimento!#REF!*Crescimento!#REF!)</f>
        <v>#REF!</v>
      </c>
      <c r="AY13" s="21" t="e">
        <f>((AZ12+(Crescimento!#REF!-(AZ12*0.64))/0.8)/1000)-Crescimento!#REF!</f>
        <v>#REF!</v>
      </c>
      <c r="AZ13" s="22" t="e">
        <f>-53.07 + (304.89 * (AY13)) + (90.79 *(Crescimento!#REF!-Crescimento!#REF!)) - (3.13 * (Crescimento!#REF!-Crescimento!#REF!)^2)</f>
        <v>#REF!</v>
      </c>
      <c r="BA13" s="23"/>
      <c r="BB13" s="21" t="e">
        <f>((BC12+(Crescimento!#REF!-(BC12*0.64))/0.8)/1000)-Crescimento!#REF!</f>
        <v>#REF!</v>
      </c>
      <c r="BC13" s="22" t="e">
        <f>-53.07 + (304.89 * (BB13)) + (90.79 *(Crescimento!#REF!-Crescimento!#REF!)) - (3.13 * (Crescimento!#REF!-Crescimento!#REF!)^2)</f>
        <v>#REF!</v>
      </c>
      <c r="BD13" s="23"/>
      <c r="BE13" s="21" t="e">
        <f>((BF12+(Crescimento!#REF!-(BF12*0.64))/0.8)/1000)-Crescimento!#REF!</f>
        <v>#REF!</v>
      </c>
      <c r="BF13" s="22" t="e">
        <f>-53.07 + (304.89 * (BE13)) + (90.79 *(Crescimento!#REF!-Crescimento!#REF!)) - (3.13 * (Crescimento!#REF!-Crescimento!#REF!)^2)</f>
        <v>#REF!</v>
      </c>
      <c r="BG13" s="23"/>
      <c r="BH13" s="21" t="e">
        <f>((BI12+(Crescimento!#REF!-(BI12*0.64))/0.8)/1000)-Crescimento!#REF!</f>
        <v>#REF!</v>
      </c>
      <c r="BI13" s="22" t="e">
        <f>-53.07 + (304.89 * (BH13)) + (90.79 *(Crescimento!#REF!-Crescimento!#REF!)) - (3.13 * (Crescimento!#REF!-Crescimento!#REF!)^2)</f>
        <v>#REF!</v>
      </c>
      <c r="BJ13" s="23"/>
      <c r="BK13" s="21" t="e">
        <f>((BL12+(Crescimento!#REF!-(BL12*0.64))/0.8)/1000)-Crescimento!#REF!</f>
        <v>#REF!</v>
      </c>
      <c r="BL13" s="22" t="e">
        <f>-53.07 + (304.89 * (BK13)) + (90.79 *(Crescimento!#REF!-Crescimento!#REF!)) - (3.13 * (Crescimento!#REF!-Crescimento!#REF!)^2)</f>
        <v>#REF!</v>
      </c>
      <c r="BM13" s="23"/>
      <c r="BN13" s="21" t="e">
        <f>((BO12+(Crescimento!#REF!-(BO12*0.64))/0.8)/1000)-Crescimento!#REF!</f>
        <v>#REF!</v>
      </c>
      <c r="BO13" s="22" t="e">
        <f>-53.07 + (304.89 * (BN13)) + (90.79 *(Crescimento!#REF!-Crescimento!#REF!)) - (3.13 * (Crescimento!#REF!-Crescimento!#REF!)^2)</f>
        <v>#REF!</v>
      </c>
      <c r="BP13" s="23"/>
      <c r="BQ13" s="21" t="e">
        <f>((BR12+(Crescimento!#REF!-(BR12*0.64))/0.8)/1000)-Crescimento!#REF!</f>
        <v>#REF!</v>
      </c>
      <c r="BR13" s="22" t="e">
        <f>-53.07 + (304.89 * (BQ13)) + (90.79 *(Crescimento!#REF!-Crescimento!#REF!)) - (3.13 * (Crescimento!#REF!-Crescimento!#REF!)^2)</f>
        <v>#REF!</v>
      </c>
      <c r="BS13" s="23"/>
      <c r="BT13" s="21" t="e">
        <f>((BU12+(Crescimento!#REF!-(BU12*0.64))/0.8)/1000)-Crescimento!#REF!</f>
        <v>#REF!</v>
      </c>
      <c r="BU13" s="22" t="e">
        <f>-53.07 + (304.89 * (BT13)) + (90.79 *(Crescimento!#REF!-Crescimento!#REF!)) - (3.13 * (Crescimento!#REF!-Crescimento!#REF!)^2)</f>
        <v>#REF!</v>
      </c>
      <c r="BV13" s="23"/>
      <c r="BW13" s="21" t="e">
        <f>((BX12+(Crescimento!#REF!-(BX12*0.64))/0.8)/1000)-Crescimento!#REF!</f>
        <v>#REF!</v>
      </c>
      <c r="BX13" s="22" t="e">
        <f>-53.07 + (304.89 * (BW13)) + (90.79 *(Crescimento!#REF!-Crescimento!#REF!)) - (3.13 * (Crescimento!#REF!-Crescimento!#REF!)^2)</f>
        <v>#REF!</v>
      </c>
      <c r="BY13" s="23"/>
      <c r="BZ13" s="21" t="e">
        <f>((CA12+(Crescimento!#REF!-(CA12*0.64))/0.8)/1000)-Crescimento!#REF!</f>
        <v>#REF!</v>
      </c>
      <c r="CA13" s="22" t="e">
        <f>-53.07 + (304.89 * (BZ13)) + (90.79 *(Crescimento!#REF!-Crescimento!#REF!)) - (3.13 * (Crescimento!#REF!-Crescimento!#REF!)^2)</f>
        <v>#REF!</v>
      </c>
      <c r="CB13" s="23"/>
      <c r="CC13" s="21" t="e">
        <f>((CD12+(Crescimento!#REF!-(CD12*0.64))/0.8)/1000)-Crescimento!#REF!</f>
        <v>#REF!</v>
      </c>
      <c r="CD13" s="22" t="e">
        <f>-53.07 + (304.89 * (CC13)) + (90.79 *(Crescimento!#REF!-Crescimento!#REF!)) - (3.13 * (Crescimento!#REF!-Crescimento!#REF!)^2)</f>
        <v>#REF!</v>
      </c>
      <c r="CE13" s="23"/>
      <c r="CF13" s="21" t="e">
        <f>((CG12+(Crescimento!#REF!-(CG12*0.64))/0.8)/1000)-Crescimento!#REF!</f>
        <v>#REF!</v>
      </c>
      <c r="CG13" s="22" t="e">
        <f>-53.07 + (304.89 * (CF13)) + (90.79 *(Crescimento!#REF!-Crescimento!#REF!)) - (3.13 * (Crescimento!#REF!-Crescimento!#REF!)^2)</f>
        <v>#REF!</v>
      </c>
      <c r="CH13" s="23"/>
      <c r="CI13" s="21" t="e">
        <f>((CJ12+(Crescimento!#REF!-(CJ12*0.64))/0.8)/1000)-Crescimento!#REF!</f>
        <v>#REF!</v>
      </c>
      <c r="CJ13" s="22" t="e">
        <f>-53.07 + (304.89 * (CI13)) + (90.79 *(Crescimento!#REF!-Crescimento!#REF!)) - (3.13 * (Crescimento!#REF!-Crescimento!#REF!)^2)</f>
        <v>#REF!</v>
      </c>
      <c r="CK13" s="23"/>
      <c r="CL13" s="21" t="e">
        <f>((CM12+(Crescimento!#REF!-(CM12*0.64))/0.8)/1000)-Crescimento!#REF!</f>
        <v>#REF!</v>
      </c>
      <c r="CM13" s="22" t="e">
        <f>-53.07 + (304.89 * (CL13)) + (90.79 *(Crescimento!#REF!-Crescimento!#REF!)) - (3.13 * (Crescimento!#REF!-Crescimento!#REF!)^2)</f>
        <v>#REF!</v>
      </c>
      <c r="CN13" s="23"/>
      <c r="CO13" s="21" t="e">
        <f>((CP12+(Crescimento!#REF!-(CP12*0.64))/0.8)/1000)-Crescimento!#REF!</f>
        <v>#REF!</v>
      </c>
      <c r="CP13" s="22" t="e">
        <f>-53.07 + (304.89 * (CO13)) + (90.79 *(Crescimento!#REF!-Crescimento!#REF!)) - (3.13 * (Crescimento!#REF!-Crescimento!#REF!)^2)</f>
        <v>#REF!</v>
      </c>
      <c r="CQ13" s="23"/>
      <c r="CR13" s="21" t="e">
        <f>((CS12+(Crescimento!#REF!-(CS12*0.64))/0.8)/1000)-Crescimento!#REF!</f>
        <v>#REF!</v>
      </c>
      <c r="CS13" s="22" t="e">
        <f>-53.07 + (304.89 * (CR13)) + (90.79 *(Crescimento!#REF!-Crescimento!#REF!)) - (3.13 * (Crescimento!#REF!-Crescimento!#REF!)^2)</f>
        <v>#REF!</v>
      </c>
      <c r="CX13" s="16" t="e">
        <f>((CY12+(Crescimento!#REF!-(CY12*0.64))/0.8)/1000)-Crescimento!#REF!</f>
        <v>#REF!</v>
      </c>
      <c r="CY13" s="17" t="e">
        <f>-53.07 + (304.89 * (CX13)) + (90.79 *(Crescimento!#REF!-Crescimento!#REF!)) - (3.13 * (Crescimento!#REF!-Crescimento!#REF!)^2)</f>
        <v>#REF!</v>
      </c>
      <c r="DA13" s="16" t="e">
        <f>((DB12+(Crescimento!#REF!-(DB12*0.64))/0.8)/1000)-Crescimento!#REF!</f>
        <v>#REF!</v>
      </c>
      <c r="DB13" s="17" t="e">
        <f>-53.07 + (304.89 * (DA13)) + (90.79 *(Crescimento!#REF!-Crescimento!#REF!)) - (3.13 * (Crescimento!#REF!-Crescimento!#REF!)^2)</f>
        <v>#REF!</v>
      </c>
      <c r="DD13" s="16" t="e">
        <f>(DE12+(Crescimento!#REF!-(DE12*0.64))/0.8)/1000</f>
        <v>#REF!</v>
      </c>
      <c r="DE13" s="17" t="e">
        <f>-53.07 + (304.89 * (DD13)) + (90.79 *Crescimento!#REF!) - (3.13 * Crescimento!#REF!*Crescimento!#REF!)</f>
        <v>#REF!</v>
      </c>
      <c r="DG13" s="16" t="e">
        <f>((DH12+(Crescimento!#REF!-(DH12*0.64))/0.8)/1000)-Crescimento!#REF!</f>
        <v>#REF!</v>
      </c>
      <c r="DH13" s="17" t="e">
        <f>-53.07 + (304.89 * (DG13)) + (90.79 *(Crescimento!#REF!-Crescimento!#REF!)) - (3.13 * (Crescimento!#REF!-Crescimento!#REF!)^2)</f>
        <v>#REF!</v>
      </c>
      <c r="DJ13" s="16" t="e">
        <f>((DK12+(Crescimento!#REF!-(DK12*0.64))/0.8)/1000)-Crescimento!#REF!</f>
        <v>#REF!</v>
      </c>
      <c r="DK13" s="17" t="e">
        <f>-53.07 + (304.89 * (DJ13)) + (90.79 *(Crescimento!#REF!-Crescimento!#REF!)) - (3.13 * (Crescimento!#REF!-Crescimento!#REF!)^2)</f>
        <v>#REF!</v>
      </c>
      <c r="DM13" s="16" t="e">
        <f>((DN12+(Crescimento!#REF!-(DN12*0.64))/0.8)/1000)-Crescimento!#REF!</f>
        <v>#REF!</v>
      </c>
      <c r="DN13" s="17" t="e">
        <f>-53.07 + (304.89 * (DM13)) + (90.79 *(Crescimento!#REF!-Crescimento!#REF!)) - (3.13 * (Crescimento!#REF!-Crescimento!#REF!)^2)</f>
        <v>#REF!</v>
      </c>
      <c r="DP13" s="16" t="e">
        <f>(DQ12+(Crescimento!#REF!-(DQ12*0.64))/0.8)/1000</f>
        <v>#REF!</v>
      </c>
      <c r="DQ13" s="17" t="e">
        <f>-53.07 + (304.89 * (DP13)) + (90.79 *(Crescimento!#REF!-Crescimento!#REF!)) - (3.13 * (Crescimento!#REF!-Crescimento!#REF!)^2)</f>
        <v>#REF!</v>
      </c>
      <c r="DS13" s="16" t="e">
        <f>((DT12+(Crescimento!#REF!-(DT12*0.64))/0.8)/1000)-Crescimento!#REF!</f>
        <v>#REF!</v>
      </c>
      <c r="DT13" s="17" t="e">
        <f>-53.07 + (304.89 * (DS13)) + (90.79 *(Crescimento!#REF!-Crescimento!#REF!)) - (3.13 * (Crescimento!#REF!-Crescimento!#REF!)^2)</f>
        <v>#REF!</v>
      </c>
      <c r="DV13" s="16" t="e">
        <f>((DW12+(Crescimento!#REF!-(DW12*0.64))/0.8)/1000)-Crescimento!#REF!</f>
        <v>#REF!</v>
      </c>
      <c r="DW13" s="17" t="e">
        <f>-53.07 + (304.89 * (DV13)) + (90.79 *(Crescimento!#REF!-Crescimento!#REF!)) - (3.13 * (Crescimento!#REF!-Crescimento!#REF!)^2)</f>
        <v>#REF!</v>
      </c>
      <c r="DY13" s="16" t="e">
        <f>((DZ12+(Crescimento!#REF!-(DZ12*0.64))/0.8)/1000)-Crescimento!#REF!</f>
        <v>#REF!</v>
      </c>
      <c r="DZ13" s="17" t="e">
        <f>-53.07 + (304.89 * (DY13)) + (90.79 *(Crescimento!#REF!-Crescimento!#REF!)) - (3.13 * (Crescimento!#REF!-Crescimento!#REF!)^2)</f>
        <v>#REF!</v>
      </c>
      <c r="EB13" s="16" t="e">
        <f>((EC12+(Crescimento!#REF!-(EC12*0.64))/0.8)/1000)-Crescimento!#REF!</f>
        <v>#REF!</v>
      </c>
      <c r="EC13" s="17" t="e">
        <f>-53.07 + (304.89 * (EB13)) + (90.79 *(Crescimento!#REF!-Crescimento!#REF!)) - (3.13 * (Crescimento!#REF!-Crescimento!#REF!)^2)</f>
        <v>#REF!</v>
      </c>
      <c r="EE13" s="16" t="e">
        <f>((EF12+(Crescimento!#REF!-(EF12*0.64))/0.8)/1000)-Crescimento!#REF!</f>
        <v>#REF!</v>
      </c>
      <c r="EF13" s="17" t="e">
        <f>-53.07 + (304.89 * (EE13)) + (90.79 *(Crescimento!#REF!-Crescimento!#REF!)) - (3.13 * (Crescimento!#REF!-Crescimento!#REF!)^2)</f>
        <v>#REF!</v>
      </c>
      <c r="EH13" s="16" t="e">
        <f>((EI12+(Crescimento!#REF!-(EI12*0.64))/0.8)/1000)-Crescimento!#REF!</f>
        <v>#REF!</v>
      </c>
      <c r="EI13" s="17" t="e">
        <f>-53.07 + (304.89 * (EH13)) + (90.79 *(Crescimento!#REF!-Crescimento!#REF!)) - (3.13 * (Crescimento!#REF!-Crescimento!#REF!)^2)</f>
        <v>#REF!</v>
      </c>
      <c r="EK13" s="16" t="e">
        <f>((EL12+(Crescimento!#REF!-(EL12*0.64))/0.8)/1000)-Crescimento!#REF!</f>
        <v>#REF!</v>
      </c>
      <c r="EL13" s="17" t="e">
        <f>-53.07 + (304.89 * (EK13)) + (90.79 *(Crescimento!#REF!-Crescimento!#REF!)) - (3.13 * (Crescimento!#REF!-Crescimento!#REF!)^2)</f>
        <v>#REF!</v>
      </c>
      <c r="EN13" s="16" t="e">
        <f>((EO12+(Crescimento!#REF!-(EO12*0.64))/0.8)/1000)-Crescimento!#REF!</f>
        <v>#REF!</v>
      </c>
      <c r="EO13" s="17" t="e">
        <f>-53.07 + (304.89 * (EN13)) + (90.79 *(Crescimento!#REF!-Crescimento!#REF!)) - (3.13 * (Crescimento!#REF!-Crescimento!#REF!)^2)</f>
        <v>#REF!</v>
      </c>
      <c r="EQ13" s="16" t="e">
        <f>((ER12+(Crescimento!#REF!-(ER12*0.64))/0.8)/1000)-Crescimento!#REF!</f>
        <v>#REF!</v>
      </c>
      <c r="ER13" s="17" t="e">
        <f>-53.07 + (304.89 * (EQ13)) + (90.79 *(Crescimento!#REF!-Crescimento!#REF!)) - (3.13 * (Crescimento!#REF!-Crescimento!#REF!)^2)</f>
        <v>#REF!</v>
      </c>
      <c r="ET13" s="16" t="e">
        <f>((EU12+(Crescimento!#REF!-(EU12*0.64))/0.8)/1000)-Crescimento!#REF!</f>
        <v>#REF!</v>
      </c>
      <c r="EU13" s="17" t="e">
        <f>-53.07 + (304.89 * (ET13)) + (90.79 *(Crescimento!#REF!-Crescimento!#REF!)) - (3.13 * (Crescimento!#REF!-Crescimento!#REF!)^2)</f>
        <v>#REF!</v>
      </c>
      <c r="EW13" s="16" t="e">
        <f>((EX12+('Vacas e Bezerros'!#REF!-(EX12*0.64))/0.8)/1000)-'Vacas e Bezerros'!#REF!</f>
        <v>#REF!</v>
      </c>
      <c r="EX13" s="17" t="e">
        <f>-53.07 + (304.89 * (EW13)) + (90.79 *('Vacas e Bezerros'!#REF!-'Vacas e Bezerros'!#REF!)) - (3.13 * ('Vacas e Bezerros'!#REF!-'Vacas e Bezerros'!#REF!)^2)</f>
        <v>#REF!</v>
      </c>
      <c r="EZ13" s="16" t="e">
        <f>((FA12+('Vacas e Bezerros'!#REF!-(FA12*0.64))/0.8)/1000)-'Vacas e Bezerros'!#REF!</f>
        <v>#REF!</v>
      </c>
      <c r="FA13" s="17" t="e">
        <f>-53.07 + (304.89 * (EZ13)) + (90.79 *('Vacas e Bezerros'!#REF!-'Vacas e Bezerros'!#REF!)) - (3.13 * ('Vacas e Bezerros'!#REF!-'Vacas e Bezerros'!#REF!)^2)</f>
        <v>#REF!</v>
      </c>
      <c r="FC13" s="16" t="e">
        <f>((FD12+('Vacas e Bezerros'!#REF!-(FD12*0.64))/0.8)/1000)-'Vacas e Bezerros'!#REF!</f>
        <v>#REF!</v>
      </c>
      <c r="FD13" s="17" t="e">
        <f>-53.07 + (304.89 * (FC13)) + (90.79 *('Vacas e Bezerros'!#REF!-'Vacas e Bezerros'!#REF!)) - (3.13 * ('Vacas e Bezerros'!#REF!-'Vacas e Bezerros'!#REF!)^2)</f>
        <v>#REF!</v>
      </c>
      <c r="FF13" s="16" t="e">
        <f>((FG12+('Vacas e Bezerros'!#REF!-(FG12*0.64))/0.8)/1000)-'Vacas e Bezerros'!#REF!</f>
        <v>#REF!</v>
      </c>
      <c r="FG13" s="17" t="e">
        <f>-53.07 + (304.89 * (FF13)) + (90.79 *('Vacas e Bezerros'!#REF!-'Vacas e Bezerros'!#REF!)) - (3.13 * ('Vacas e Bezerros'!#REF!-'Vacas e Bezerros'!#REF!)^2)</f>
        <v>#REF!</v>
      </c>
      <c r="FI13" s="16" t="e">
        <f>((FJ12+('Vacas e Bezerros'!#REF!-(FJ12*0.64))/0.8)/1000)-'Vacas e Bezerros'!#REF!</f>
        <v>#REF!</v>
      </c>
      <c r="FJ13" s="17" t="e">
        <f>-53.07 + (304.89 * (FI13)) + (90.79 *('Vacas e Bezerros'!#REF!-'Vacas e Bezerros'!#REF!)) - (3.13 * ('Vacas e Bezerros'!#REF!-'Vacas e Bezerros'!#REF!)^2)</f>
        <v>#REF!</v>
      </c>
      <c r="FL13" s="16" t="e">
        <f>((FM12+('Vacas e Bezerros'!#REF!-(FM12*0.64))/0.8)/1000)-'Vacas e Bezerros'!#REF!</f>
        <v>#REF!</v>
      </c>
      <c r="FM13" s="17" t="e">
        <f>-53.07 + (304.89 * (FL13)) + (90.79 *('Vacas e Bezerros'!#REF!-'Vacas e Bezerros'!#REF!)) - (3.13 * ('Vacas e Bezerros'!#REF!-'Vacas e Bezerros'!#REF!)^2)</f>
        <v>#REF!</v>
      </c>
      <c r="FO13" s="16" t="e">
        <f>((FP12+('Vacas e Bezerros'!#REF!-(FP12*0.64))/0.8)/1000)-'Vacas e Bezerros'!#REF!</f>
        <v>#REF!</v>
      </c>
      <c r="FP13" s="17" t="e">
        <f>-53.07 + (304.89 * (FO13)) + (90.79 *('Vacas e Bezerros'!#REF!-'Vacas e Bezerros'!#REF!)) - (3.13 * ('Vacas e Bezerros'!#REF!-'Vacas e Bezerros'!#REF!)^2)</f>
        <v>#REF!</v>
      </c>
      <c r="FR13" s="16" t="e">
        <f>((FS12+('Vacas e Bezerros'!#REF!-(FS12*0.64))/0.8)/1000)-'Vacas e Bezerros'!#REF!</f>
        <v>#REF!</v>
      </c>
      <c r="FS13" s="17" t="e">
        <f>-53.07 + (304.89 * (FR13)) + (90.79 *('Vacas e Bezerros'!#REF!-'Vacas e Bezerros'!#REF!)) - (3.13 * ('Vacas e Bezerros'!#REF!-'Vacas e Bezerros'!#REF!)^2)</f>
        <v>#REF!</v>
      </c>
      <c r="FU13" s="16" t="e">
        <f>((FV12+('Vacas e Bezerros'!#REF!-(FV12*0.64))/0.8)/1000)-'Vacas e Bezerros'!#REF!</f>
        <v>#REF!</v>
      </c>
      <c r="FV13" s="17" t="e">
        <f>-53.07 + (304.89 * (FU13)) + (90.79 *('Vacas e Bezerros'!#REF!-'Vacas e Bezerros'!#REF!)) - (3.13 * ('Vacas e Bezerros'!#REF!-'Vacas e Bezerros'!#REF!)^2)</f>
        <v>#REF!</v>
      </c>
      <c r="FX13" s="16" t="e">
        <f>((FY12+('Vacas e Bezerros'!#REF!-(FY12*0.64))/0.8)/1000)-'Vacas e Bezerros'!#REF!</f>
        <v>#REF!</v>
      </c>
      <c r="FY13" s="17" t="e">
        <f>-53.07 + (304.89 * (FX13)) + (90.79 *('Vacas e Bezerros'!#REF!-'Vacas e Bezerros'!#REF!)) - (3.13 * ('Vacas e Bezerros'!#REF!-'Vacas e Bezerros'!#REF!)^2)</f>
        <v>#REF!</v>
      </c>
      <c r="GA13" s="16" t="e">
        <f>((GB12+('Vacas e Bezerros'!#REF!-(GB12*0.64))/0.8)/1000)-'Vacas e Bezerros'!#REF!</f>
        <v>#REF!</v>
      </c>
      <c r="GB13" s="17" t="e">
        <f>-53.07 + (304.89 * (GA13)) + (90.79 *('Vacas e Bezerros'!#REF!-'Vacas e Bezerros'!#REF!)) - (3.13 * ('Vacas e Bezerros'!#REF!-'Vacas e Bezerros'!#REF!)^2)</f>
        <v>#REF!</v>
      </c>
      <c r="GD13" s="16" t="e">
        <f>((GE12+('Vacas e Bezerros'!#REF!-(GE12*0.64))/0.8)/1000)-'Vacas e Bezerros'!#REF!</f>
        <v>#REF!</v>
      </c>
      <c r="GE13" s="17" t="e">
        <f>-53.07 + (304.89 * (GD13)) + (90.79 *('Vacas e Bezerros'!#REF!-'Vacas e Bezerros'!#REF!)) - (3.13 * ('Vacas e Bezerros'!#REF!-'Vacas e Bezerros'!#REF!)^2)</f>
        <v>#REF!</v>
      </c>
      <c r="GG13" s="16" t="e">
        <f>((GH12+('Vacas e Bezerros'!#REF!-(GH12*0.64))/0.8)/1000)-'Vacas e Bezerros'!#REF!</f>
        <v>#REF!</v>
      </c>
      <c r="GH13" s="17" t="e">
        <f>-53.07 + (304.89 * (GG13)) + (90.79 *('Vacas e Bezerros'!#REF!-'Vacas e Bezerros'!#REF!)) - (3.13 * ('Vacas e Bezerros'!#REF!-'Vacas e Bezerros'!#REF!)^2)</f>
        <v>#REF!</v>
      </c>
      <c r="GJ13" s="16" t="e">
        <f>((GK12+('Vacas e Bezerros'!#REF!-(GK12*0.64))/0.8)/1000)-'Vacas e Bezerros'!#REF!</f>
        <v>#REF!</v>
      </c>
      <c r="GK13" s="17" t="e">
        <f>-53.07 + (304.89 * (GJ13)) + (90.79 *('Vacas e Bezerros'!#REF!-'Vacas e Bezerros'!#REF!)) - (3.13 * ('Vacas e Bezerros'!#REF!-'Vacas e Bezerros'!#REF!)^2)</f>
        <v>#REF!</v>
      </c>
      <c r="GM13" s="16" t="e">
        <f>((GN12+('Vacas e Bezerros'!#REF!-(GN12*0.64))/0.8)/1000)-'Vacas e Bezerros'!#REF!</f>
        <v>#REF!</v>
      </c>
      <c r="GN13" s="17" t="e">
        <f>-53.07 + (304.89 * (GM13)) + (90.79 *('Vacas e Bezerros'!#REF!-'Vacas e Bezerros'!#REF!)) - (3.13 * ('Vacas e Bezerros'!#REF!-'Vacas e Bezerros'!#REF!)^2)</f>
        <v>#REF!</v>
      </c>
    </row>
    <row r="14" spans="2:196" x14ac:dyDescent="0.25">
      <c r="C14" s="16">
        <f>(D13+('Vacas e Bezerros'!$AA$28-(D13*0.64))/0.8)/1000</f>
        <v>0.35719668016201378</v>
      </c>
      <c r="D14" s="17">
        <f>-53.07 + (304.89 * (C14-'Vacas e Bezerros'!$C$206)) + (90.79 *('Vacas e Bezerros'!$AA$22)) - (3.13 *('Vacas e Bezerros'!$AA$22)^2)</f>
        <v>165.0187645755795</v>
      </c>
      <c r="F14" s="16" t="e">
        <f>(G13+(Crescimento!#REF!-(G13*0.64))/0.8)/1000</f>
        <v>#REF!</v>
      </c>
      <c r="G14" s="17" t="e">
        <f>-53.07 + (304.89 * (F14)) + (90.79 *Crescimento!#REF!) - (3.13 * Crescimento!#REF!*Crescimento!#REF!)</f>
        <v>#REF!</v>
      </c>
      <c r="H14" s="1"/>
      <c r="I14" s="16" t="e">
        <f>(J13+(Crescimento!#REF!-(J13*0.64))/0.8)/1000</f>
        <v>#REF!</v>
      </c>
      <c r="J14" s="17" t="e">
        <f>-53.07 + (304.89 * (I14)) + (90.79 *Crescimento!#REF!) - (3.13 * Crescimento!#REF!*Crescimento!#REF!)</f>
        <v>#REF!</v>
      </c>
      <c r="L14" s="16" t="e">
        <f>(M13+(Crescimento!#REF!-(M13*0.64))/0.8)/1000</f>
        <v>#REF!</v>
      </c>
      <c r="M14" s="17" t="e">
        <f>-53.07 + (304.89 * (L14)) + (90.79 *Crescimento!#REF!) - (3.13 * Crescimento!#REF!*Crescimento!#REF!)</f>
        <v>#REF!</v>
      </c>
      <c r="O14" s="16" t="e">
        <f>(P13+(Crescimento!#REF!-(P13*0.64))/0.8)/1000</f>
        <v>#REF!</v>
      </c>
      <c r="P14" s="17" t="e">
        <f>-53.07 + (304.89 * (O14)) + (90.79 *Crescimento!#REF!) - (3.13 * Crescimento!#REF!*Crescimento!#REF!)</f>
        <v>#REF!</v>
      </c>
      <c r="R14" s="16" t="e">
        <f>(S13+(Crescimento!#REF!-(S13*0.64))/0.8)/1000</f>
        <v>#REF!</v>
      </c>
      <c r="S14" s="17" t="e">
        <f>-53.07 + (304.89 * (R14)) + (90.79 *Crescimento!#REF!) - (3.13 * Crescimento!#REF!*Crescimento!#REF!)</f>
        <v>#REF!</v>
      </c>
      <c r="U14" s="16" t="e">
        <f>(V13+(Crescimento!#REF!-(V13*0.64))/0.8)/1000</f>
        <v>#REF!</v>
      </c>
      <c r="V14" s="17" t="e">
        <f>-53.07 + (304.89 * (U14)) + (90.79 *Crescimento!#REF!) - (3.13 * Crescimento!#REF!*Crescimento!#REF!)</f>
        <v>#REF!</v>
      </c>
      <c r="X14" s="16" t="e">
        <f>(Y13+(Crescimento!#REF!-(Y13*0.64))/0.8)/1000</f>
        <v>#REF!</v>
      </c>
      <c r="Y14" s="17" t="e">
        <f>-53.07 + (304.89 * (X14)) + (90.79 *Crescimento!#REF!) - (3.13 * Crescimento!#REF!*Crescimento!#REF!)</f>
        <v>#REF!</v>
      </c>
      <c r="Z14" s="6"/>
      <c r="AA14" s="16" t="e">
        <f>(AB13+(Crescimento!#REF!-(AB13*0.64))/0.8)/1000</f>
        <v>#REF!</v>
      </c>
      <c r="AB14" s="17" t="e">
        <f>-53.07 + (304.89 * (AA14)) + (90.79 *Crescimento!#REF!) - (3.13 * Crescimento!#REF!*Crescimento!#REF!)</f>
        <v>#REF!</v>
      </c>
      <c r="AC14" s="6"/>
      <c r="AD14" s="16" t="e">
        <f>(AE13+(Crescimento!#REF!-(AE13*0.64))/0.8)/1000</f>
        <v>#REF!</v>
      </c>
      <c r="AE14" s="17" t="e">
        <f>-53.07 + (304.89 * (AD14)) + (90.79 *Crescimento!#REF!) - (3.13 * Crescimento!#REF!*Crescimento!#REF!)</f>
        <v>#REF!</v>
      </c>
      <c r="AF14" s="17"/>
      <c r="AG14" s="16" t="e">
        <f>(AH13+(Crescimento!#REF!-(AH13*0.64))/0.8)/1000</f>
        <v>#REF!</v>
      </c>
      <c r="AH14" s="17" t="e">
        <f>-53.07 + (304.89 * (AG14)) + (90.79 *Crescimento!#REF!) - (3.13 * Crescimento!#REF!*Crescimento!#REF!)</f>
        <v>#REF!</v>
      </c>
      <c r="AJ14" s="16" t="e">
        <f>(AK13+(Crescimento!#REF!-(AK13*0.64))/0.8)/1000</f>
        <v>#REF!</v>
      </c>
      <c r="AK14" s="17" t="e">
        <f>-53.07 + (304.89 * (AJ14)) + (90.79 *Crescimento!#REF!) - (3.13 * Crescimento!#REF!*Crescimento!#REF!)</f>
        <v>#REF!</v>
      </c>
      <c r="AM14" s="16" t="e">
        <f>(AN13+(Crescimento!#REF!-(AN13*0.64))/0.8)/1000</f>
        <v>#REF!</v>
      </c>
      <c r="AN14" s="17" t="e">
        <f>-53.07 + (304.89 * (AM14)) + (90.79 *Crescimento!#REF!) - (3.13 * Crescimento!#REF!*Crescimento!#REF!)</f>
        <v>#REF!</v>
      </c>
      <c r="AP14" s="16" t="e">
        <f>(AQ13+(Crescimento!#REF!-(AQ13*0.64))/0.8)/1000</f>
        <v>#REF!</v>
      </c>
      <c r="AQ14" s="17" t="e">
        <f>-53.07 + (304.89 * (AP14)) + (90.79 *Crescimento!#REF!) - (3.13 * Crescimento!#REF!*Crescimento!#REF!)</f>
        <v>#REF!</v>
      </c>
      <c r="AS14" s="16" t="e">
        <f>(AT13+(Crescimento!#REF!-(AT13*0.64))/0.8)/1000</f>
        <v>#REF!</v>
      </c>
      <c r="AT14" s="17" t="e">
        <f>-53.07 + (304.89 * (AS14)) + (90.79 *Crescimento!#REF!) - (3.13 * Crescimento!#REF!*Crescimento!#REF!)</f>
        <v>#REF!</v>
      </c>
      <c r="AV14" s="16" t="e">
        <f>(AW13+(Crescimento!#REF!-(AW13*0.64))/0.8)/1000</f>
        <v>#REF!</v>
      </c>
      <c r="AW14" s="17" t="e">
        <f>-53.07 + (304.89 * (AV14)) + (90.79 *Crescimento!#REF!) - (3.13 * Crescimento!#REF!*Crescimento!#REF!)</f>
        <v>#REF!</v>
      </c>
      <c r="AY14" s="21" t="e">
        <f>((AZ13+(Crescimento!#REF!-(AZ13*0.64))/0.8)/1000)-Crescimento!#REF!</f>
        <v>#REF!</v>
      </c>
      <c r="AZ14" s="22" t="e">
        <f>-53.07 + (304.89 * (AY14)) + (90.79 *(Crescimento!#REF!-Crescimento!#REF!)) - (3.13 * (Crescimento!#REF!-Crescimento!#REF!)^2)</f>
        <v>#REF!</v>
      </c>
      <c r="BA14" s="23"/>
      <c r="BB14" s="21" t="e">
        <f>((BC13+(Crescimento!#REF!-(BC13*0.64))/0.8)/1000)-Crescimento!#REF!</f>
        <v>#REF!</v>
      </c>
      <c r="BC14" s="22" t="e">
        <f>-53.07 + (304.89 * (BB14)) + (90.79 *(Crescimento!#REF!-Crescimento!#REF!)) - (3.13 * (Crescimento!#REF!-Crescimento!#REF!)^2)</f>
        <v>#REF!</v>
      </c>
      <c r="BD14" s="23"/>
      <c r="BE14" s="21" t="e">
        <f>((BF13+(Crescimento!#REF!-(BF13*0.64))/0.8)/1000)-Crescimento!#REF!</f>
        <v>#REF!</v>
      </c>
      <c r="BF14" s="22" t="e">
        <f>-53.07 + (304.89 * (BE14)) + (90.79 *(Crescimento!#REF!-Crescimento!#REF!)) - (3.13 * (Crescimento!#REF!-Crescimento!#REF!)^2)</f>
        <v>#REF!</v>
      </c>
      <c r="BG14" s="23"/>
      <c r="BH14" s="21" t="e">
        <f>((BI13+(Crescimento!#REF!-(BI13*0.64))/0.8)/1000)-Crescimento!#REF!</f>
        <v>#REF!</v>
      </c>
      <c r="BI14" s="22" t="e">
        <f>-53.07 + (304.89 * (BH14)) + (90.79 *(Crescimento!#REF!-Crescimento!#REF!)) - (3.13 * (Crescimento!#REF!-Crescimento!#REF!)^2)</f>
        <v>#REF!</v>
      </c>
      <c r="BJ14" s="23"/>
      <c r="BK14" s="21" t="e">
        <f>((BL13+(Crescimento!#REF!-(BL13*0.64))/0.8)/1000)-Crescimento!#REF!</f>
        <v>#REF!</v>
      </c>
      <c r="BL14" s="22" t="e">
        <f>-53.07 + (304.89 * (BK14)) + (90.79 *(Crescimento!#REF!-Crescimento!#REF!)) - (3.13 * (Crescimento!#REF!-Crescimento!#REF!)^2)</f>
        <v>#REF!</v>
      </c>
      <c r="BM14" s="23"/>
      <c r="BN14" s="21" t="e">
        <f>((BO13+(Crescimento!#REF!-(BO13*0.64))/0.8)/1000)-Crescimento!#REF!</f>
        <v>#REF!</v>
      </c>
      <c r="BO14" s="22" t="e">
        <f>-53.07 + (304.89 * (BN14)) + (90.79 *(Crescimento!#REF!-Crescimento!#REF!)) - (3.13 * (Crescimento!#REF!-Crescimento!#REF!)^2)</f>
        <v>#REF!</v>
      </c>
      <c r="BP14" s="23"/>
      <c r="BQ14" s="21" t="e">
        <f>((BR13+(Crescimento!#REF!-(BR13*0.64))/0.8)/1000)-Crescimento!#REF!</f>
        <v>#REF!</v>
      </c>
      <c r="BR14" s="22" t="e">
        <f>-53.07 + (304.89 * (BQ14)) + (90.79 *(Crescimento!#REF!-Crescimento!#REF!)) - (3.13 * (Crescimento!#REF!-Crescimento!#REF!)^2)</f>
        <v>#REF!</v>
      </c>
      <c r="BS14" s="23"/>
      <c r="BT14" s="21" t="e">
        <f>((BU13+(Crescimento!#REF!-(BU13*0.64))/0.8)/1000)-Crescimento!#REF!</f>
        <v>#REF!</v>
      </c>
      <c r="BU14" s="22" t="e">
        <f>-53.07 + (304.89 * (BT14)) + (90.79 *(Crescimento!#REF!-Crescimento!#REF!)) - (3.13 * (Crescimento!#REF!-Crescimento!#REF!)^2)</f>
        <v>#REF!</v>
      </c>
      <c r="BV14" s="23"/>
      <c r="BW14" s="21" t="e">
        <f>((BX13+(Crescimento!#REF!-(BX13*0.64))/0.8)/1000)-Crescimento!#REF!</f>
        <v>#REF!</v>
      </c>
      <c r="BX14" s="22" t="e">
        <f>-53.07 + (304.89 * (BW14)) + (90.79 *(Crescimento!#REF!-Crescimento!#REF!)) - (3.13 * (Crescimento!#REF!-Crescimento!#REF!)^2)</f>
        <v>#REF!</v>
      </c>
      <c r="BY14" s="23"/>
      <c r="BZ14" s="21" t="e">
        <f>((CA13+(Crescimento!#REF!-(CA13*0.64))/0.8)/1000)-Crescimento!#REF!</f>
        <v>#REF!</v>
      </c>
      <c r="CA14" s="22" t="e">
        <f>-53.07 + (304.89 * (BZ14)) + (90.79 *(Crescimento!#REF!-Crescimento!#REF!)) - (3.13 * (Crescimento!#REF!-Crescimento!#REF!)^2)</f>
        <v>#REF!</v>
      </c>
      <c r="CB14" s="23"/>
      <c r="CC14" s="21" t="e">
        <f>((CD13+(Crescimento!#REF!-(CD13*0.64))/0.8)/1000)-Crescimento!#REF!</f>
        <v>#REF!</v>
      </c>
      <c r="CD14" s="22" t="e">
        <f>-53.07 + (304.89 * (CC14)) + (90.79 *(Crescimento!#REF!-Crescimento!#REF!)) - (3.13 * (Crescimento!#REF!-Crescimento!#REF!)^2)</f>
        <v>#REF!</v>
      </c>
      <c r="CE14" s="23"/>
      <c r="CF14" s="21" t="e">
        <f>((CG13+(Crescimento!#REF!-(CG13*0.64))/0.8)/1000)-Crescimento!#REF!</f>
        <v>#REF!</v>
      </c>
      <c r="CG14" s="22" t="e">
        <f>-53.07 + (304.89 * (CF14)) + (90.79 *(Crescimento!#REF!-Crescimento!#REF!)) - (3.13 * (Crescimento!#REF!-Crescimento!#REF!)^2)</f>
        <v>#REF!</v>
      </c>
      <c r="CH14" s="23"/>
      <c r="CI14" s="21" t="e">
        <f>((CJ13+(Crescimento!#REF!-(CJ13*0.64))/0.8)/1000)-Crescimento!#REF!</f>
        <v>#REF!</v>
      </c>
      <c r="CJ14" s="22" t="e">
        <f>-53.07 + (304.89 * (CI14)) + (90.79 *(Crescimento!#REF!-Crescimento!#REF!)) - (3.13 * (Crescimento!#REF!-Crescimento!#REF!)^2)</f>
        <v>#REF!</v>
      </c>
      <c r="CK14" s="23"/>
      <c r="CL14" s="21" t="e">
        <f>((CM13+(Crescimento!#REF!-(CM13*0.64))/0.8)/1000)-Crescimento!#REF!</f>
        <v>#REF!</v>
      </c>
      <c r="CM14" s="22" t="e">
        <f>-53.07 + (304.89 * (CL14)) + (90.79 *(Crescimento!#REF!-Crescimento!#REF!)) - (3.13 * (Crescimento!#REF!-Crescimento!#REF!)^2)</f>
        <v>#REF!</v>
      </c>
      <c r="CN14" s="23"/>
      <c r="CO14" s="21" t="e">
        <f>((CP13+(Crescimento!#REF!-(CP13*0.64))/0.8)/1000)-Crescimento!#REF!</f>
        <v>#REF!</v>
      </c>
      <c r="CP14" s="22" t="e">
        <f>-53.07 + (304.89 * (CO14)) + (90.79 *(Crescimento!#REF!-Crescimento!#REF!)) - (3.13 * (Crescimento!#REF!-Crescimento!#REF!)^2)</f>
        <v>#REF!</v>
      </c>
      <c r="CQ14" s="23"/>
      <c r="CR14" s="21" t="e">
        <f>((CS13+(Crescimento!#REF!-(CS13*0.64))/0.8)/1000)-Crescimento!#REF!</f>
        <v>#REF!</v>
      </c>
      <c r="CS14" s="22" t="e">
        <f>-53.07 + (304.89 * (CR14)) + (90.79 *(Crescimento!#REF!-Crescimento!#REF!)) - (3.13 * (Crescimento!#REF!-Crescimento!#REF!)^2)</f>
        <v>#REF!</v>
      </c>
      <c r="CX14" s="16" t="e">
        <f>((CY13+(Crescimento!#REF!-(CY13*0.64))/0.8)/1000)-Crescimento!#REF!</f>
        <v>#REF!</v>
      </c>
      <c r="CY14" s="17" t="e">
        <f>-53.07 + (304.89 * (CX14)) + (90.79 *(Crescimento!#REF!-Crescimento!#REF!)) - (3.13 * (Crescimento!#REF!-Crescimento!#REF!)^2)</f>
        <v>#REF!</v>
      </c>
      <c r="DA14" s="16" t="e">
        <f>((DB13+(Crescimento!#REF!-(DB13*0.64))/0.8)/1000)-Crescimento!#REF!</f>
        <v>#REF!</v>
      </c>
      <c r="DB14" s="17" t="e">
        <f>-53.07 + (304.89 * (DA14)) + (90.79 *(Crescimento!#REF!-Crescimento!#REF!)) - (3.13 * (Crescimento!#REF!-Crescimento!#REF!)^2)</f>
        <v>#REF!</v>
      </c>
      <c r="DD14" s="16" t="e">
        <f>(DE13+(Crescimento!#REF!-(DE13*0.64))/0.8)/1000</f>
        <v>#REF!</v>
      </c>
      <c r="DE14" s="17" t="e">
        <f>-53.07 + (304.89 * (DD14)) + (90.79 *Crescimento!#REF!) - (3.13 * Crescimento!#REF!*Crescimento!#REF!)</f>
        <v>#REF!</v>
      </c>
      <c r="DG14" s="16" t="e">
        <f>((DH13+(Crescimento!#REF!-(DH13*0.64))/0.8)/1000)-Crescimento!#REF!</f>
        <v>#REF!</v>
      </c>
      <c r="DH14" s="17" t="e">
        <f>-53.07 + (304.89 * (DG14)) + (90.79 *(Crescimento!#REF!-Crescimento!#REF!)) - (3.13 * (Crescimento!#REF!-Crescimento!#REF!)^2)</f>
        <v>#REF!</v>
      </c>
      <c r="DJ14" s="16" t="e">
        <f>((DK13+(Crescimento!#REF!-(DK13*0.64))/0.8)/1000)-Crescimento!#REF!</f>
        <v>#REF!</v>
      </c>
      <c r="DK14" s="17" t="e">
        <f>-53.07 + (304.89 * (DJ14)) + (90.79 *(Crescimento!#REF!-Crescimento!#REF!)) - (3.13 * (Crescimento!#REF!-Crescimento!#REF!)^2)</f>
        <v>#REF!</v>
      </c>
      <c r="DM14" s="16" t="e">
        <f>((DN13+(Crescimento!#REF!-(DN13*0.64))/0.8)/1000)-Crescimento!#REF!</f>
        <v>#REF!</v>
      </c>
      <c r="DN14" s="17" t="e">
        <f>-53.07 + (304.89 * (DM14)) + (90.79 *(Crescimento!#REF!-Crescimento!#REF!)) - (3.13 * (Crescimento!#REF!-Crescimento!#REF!)^2)</f>
        <v>#REF!</v>
      </c>
      <c r="DP14" s="16" t="e">
        <f>(DQ13+(Crescimento!#REF!-(DQ13*0.64))/0.8)/1000</f>
        <v>#REF!</v>
      </c>
      <c r="DQ14" s="17" t="e">
        <f>-53.07 + (304.89 * (DP14)) + (90.79 *(Crescimento!#REF!-Crescimento!#REF!)) - (3.13 * (Crescimento!#REF!-Crescimento!#REF!)^2)</f>
        <v>#REF!</v>
      </c>
      <c r="DS14" s="16" t="e">
        <f>((DT13+(Crescimento!#REF!-(DT13*0.64))/0.8)/1000)-Crescimento!#REF!</f>
        <v>#REF!</v>
      </c>
      <c r="DT14" s="17" t="e">
        <f>-53.07 + (304.89 * (DS14)) + (90.79 *(Crescimento!#REF!-Crescimento!#REF!)) - (3.13 * (Crescimento!#REF!-Crescimento!#REF!)^2)</f>
        <v>#REF!</v>
      </c>
      <c r="DV14" s="16" t="e">
        <f>((DW13+(Crescimento!#REF!-(DW13*0.64))/0.8)/1000)-Crescimento!#REF!</f>
        <v>#REF!</v>
      </c>
      <c r="DW14" s="17" t="e">
        <f>-53.07 + (304.89 * (DV14)) + (90.79 *(Crescimento!#REF!-Crescimento!#REF!)) - (3.13 * (Crescimento!#REF!-Crescimento!#REF!)^2)</f>
        <v>#REF!</v>
      </c>
      <c r="DY14" s="16" t="e">
        <f>((DZ13+(Crescimento!#REF!-(DZ13*0.64))/0.8)/1000)-Crescimento!#REF!</f>
        <v>#REF!</v>
      </c>
      <c r="DZ14" s="17" t="e">
        <f>-53.07 + (304.89 * (DY14)) + (90.79 *(Crescimento!#REF!-Crescimento!#REF!)) - (3.13 * (Crescimento!#REF!-Crescimento!#REF!)^2)</f>
        <v>#REF!</v>
      </c>
      <c r="EB14" s="16" t="e">
        <f>((EC13+(Crescimento!#REF!-(EC13*0.64))/0.8)/1000)-Crescimento!#REF!</f>
        <v>#REF!</v>
      </c>
      <c r="EC14" s="17" t="e">
        <f>-53.07 + (304.89 * (EB14)) + (90.79 *(Crescimento!#REF!-Crescimento!#REF!)) - (3.13 * (Crescimento!#REF!-Crescimento!#REF!)^2)</f>
        <v>#REF!</v>
      </c>
      <c r="EE14" s="16" t="e">
        <f>((EF13+(Crescimento!#REF!-(EF13*0.64))/0.8)/1000)-Crescimento!#REF!</f>
        <v>#REF!</v>
      </c>
      <c r="EF14" s="17" t="e">
        <f>-53.07 + (304.89 * (EE14)) + (90.79 *(Crescimento!#REF!-Crescimento!#REF!)) - (3.13 * (Crescimento!#REF!-Crescimento!#REF!)^2)</f>
        <v>#REF!</v>
      </c>
      <c r="EH14" s="16" t="e">
        <f>((EI13+(Crescimento!#REF!-(EI13*0.64))/0.8)/1000)-Crescimento!#REF!</f>
        <v>#REF!</v>
      </c>
      <c r="EI14" s="17" t="e">
        <f>-53.07 + (304.89 * (EH14)) + (90.79 *(Crescimento!#REF!-Crescimento!#REF!)) - (3.13 * (Crescimento!#REF!-Crescimento!#REF!)^2)</f>
        <v>#REF!</v>
      </c>
      <c r="EK14" s="16" t="e">
        <f>((EL13+(Crescimento!#REF!-(EL13*0.64))/0.8)/1000)-Crescimento!#REF!</f>
        <v>#REF!</v>
      </c>
      <c r="EL14" s="17" t="e">
        <f>-53.07 + (304.89 * (EK14)) + (90.79 *(Crescimento!#REF!-Crescimento!#REF!)) - (3.13 * (Crescimento!#REF!-Crescimento!#REF!)^2)</f>
        <v>#REF!</v>
      </c>
      <c r="EN14" s="16" t="e">
        <f>((EO13+(Crescimento!#REF!-(EO13*0.64))/0.8)/1000)-Crescimento!#REF!</f>
        <v>#REF!</v>
      </c>
      <c r="EO14" s="17" t="e">
        <f>-53.07 + (304.89 * (EN14)) + (90.79 *(Crescimento!#REF!-Crescimento!#REF!)) - (3.13 * (Crescimento!#REF!-Crescimento!#REF!)^2)</f>
        <v>#REF!</v>
      </c>
      <c r="EQ14" s="16" t="e">
        <f>((ER13+(Crescimento!#REF!-(ER13*0.64))/0.8)/1000)-Crescimento!#REF!</f>
        <v>#REF!</v>
      </c>
      <c r="ER14" s="17" t="e">
        <f>-53.07 + (304.89 * (EQ14)) + (90.79 *(Crescimento!#REF!-Crescimento!#REF!)) - (3.13 * (Crescimento!#REF!-Crescimento!#REF!)^2)</f>
        <v>#REF!</v>
      </c>
      <c r="ET14" s="16" t="e">
        <f>((EU13+(Crescimento!#REF!-(EU13*0.64))/0.8)/1000)-Crescimento!#REF!</f>
        <v>#REF!</v>
      </c>
      <c r="EU14" s="17" t="e">
        <f>-53.07 + (304.89 * (ET14)) + (90.79 *(Crescimento!#REF!-Crescimento!#REF!)) - (3.13 * (Crescimento!#REF!-Crescimento!#REF!)^2)</f>
        <v>#REF!</v>
      </c>
      <c r="EW14" s="16" t="e">
        <f>((EX13+('Vacas e Bezerros'!#REF!-(EX13*0.64))/0.8)/1000)-'Vacas e Bezerros'!#REF!</f>
        <v>#REF!</v>
      </c>
      <c r="EX14" s="17" t="e">
        <f>-53.07 + (304.89 * (EW14)) + (90.79 *('Vacas e Bezerros'!#REF!-'Vacas e Bezerros'!#REF!)) - (3.13 * ('Vacas e Bezerros'!#REF!-'Vacas e Bezerros'!#REF!)^2)</f>
        <v>#REF!</v>
      </c>
      <c r="EZ14" s="16" t="e">
        <f>((FA13+('Vacas e Bezerros'!#REF!-(FA13*0.64))/0.8)/1000)-'Vacas e Bezerros'!#REF!</f>
        <v>#REF!</v>
      </c>
      <c r="FA14" s="17" t="e">
        <f>-53.07 + (304.89 * (EZ14)) + (90.79 *('Vacas e Bezerros'!#REF!-'Vacas e Bezerros'!#REF!)) - (3.13 * ('Vacas e Bezerros'!#REF!-'Vacas e Bezerros'!#REF!)^2)</f>
        <v>#REF!</v>
      </c>
      <c r="FC14" s="16" t="e">
        <f>((FD13+('Vacas e Bezerros'!#REF!-(FD13*0.64))/0.8)/1000)-'Vacas e Bezerros'!#REF!</f>
        <v>#REF!</v>
      </c>
      <c r="FD14" s="17" t="e">
        <f>-53.07 + (304.89 * (FC14)) + (90.79 *('Vacas e Bezerros'!#REF!-'Vacas e Bezerros'!#REF!)) - (3.13 * ('Vacas e Bezerros'!#REF!-'Vacas e Bezerros'!#REF!)^2)</f>
        <v>#REF!</v>
      </c>
      <c r="FF14" s="16" t="e">
        <f>((FG13+('Vacas e Bezerros'!#REF!-(FG13*0.64))/0.8)/1000)-'Vacas e Bezerros'!#REF!</f>
        <v>#REF!</v>
      </c>
      <c r="FG14" s="17" t="e">
        <f>-53.07 + (304.89 * (FF14)) + (90.79 *('Vacas e Bezerros'!#REF!-'Vacas e Bezerros'!#REF!)) - (3.13 * ('Vacas e Bezerros'!#REF!-'Vacas e Bezerros'!#REF!)^2)</f>
        <v>#REF!</v>
      </c>
      <c r="FI14" s="16" t="e">
        <f>((FJ13+('Vacas e Bezerros'!#REF!-(FJ13*0.64))/0.8)/1000)-'Vacas e Bezerros'!#REF!</f>
        <v>#REF!</v>
      </c>
      <c r="FJ14" s="17" t="e">
        <f>-53.07 + (304.89 * (FI14)) + (90.79 *('Vacas e Bezerros'!#REF!-'Vacas e Bezerros'!#REF!)) - (3.13 * ('Vacas e Bezerros'!#REF!-'Vacas e Bezerros'!#REF!)^2)</f>
        <v>#REF!</v>
      </c>
      <c r="FL14" s="16" t="e">
        <f>((FM13+('Vacas e Bezerros'!#REF!-(FM13*0.64))/0.8)/1000)-'Vacas e Bezerros'!#REF!</f>
        <v>#REF!</v>
      </c>
      <c r="FM14" s="17" t="e">
        <f>-53.07 + (304.89 * (FL14)) + (90.79 *('Vacas e Bezerros'!#REF!-'Vacas e Bezerros'!#REF!)) - (3.13 * ('Vacas e Bezerros'!#REF!-'Vacas e Bezerros'!#REF!)^2)</f>
        <v>#REF!</v>
      </c>
      <c r="FO14" s="16" t="e">
        <f>((FP13+('Vacas e Bezerros'!#REF!-(FP13*0.64))/0.8)/1000)-'Vacas e Bezerros'!#REF!</f>
        <v>#REF!</v>
      </c>
      <c r="FP14" s="17" t="e">
        <f>-53.07 + (304.89 * (FO14)) + (90.79 *('Vacas e Bezerros'!#REF!-'Vacas e Bezerros'!#REF!)) - (3.13 * ('Vacas e Bezerros'!#REF!-'Vacas e Bezerros'!#REF!)^2)</f>
        <v>#REF!</v>
      </c>
      <c r="FR14" s="16" t="e">
        <f>((FS13+('Vacas e Bezerros'!#REF!-(FS13*0.64))/0.8)/1000)-'Vacas e Bezerros'!#REF!</f>
        <v>#REF!</v>
      </c>
      <c r="FS14" s="17" t="e">
        <f>-53.07 + (304.89 * (FR14)) + (90.79 *('Vacas e Bezerros'!#REF!-'Vacas e Bezerros'!#REF!)) - (3.13 * ('Vacas e Bezerros'!#REF!-'Vacas e Bezerros'!#REF!)^2)</f>
        <v>#REF!</v>
      </c>
      <c r="FU14" s="16" t="e">
        <f>((FV13+('Vacas e Bezerros'!#REF!-(FV13*0.64))/0.8)/1000)-'Vacas e Bezerros'!#REF!</f>
        <v>#REF!</v>
      </c>
      <c r="FV14" s="17" t="e">
        <f>-53.07 + (304.89 * (FU14)) + (90.79 *('Vacas e Bezerros'!#REF!-'Vacas e Bezerros'!#REF!)) - (3.13 * ('Vacas e Bezerros'!#REF!-'Vacas e Bezerros'!#REF!)^2)</f>
        <v>#REF!</v>
      </c>
      <c r="FX14" s="16" t="e">
        <f>((FY13+('Vacas e Bezerros'!#REF!-(FY13*0.64))/0.8)/1000)-'Vacas e Bezerros'!#REF!</f>
        <v>#REF!</v>
      </c>
      <c r="FY14" s="17" t="e">
        <f>-53.07 + (304.89 * (FX14)) + (90.79 *('Vacas e Bezerros'!#REF!-'Vacas e Bezerros'!#REF!)) - (3.13 * ('Vacas e Bezerros'!#REF!-'Vacas e Bezerros'!#REF!)^2)</f>
        <v>#REF!</v>
      </c>
      <c r="GA14" s="16" t="e">
        <f>((GB13+('Vacas e Bezerros'!#REF!-(GB13*0.64))/0.8)/1000)-'Vacas e Bezerros'!#REF!</f>
        <v>#REF!</v>
      </c>
      <c r="GB14" s="17" t="e">
        <f>-53.07 + (304.89 * (GA14)) + (90.79 *('Vacas e Bezerros'!#REF!-'Vacas e Bezerros'!#REF!)) - (3.13 * ('Vacas e Bezerros'!#REF!-'Vacas e Bezerros'!#REF!)^2)</f>
        <v>#REF!</v>
      </c>
      <c r="GD14" s="16" t="e">
        <f>((GE13+('Vacas e Bezerros'!#REF!-(GE13*0.64))/0.8)/1000)-'Vacas e Bezerros'!#REF!</f>
        <v>#REF!</v>
      </c>
      <c r="GE14" s="17" t="e">
        <f>-53.07 + (304.89 * (GD14)) + (90.79 *('Vacas e Bezerros'!#REF!-'Vacas e Bezerros'!#REF!)) - (3.13 * ('Vacas e Bezerros'!#REF!-'Vacas e Bezerros'!#REF!)^2)</f>
        <v>#REF!</v>
      </c>
      <c r="GG14" s="16" t="e">
        <f>((GH13+('Vacas e Bezerros'!#REF!-(GH13*0.64))/0.8)/1000)-'Vacas e Bezerros'!#REF!</f>
        <v>#REF!</v>
      </c>
      <c r="GH14" s="17" t="e">
        <f>-53.07 + (304.89 * (GG14)) + (90.79 *('Vacas e Bezerros'!#REF!-'Vacas e Bezerros'!#REF!)) - (3.13 * ('Vacas e Bezerros'!#REF!-'Vacas e Bezerros'!#REF!)^2)</f>
        <v>#REF!</v>
      </c>
      <c r="GJ14" s="16" t="e">
        <f>((GK13+('Vacas e Bezerros'!#REF!-(GK13*0.64))/0.8)/1000)-'Vacas e Bezerros'!#REF!</f>
        <v>#REF!</v>
      </c>
      <c r="GK14" s="17" t="e">
        <f>-53.07 + (304.89 * (GJ14)) + (90.79 *('Vacas e Bezerros'!#REF!-'Vacas e Bezerros'!#REF!)) - (3.13 * ('Vacas e Bezerros'!#REF!-'Vacas e Bezerros'!#REF!)^2)</f>
        <v>#REF!</v>
      </c>
      <c r="GM14" s="16" t="e">
        <f>((GN13+('Vacas e Bezerros'!#REF!-(GN13*0.64))/0.8)/1000)-'Vacas e Bezerros'!#REF!</f>
        <v>#REF!</v>
      </c>
      <c r="GN14" s="17" t="e">
        <f>-53.07 + (304.89 * (GM14)) + (90.79 *('Vacas e Bezerros'!#REF!-'Vacas e Bezerros'!#REF!)) - (3.13 * ('Vacas e Bezerros'!#REF!-'Vacas e Bezerros'!#REF!)^2)</f>
        <v>#REF!</v>
      </c>
    </row>
    <row r="15" spans="2:196" x14ac:dyDescent="0.25">
      <c r="C15" s="16">
        <f>(D14+('Vacas e Bezerros'!$AA$28-(D14*0.64))/0.8)/1000</f>
        <v>0.35719668016158473</v>
      </c>
      <c r="D15" s="17">
        <f>-53.07 + (304.89 * (C15-'Vacas e Bezerros'!$C$206)) + (90.79 *('Vacas e Bezerros'!$AA$22)) - (3.13 *('Vacas e Bezerros'!$AA$22)^2)</f>
        <v>165.01876457544867</v>
      </c>
      <c r="F15" s="16" t="e">
        <f>(G14+(Crescimento!#REF!-(G14*0.64))/0.8)/1000</f>
        <v>#REF!</v>
      </c>
      <c r="G15" s="17" t="e">
        <f>-53.07 + (304.89 * (F15)) + (90.79 *Crescimento!#REF!) - (3.13 * Crescimento!#REF!*Crescimento!#REF!)</f>
        <v>#REF!</v>
      </c>
      <c r="H15" s="1"/>
      <c r="I15" s="16" t="e">
        <f>(J14+(Crescimento!#REF!-(J14*0.64))/0.8)/1000</f>
        <v>#REF!</v>
      </c>
      <c r="J15" s="17" t="e">
        <f>-53.07 + (304.89 * (I15)) + (90.79 *Crescimento!#REF!) - (3.13 * Crescimento!#REF!*Crescimento!#REF!)</f>
        <v>#REF!</v>
      </c>
      <c r="L15" s="16" t="e">
        <f>(M14+(Crescimento!#REF!-(M14*0.64))/0.8)/1000</f>
        <v>#REF!</v>
      </c>
      <c r="M15" s="17" t="e">
        <f>-53.07 + (304.89 * (L15)) + (90.79 *Crescimento!#REF!) - (3.13 * Crescimento!#REF!*Crescimento!#REF!)</f>
        <v>#REF!</v>
      </c>
      <c r="O15" s="16" t="e">
        <f>(P14+(Crescimento!#REF!-(P14*0.64))/0.8)/1000</f>
        <v>#REF!</v>
      </c>
      <c r="P15" s="17" t="e">
        <f>-53.07 + (304.89 * (O15)) + (90.79 *Crescimento!#REF!) - (3.13 * Crescimento!#REF!*Crescimento!#REF!)</f>
        <v>#REF!</v>
      </c>
      <c r="R15" s="16" t="e">
        <f>(S14+(Crescimento!#REF!-(S14*0.64))/0.8)/1000</f>
        <v>#REF!</v>
      </c>
      <c r="S15" s="17" t="e">
        <f>-53.07 + (304.89 * (R15)) + (90.79 *Crescimento!#REF!) - (3.13 * Crescimento!#REF!*Crescimento!#REF!)</f>
        <v>#REF!</v>
      </c>
      <c r="U15" s="16" t="e">
        <f>(V14+(Crescimento!#REF!-(V14*0.64))/0.8)/1000</f>
        <v>#REF!</v>
      </c>
      <c r="V15" s="17" t="e">
        <f>-53.07 + (304.89 * (U15)) + (90.79 *Crescimento!#REF!) - (3.13 * Crescimento!#REF!*Crescimento!#REF!)</f>
        <v>#REF!</v>
      </c>
      <c r="X15" s="16" t="e">
        <f>(Y14+(Crescimento!#REF!-(Y14*0.64))/0.8)/1000</f>
        <v>#REF!</v>
      </c>
      <c r="Y15" s="17" t="e">
        <f>-53.07 + (304.89 * (X15)) + (90.79 *Crescimento!#REF!) - (3.13 * Crescimento!#REF!*Crescimento!#REF!)</f>
        <v>#REF!</v>
      </c>
      <c r="Z15" s="6"/>
      <c r="AA15" s="16" t="e">
        <f>(AB14+(Crescimento!#REF!-(AB14*0.64))/0.8)/1000</f>
        <v>#REF!</v>
      </c>
      <c r="AB15" s="17" t="e">
        <f>-53.07 + (304.89 * (AA15)) + (90.79 *Crescimento!#REF!) - (3.13 * Crescimento!#REF!*Crescimento!#REF!)</f>
        <v>#REF!</v>
      </c>
      <c r="AC15" s="6"/>
      <c r="AD15" s="16" t="e">
        <f>(AE14+(Crescimento!#REF!-(AE14*0.64))/0.8)/1000</f>
        <v>#REF!</v>
      </c>
      <c r="AE15" s="17" t="e">
        <f>-53.07 + (304.89 * (AD15)) + (90.79 *Crescimento!#REF!) - (3.13 * Crescimento!#REF!*Crescimento!#REF!)</f>
        <v>#REF!</v>
      </c>
      <c r="AF15" s="17"/>
      <c r="AG15" s="16" t="e">
        <f>(AH14+(Crescimento!#REF!-(AH14*0.64))/0.8)/1000</f>
        <v>#REF!</v>
      </c>
      <c r="AH15" s="17" t="e">
        <f>-53.07 + (304.89 * (AG15)) + (90.79 *Crescimento!#REF!) - (3.13 * Crescimento!#REF!*Crescimento!#REF!)</f>
        <v>#REF!</v>
      </c>
      <c r="AJ15" s="16" t="e">
        <f>(AK14+(Crescimento!#REF!-(AK14*0.64))/0.8)/1000</f>
        <v>#REF!</v>
      </c>
      <c r="AK15" s="17" t="e">
        <f>-53.07 + (304.89 * (AJ15)) + (90.79 *Crescimento!#REF!) - (3.13 * Crescimento!#REF!*Crescimento!#REF!)</f>
        <v>#REF!</v>
      </c>
      <c r="AM15" s="16" t="e">
        <f>(AN14+(Crescimento!#REF!-(AN14*0.64))/0.8)/1000</f>
        <v>#REF!</v>
      </c>
      <c r="AN15" s="17" t="e">
        <f>-53.07 + (304.89 * (AM15)) + (90.79 *Crescimento!#REF!) - (3.13 * Crescimento!#REF!*Crescimento!#REF!)</f>
        <v>#REF!</v>
      </c>
      <c r="AP15" s="16" t="e">
        <f>(AQ14+(Crescimento!#REF!-(AQ14*0.64))/0.8)/1000</f>
        <v>#REF!</v>
      </c>
      <c r="AQ15" s="17" t="e">
        <f>-53.07 + (304.89 * (AP15)) + (90.79 *Crescimento!#REF!) - (3.13 * Crescimento!#REF!*Crescimento!#REF!)</f>
        <v>#REF!</v>
      </c>
      <c r="AS15" s="16" t="e">
        <f>(AT14+(Crescimento!#REF!-(AT14*0.64))/0.8)/1000</f>
        <v>#REF!</v>
      </c>
      <c r="AT15" s="17" t="e">
        <f>-53.07 + (304.89 * (AS15)) + (90.79 *Crescimento!#REF!) - (3.13 * Crescimento!#REF!*Crescimento!#REF!)</f>
        <v>#REF!</v>
      </c>
      <c r="AV15" s="16" t="e">
        <f>(AW14+(Crescimento!#REF!-(AW14*0.64))/0.8)/1000</f>
        <v>#REF!</v>
      </c>
      <c r="AW15" s="17" t="e">
        <f>-53.07 + (304.89 * (AV15)) + (90.79 *Crescimento!#REF!) - (3.13 * Crescimento!#REF!*Crescimento!#REF!)</f>
        <v>#REF!</v>
      </c>
      <c r="AY15" s="21" t="e">
        <f>((AZ14+(Crescimento!#REF!-(AZ14*0.64))/0.8)/1000)-Crescimento!#REF!</f>
        <v>#REF!</v>
      </c>
      <c r="AZ15" s="22" t="e">
        <f>-53.07 + (304.89 * (AY15)) + (90.79 *(Crescimento!#REF!-Crescimento!#REF!)) - (3.13 * (Crescimento!#REF!-Crescimento!#REF!)^2)</f>
        <v>#REF!</v>
      </c>
      <c r="BA15" s="23"/>
      <c r="BB15" s="21" t="e">
        <f>((BC14+(Crescimento!#REF!-(BC14*0.64))/0.8)/1000)-Crescimento!#REF!</f>
        <v>#REF!</v>
      </c>
      <c r="BC15" s="22" t="e">
        <f>-53.07 + (304.89 * (BB15)) + (90.79 *(Crescimento!#REF!-Crescimento!#REF!)) - (3.13 * (Crescimento!#REF!-Crescimento!#REF!)^2)</f>
        <v>#REF!</v>
      </c>
      <c r="BD15" s="23"/>
      <c r="BE15" s="21" t="e">
        <f>((BF14+(Crescimento!#REF!-(BF14*0.64))/0.8)/1000)-Crescimento!#REF!</f>
        <v>#REF!</v>
      </c>
      <c r="BF15" s="22" t="e">
        <f>-53.07 + (304.89 * (BE15)) + (90.79 *(Crescimento!#REF!-Crescimento!#REF!)) - (3.13 * (Crescimento!#REF!-Crescimento!#REF!)^2)</f>
        <v>#REF!</v>
      </c>
      <c r="BG15" s="23"/>
      <c r="BH15" s="21" t="e">
        <f>((BI14+(Crescimento!#REF!-(BI14*0.64))/0.8)/1000)-Crescimento!#REF!</f>
        <v>#REF!</v>
      </c>
      <c r="BI15" s="22" t="e">
        <f>-53.07 + (304.89 * (BH15)) + (90.79 *(Crescimento!#REF!-Crescimento!#REF!)) - (3.13 * (Crescimento!#REF!-Crescimento!#REF!)^2)</f>
        <v>#REF!</v>
      </c>
      <c r="BJ15" s="23"/>
      <c r="BK15" s="21" t="e">
        <f>((BL14+(Crescimento!#REF!-(BL14*0.64))/0.8)/1000)-Crescimento!#REF!</f>
        <v>#REF!</v>
      </c>
      <c r="BL15" s="22" t="e">
        <f>-53.07 + (304.89 * (BK15)) + (90.79 *(Crescimento!#REF!-Crescimento!#REF!)) - (3.13 * (Crescimento!#REF!-Crescimento!#REF!)^2)</f>
        <v>#REF!</v>
      </c>
      <c r="BM15" s="23"/>
      <c r="BN15" s="21" t="e">
        <f>((BO14+(Crescimento!#REF!-(BO14*0.64))/0.8)/1000)-Crescimento!#REF!</f>
        <v>#REF!</v>
      </c>
      <c r="BO15" s="22" t="e">
        <f>-53.07 + (304.89 * (BN15)) + (90.79 *(Crescimento!#REF!-Crescimento!#REF!)) - (3.13 * (Crescimento!#REF!-Crescimento!#REF!)^2)</f>
        <v>#REF!</v>
      </c>
      <c r="BP15" s="23"/>
      <c r="BQ15" s="21" t="e">
        <f>((BR14+(Crescimento!#REF!-(BR14*0.64))/0.8)/1000)-Crescimento!#REF!</f>
        <v>#REF!</v>
      </c>
      <c r="BR15" s="22" t="e">
        <f>-53.07 + (304.89 * (BQ15)) + (90.79 *(Crescimento!#REF!-Crescimento!#REF!)) - (3.13 * (Crescimento!#REF!-Crescimento!#REF!)^2)</f>
        <v>#REF!</v>
      </c>
      <c r="BS15" s="23"/>
      <c r="BT15" s="21" t="e">
        <f>((BU14+(Crescimento!#REF!-(BU14*0.64))/0.8)/1000)-Crescimento!#REF!</f>
        <v>#REF!</v>
      </c>
      <c r="BU15" s="22" t="e">
        <f>-53.07 + (304.89 * (BT15)) + (90.79 *(Crescimento!#REF!-Crescimento!#REF!)) - (3.13 * (Crescimento!#REF!-Crescimento!#REF!)^2)</f>
        <v>#REF!</v>
      </c>
      <c r="BV15" s="23"/>
      <c r="BW15" s="21" t="e">
        <f>((BX14+(Crescimento!#REF!-(BX14*0.64))/0.8)/1000)-Crescimento!#REF!</f>
        <v>#REF!</v>
      </c>
      <c r="BX15" s="22" t="e">
        <f>-53.07 + (304.89 * (BW15)) + (90.79 *(Crescimento!#REF!-Crescimento!#REF!)) - (3.13 * (Crescimento!#REF!-Crescimento!#REF!)^2)</f>
        <v>#REF!</v>
      </c>
      <c r="BY15" s="23"/>
      <c r="BZ15" s="21" t="e">
        <f>((CA14+(Crescimento!#REF!-(CA14*0.64))/0.8)/1000)-Crescimento!#REF!</f>
        <v>#REF!</v>
      </c>
      <c r="CA15" s="22" t="e">
        <f>-53.07 + (304.89 * (BZ15)) + (90.79 *(Crescimento!#REF!-Crescimento!#REF!)) - (3.13 * (Crescimento!#REF!-Crescimento!#REF!)^2)</f>
        <v>#REF!</v>
      </c>
      <c r="CB15" s="23"/>
      <c r="CC15" s="21" t="e">
        <f>((CD14+(Crescimento!#REF!-(CD14*0.64))/0.8)/1000)-Crescimento!#REF!</f>
        <v>#REF!</v>
      </c>
      <c r="CD15" s="22" t="e">
        <f>-53.07 + (304.89 * (CC15)) + (90.79 *(Crescimento!#REF!-Crescimento!#REF!)) - (3.13 * (Crescimento!#REF!-Crescimento!#REF!)^2)</f>
        <v>#REF!</v>
      </c>
      <c r="CE15" s="23"/>
      <c r="CF15" s="21" t="e">
        <f>((CG14+(Crescimento!#REF!-(CG14*0.64))/0.8)/1000)-Crescimento!#REF!</f>
        <v>#REF!</v>
      </c>
      <c r="CG15" s="22" t="e">
        <f>-53.07 + (304.89 * (CF15)) + (90.79 *(Crescimento!#REF!-Crescimento!#REF!)) - (3.13 * (Crescimento!#REF!-Crescimento!#REF!)^2)</f>
        <v>#REF!</v>
      </c>
      <c r="CH15" s="23"/>
      <c r="CI15" s="21" t="e">
        <f>((CJ14+(Crescimento!#REF!-(CJ14*0.64))/0.8)/1000)-Crescimento!#REF!</f>
        <v>#REF!</v>
      </c>
      <c r="CJ15" s="22" t="e">
        <f>-53.07 + (304.89 * (CI15)) + (90.79 *(Crescimento!#REF!-Crescimento!#REF!)) - (3.13 * (Crescimento!#REF!-Crescimento!#REF!)^2)</f>
        <v>#REF!</v>
      </c>
      <c r="CK15" s="23"/>
      <c r="CL15" s="21" t="e">
        <f>((CM14+(Crescimento!#REF!-(CM14*0.64))/0.8)/1000)-Crescimento!#REF!</f>
        <v>#REF!</v>
      </c>
      <c r="CM15" s="22" t="e">
        <f>-53.07 + (304.89 * (CL15)) + (90.79 *(Crescimento!#REF!-Crescimento!#REF!)) - (3.13 * (Crescimento!#REF!-Crescimento!#REF!)^2)</f>
        <v>#REF!</v>
      </c>
      <c r="CN15" s="23"/>
      <c r="CO15" s="21" t="e">
        <f>((CP14+(Crescimento!#REF!-(CP14*0.64))/0.8)/1000)-Crescimento!#REF!</f>
        <v>#REF!</v>
      </c>
      <c r="CP15" s="22" t="e">
        <f>-53.07 + (304.89 * (CO15)) + (90.79 *(Crescimento!#REF!-Crescimento!#REF!)) - (3.13 * (Crescimento!#REF!-Crescimento!#REF!)^2)</f>
        <v>#REF!</v>
      </c>
      <c r="CQ15" s="23"/>
      <c r="CR15" s="21" t="e">
        <f>((CS14+(Crescimento!#REF!-(CS14*0.64))/0.8)/1000)-Crescimento!#REF!</f>
        <v>#REF!</v>
      </c>
      <c r="CS15" s="22" t="e">
        <f>-53.07 + (304.89 * (CR15)) + (90.79 *(Crescimento!#REF!-Crescimento!#REF!)) - (3.13 * (Crescimento!#REF!-Crescimento!#REF!)^2)</f>
        <v>#REF!</v>
      </c>
      <c r="CX15" s="16" t="e">
        <f>((CY14+(Crescimento!#REF!-(CY14*0.64))/0.8)/1000)-Crescimento!#REF!</f>
        <v>#REF!</v>
      </c>
      <c r="CY15" s="17" t="e">
        <f>-53.07 + (304.89 * (CX15)) + (90.79 *(Crescimento!#REF!-Crescimento!#REF!)) - (3.13 * (Crescimento!#REF!-Crescimento!#REF!)^2)</f>
        <v>#REF!</v>
      </c>
      <c r="DA15" s="16" t="e">
        <f>((DB14+(Crescimento!#REF!-(DB14*0.64))/0.8)/1000)-Crescimento!#REF!</f>
        <v>#REF!</v>
      </c>
      <c r="DB15" s="17" t="e">
        <f>-53.07 + (304.89 * (DA15)) + (90.79 *(Crescimento!#REF!-Crescimento!#REF!)) - (3.13 * (Crescimento!#REF!-Crescimento!#REF!)^2)</f>
        <v>#REF!</v>
      </c>
      <c r="DD15" s="16" t="e">
        <f>(DE14+(Crescimento!#REF!-(DE14*0.64))/0.8)/1000</f>
        <v>#REF!</v>
      </c>
      <c r="DE15" s="17" t="e">
        <f>-53.07 + (304.89 * (DD15)) + (90.79 *Crescimento!#REF!) - (3.13 * Crescimento!#REF!*Crescimento!#REF!)</f>
        <v>#REF!</v>
      </c>
      <c r="DG15" s="16" t="e">
        <f>((DH14+(Crescimento!#REF!-(DH14*0.64))/0.8)/1000)-Crescimento!#REF!</f>
        <v>#REF!</v>
      </c>
      <c r="DH15" s="17" t="e">
        <f>-53.07 + (304.89 * (DG15)) + (90.79 *(Crescimento!#REF!-Crescimento!#REF!)) - (3.13 * (Crescimento!#REF!-Crescimento!#REF!)^2)</f>
        <v>#REF!</v>
      </c>
      <c r="DJ15" s="16" t="e">
        <f>((DK14+(Crescimento!#REF!-(DK14*0.64))/0.8)/1000)-Crescimento!#REF!</f>
        <v>#REF!</v>
      </c>
      <c r="DK15" s="17" t="e">
        <f>-53.07 + (304.89 * (DJ15)) + (90.79 *(Crescimento!#REF!-Crescimento!#REF!)) - (3.13 * (Crescimento!#REF!-Crescimento!#REF!)^2)</f>
        <v>#REF!</v>
      </c>
      <c r="DM15" s="16" t="e">
        <f>((DN14+(Crescimento!#REF!-(DN14*0.64))/0.8)/1000)-Crescimento!#REF!</f>
        <v>#REF!</v>
      </c>
      <c r="DN15" s="17" t="e">
        <f>-53.07 + (304.89 * (DM15)) + (90.79 *(Crescimento!#REF!-Crescimento!#REF!)) - (3.13 * (Crescimento!#REF!-Crescimento!#REF!)^2)</f>
        <v>#REF!</v>
      </c>
      <c r="DP15" s="16" t="e">
        <f>(DQ14+(Crescimento!#REF!-(DQ14*0.64))/0.8)/1000</f>
        <v>#REF!</v>
      </c>
      <c r="DQ15" s="17" t="e">
        <f>-53.07 + (304.89 * (DP15)) + (90.79 *(Crescimento!#REF!-Crescimento!#REF!)) - (3.13 * (Crescimento!#REF!-Crescimento!#REF!)^2)</f>
        <v>#REF!</v>
      </c>
      <c r="DS15" s="16" t="e">
        <f>((DT14+(Crescimento!#REF!-(DT14*0.64))/0.8)/1000)-Crescimento!#REF!</f>
        <v>#REF!</v>
      </c>
      <c r="DT15" s="17" t="e">
        <f>-53.07 + (304.89 * (DS15)) + (90.79 *(Crescimento!#REF!-Crescimento!#REF!)) - (3.13 * (Crescimento!#REF!-Crescimento!#REF!)^2)</f>
        <v>#REF!</v>
      </c>
      <c r="DV15" s="16" t="e">
        <f>((DW14+(Crescimento!#REF!-(DW14*0.64))/0.8)/1000)-Crescimento!#REF!</f>
        <v>#REF!</v>
      </c>
      <c r="DW15" s="17" t="e">
        <f>-53.07 + (304.89 * (DV15)) + (90.79 *(Crescimento!#REF!-Crescimento!#REF!)) - (3.13 * (Crescimento!#REF!-Crescimento!#REF!)^2)</f>
        <v>#REF!</v>
      </c>
      <c r="DY15" s="16" t="e">
        <f>((DZ14+(Crescimento!#REF!-(DZ14*0.64))/0.8)/1000)-Crescimento!#REF!</f>
        <v>#REF!</v>
      </c>
      <c r="DZ15" s="17" t="e">
        <f>-53.07 + (304.89 * (DY15)) + (90.79 *(Crescimento!#REF!-Crescimento!#REF!)) - (3.13 * (Crescimento!#REF!-Crescimento!#REF!)^2)</f>
        <v>#REF!</v>
      </c>
      <c r="EB15" s="16" t="e">
        <f>((EC14+(Crescimento!#REF!-(EC14*0.64))/0.8)/1000)-Crescimento!#REF!</f>
        <v>#REF!</v>
      </c>
      <c r="EC15" s="17" t="e">
        <f>-53.07 + (304.89 * (EB15)) + (90.79 *(Crescimento!#REF!-Crescimento!#REF!)) - (3.13 * (Crescimento!#REF!-Crescimento!#REF!)^2)</f>
        <v>#REF!</v>
      </c>
      <c r="EE15" s="16" t="e">
        <f>((EF14+(Crescimento!#REF!-(EF14*0.64))/0.8)/1000)-Crescimento!#REF!</f>
        <v>#REF!</v>
      </c>
      <c r="EF15" s="17" t="e">
        <f>-53.07 + (304.89 * (EE15)) + (90.79 *(Crescimento!#REF!-Crescimento!#REF!)) - (3.13 * (Crescimento!#REF!-Crescimento!#REF!)^2)</f>
        <v>#REF!</v>
      </c>
      <c r="EH15" s="16" t="e">
        <f>((EI14+(Crescimento!#REF!-(EI14*0.64))/0.8)/1000)-Crescimento!#REF!</f>
        <v>#REF!</v>
      </c>
      <c r="EI15" s="17" t="e">
        <f>-53.07 + (304.89 * (EH15)) + (90.79 *(Crescimento!#REF!-Crescimento!#REF!)) - (3.13 * (Crescimento!#REF!-Crescimento!#REF!)^2)</f>
        <v>#REF!</v>
      </c>
      <c r="EK15" s="16" t="e">
        <f>((EL14+(Crescimento!#REF!-(EL14*0.64))/0.8)/1000)-Crescimento!#REF!</f>
        <v>#REF!</v>
      </c>
      <c r="EL15" s="17" t="e">
        <f>-53.07 + (304.89 * (EK15)) + (90.79 *(Crescimento!#REF!-Crescimento!#REF!)) - (3.13 * (Crescimento!#REF!-Crescimento!#REF!)^2)</f>
        <v>#REF!</v>
      </c>
      <c r="EN15" s="16" t="e">
        <f>((EO14+(Crescimento!#REF!-(EO14*0.64))/0.8)/1000)-Crescimento!#REF!</f>
        <v>#REF!</v>
      </c>
      <c r="EO15" s="17" t="e">
        <f>-53.07 + (304.89 * (EN15)) + (90.79 *(Crescimento!#REF!-Crescimento!#REF!)) - (3.13 * (Crescimento!#REF!-Crescimento!#REF!)^2)</f>
        <v>#REF!</v>
      </c>
      <c r="EQ15" s="16" t="e">
        <f>((ER14+(Crescimento!#REF!-(ER14*0.64))/0.8)/1000)-Crescimento!#REF!</f>
        <v>#REF!</v>
      </c>
      <c r="ER15" s="17" t="e">
        <f>-53.07 + (304.89 * (EQ15)) + (90.79 *(Crescimento!#REF!-Crescimento!#REF!)) - (3.13 * (Crescimento!#REF!-Crescimento!#REF!)^2)</f>
        <v>#REF!</v>
      </c>
      <c r="ET15" s="16" t="e">
        <f>((EU14+(Crescimento!#REF!-(EU14*0.64))/0.8)/1000)-Crescimento!#REF!</f>
        <v>#REF!</v>
      </c>
      <c r="EU15" s="17" t="e">
        <f>-53.07 + (304.89 * (ET15)) + (90.79 *(Crescimento!#REF!-Crescimento!#REF!)) - (3.13 * (Crescimento!#REF!-Crescimento!#REF!)^2)</f>
        <v>#REF!</v>
      </c>
      <c r="EW15" s="16" t="e">
        <f>((EX14+('Vacas e Bezerros'!#REF!-(EX14*0.64))/0.8)/1000)-'Vacas e Bezerros'!#REF!</f>
        <v>#REF!</v>
      </c>
      <c r="EX15" s="17" t="e">
        <f>-53.07 + (304.89 * (EW15)) + (90.79 *('Vacas e Bezerros'!#REF!-'Vacas e Bezerros'!#REF!)) - (3.13 * ('Vacas e Bezerros'!#REF!-'Vacas e Bezerros'!#REF!)^2)</f>
        <v>#REF!</v>
      </c>
      <c r="EZ15" s="16" t="e">
        <f>((FA14+('Vacas e Bezerros'!#REF!-(FA14*0.64))/0.8)/1000)-'Vacas e Bezerros'!#REF!</f>
        <v>#REF!</v>
      </c>
      <c r="FA15" s="17" t="e">
        <f>-53.07 + (304.89 * (EZ15)) + (90.79 *('Vacas e Bezerros'!#REF!-'Vacas e Bezerros'!#REF!)) - (3.13 * ('Vacas e Bezerros'!#REF!-'Vacas e Bezerros'!#REF!)^2)</f>
        <v>#REF!</v>
      </c>
      <c r="FC15" s="16" t="e">
        <f>((FD14+('Vacas e Bezerros'!#REF!-(FD14*0.64))/0.8)/1000)-'Vacas e Bezerros'!#REF!</f>
        <v>#REF!</v>
      </c>
      <c r="FD15" s="17" t="e">
        <f>-53.07 + (304.89 * (FC15)) + (90.79 *('Vacas e Bezerros'!#REF!-'Vacas e Bezerros'!#REF!)) - (3.13 * ('Vacas e Bezerros'!#REF!-'Vacas e Bezerros'!#REF!)^2)</f>
        <v>#REF!</v>
      </c>
      <c r="FF15" s="16" t="e">
        <f>((FG14+('Vacas e Bezerros'!#REF!-(FG14*0.64))/0.8)/1000)-'Vacas e Bezerros'!#REF!</f>
        <v>#REF!</v>
      </c>
      <c r="FG15" s="17" t="e">
        <f>-53.07 + (304.89 * (FF15)) + (90.79 *('Vacas e Bezerros'!#REF!-'Vacas e Bezerros'!#REF!)) - (3.13 * ('Vacas e Bezerros'!#REF!-'Vacas e Bezerros'!#REF!)^2)</f>
        <v>#REF!</v>
      </c>
      <c r="FI15" s="16" t="e">
        <f>((FJ14+('Vacas e Bezerros'!#REF!-(FJ14*0.64))/0.8)/1000)-'Vacas e Bezerros'!#REF!</f>
        <v>#REF!</v>
      </c>
      <c r="FJ15" s="17" t="e">
        <f>-53.07 + (304.89 * (FI15)) + (90.79 *('Vacas e Bezerros'!#REF!-'Vacas e Bezerros'!#REF!)) - (3.13 * ('Vacas e Bezerros'!#REF!-'Vacas e Bezerros'!#REF!)^2)</f>
        <v>#REF!</v>
      </c>
      <c r="FL15" s="16" t="e">
        <f>((FM14+('Vacas e Bezerros'!#REF!-(FM14*0.64))/0.8)/1000)-'Vacas e Bezerros'!#REF!</f>
        <v>#REF!</v>
      </c>
      <c r="FM15" s="17" t="e">
        <f>-53.07 + (304.89 * (FL15)) + (90.79 *('Vacas e Bezerros'!#REF!-'Vacas e Bezerros'!#REF!)) - (3.13 * ('Vacas e Bezerros'!#REF!-'Vacas e Bezerros'!#REF!)^2)</f>
        <v>#REF!</v>
      </c>
      <c r="FO15" s="16" t="e">
        <f>((FP14+('Vacas e Bezerros'!#REF!-(FP14*0.64))/0.8)/1000)-'Vacas e Bezerros'!#REF!</f>
        <v>#REF!</v>
      </c>
      <c r="FP15" s="17" t="e">
        <f>-53.07 + (304.89 * (FO15)) + (90.79 *('Vacas e Bezerros'!#REF!-'Vacas e Bezerros'!#REF!)) - (3.13 * ('Vacas e Bezerros'!#REF!-'Vacas e Bezerros'!#REF!)^2)</f>
        <v>#REF!</v>
      </c>
      <c r="FR15" s="16" t="e">
        <f>((FS14+('Vacas e Bezerros'!#REF!-(FS14*0.64))/0.8)/1000)-'Vacas e Bezerros'!#REF!</f>
        <v>#REF!</v>
      </c>
      <c r="FS15" s="17" t="e">
        <f>-53.07 + (304.89 * (FR15)) + (90.79 *('Vacas e Bezerros'!#REF!-'Vacas e Bezerros'!#REF!)) - (3.13 * ('Vacas e Bezerros'!#REF!-'Vacas e Bezerros'!#REF!)^2)</f>
        <v>#REF!</v>
      </c>
      <c r="FU15" s="16" t="e">
        <f>((FV14+('Vacas e Bezerros'!#REF!-(FV14*0.64))/0.8)/1000)-'Vacas e Bezerros'!#REF!</f>
        <v>#REF!</v>
      </c>
      <c r="FV15" s="17" t="e">
        <f>-53.07 + (304.89 * (FU15)) + (90.79 *('Vacas e Bezerros'!#REF!-'Vacas e Bezerros'!#REF!)) - (3.13 * ('Vacas e Bezerros'!#REF!-'Vacas e Bezerros'!#REF!)^2)</f>
        <v>#REF!</v>
      </c>
      <c r="FX15" s="16" t="e">
        <f>((FY14+('Vacas e Bezerros'!#REF!-(FY14*0.64))/0.8)/1000)-'Vacas e Bezerros'!#REF!</f>
        <v>#REF!</v>
      </c>
      <c r="FY15" s="17" t="e">
        <f>-53.07 + (304.89 * (FX15)) + (90.79 *('Vacas e Bezerros'!#REF!-'Vacas e Bezerros'!#REF!)) - (3.13 * ('Vacas e Bezerros'!#REF!-'Vacas e Bezerros'!#REF!)^2)</f>
        <v>#REF!</v>
      </c>
      <c r="GA15" s="16" t="e">
        <f>((GB14+('Vacas e Bezerros'!#REF!-(GB14*0.64))/0.8)/1000)-'Vacas e Bezerros'!#REF!</f>
        <v>#REF!</v>
      </c>
      <c r="GB15" s="17" t="e">
        <f>-53.07 + (304.89 * (GA15)) + (90.79 *('Vacas e Bezerros'!#REF!-'Vacas e Bezerros'!#REF!)) - (3.13 * ('Vacas e Bezerros'!#REF!-'Vacas e Bezerros'!#REF!)^2)</f>
        <v>#REF!</v>
      </c>
      <c r="GD15" s="16" t="e">
        <f>((GE14+('Vacas e Bezerros'!#REF!-(GE14*0.64))/0.8)/1000)-'Vacas e Bezerros'!#REF!</f>
        <v>#REF!</v>
      </c>
      <c r="GE15" s="17" t="e">
        <f>-53.07 + (304.89 * (GD15)) + (90.79 *('Vacas e Bezerros'!#REF!-'Vacas e Bezerros'!#REF!)) - (3.13 * ('Vacas e Bezerros'!#REF!-'Vacas e Bezerros'!#REF!)^2)</f>
        <v>#REF!</v>
      </c>
      <c r="GG15" s="16" t="e">
        <f>((GH14+('Vacas e Bezerros'!#REF!-(GH14*0.64))/0.8)/1000)-'Vacas e Bezerros'!#REF!</f>
        <v>#REF!</v>
      </c>
      <c r="GH15" s="17" t="e">
        <f>-53.07 + (304.89 * (GG15)) + (90.79 *('Vacas e Bezerros'!#REF!-'Vacas e Bezerros'!#REF!)) - (3.13 * ('Vacas e Bezerros'!#REF!-'Vacas e Bezerros'!#REF!)^2)</f>
        <v>#REF!</v>
      </c>
      <c r="GJ15" s="16" t="e">
        <f>((GK14+('Vacas e Bezerros'!#REF!-(GK14*0.64))/0.8)/1000)-'Vacas e Bezerros'!#REF!</f>
        <v>#REF!</v>
      </c>
      <c r="GK15" s="17" t="e">
        <f>-53.07 + (304.89 * (GJ15)) + (90.79 *('Vacas e Bezerros'!#REF!-'Vacas e Bezerros'!#REF!)) - (3.13 * ('Vacas e Bezerros'!#REF!-'Vacas e Bezerros'!#REF!)^2)</f>
        <v>#REF!</v>
      </c>
      <c r="GM15" s="16" t="e">
        <f>((GN14+('Vacas e Bezerros'!#REF!-(GN14*0.64))/0.8)/1000)-'Vacas e Bezerros'!#REF!</f>
        <v>#REF!</v>
      </c>
      <c r="GN15" s="17" t="e">
        <f>-53.07 + (304.89 * (GM15)) + (90.79 *('Vacas e Bezerros'!#REF!-'Vacas e Bezerros'!#REF!)) - (3.13 * ('Vacas e Bezerros'!#REF!-'Vacas e Bezerros'!#REF!)^2)</f>
        <v>#REF!</v>
      </c>
    </row>
    <row r="16" spans="2:196" x14ac:dyDescent="0.25">
      <c r="C16" s="16">
        <f>(D15+('Vacas e Bezerros'!$AA$28-(D15*0.64))/0.8)/1000</f>
        <v>0.35719668016155848</v>
      </c>
      <c r="D16" s="17">
        <f>-53.07 + (304.89 * (C16-'Vacas e Bezerros'!$C$206)) + (90.79 *('Vacas e Bezerros'!$AA$22)) - (3.13 *('Vacas e Bezerros'!$AA$22)^2)</f>
        <v>165.01876457544066</v>
      </c>
      <c r="F16" s="16" t="e">
        <f>(G15+(Crescimento!#REF!-(G15*0.64))/0.8)/1000</f>
        <v>#REF!</v>
      </c>
      <c r="G16" s="17" t="e">
        <f>-53.07 + (304.89 * (F16)) + (90.79 *Crescimento!#REF!) - (3.13 * Crescimento!#REF!*Crescimento!#REF!)</f>
        <v>#REF!</v>
      </c>
      <c r="H16" s="1"/>
      <c r="I16" s="16" t="e">
        <f>(J15+(Crescimento!#REF!-(J15*0.64))/0.8)/1000</f>
        <v>#REF!</v>
      </c>
      <c r="J16" s="17" t="e">
        <f>-53.07 + (304.89 * (I16)) + (90.79 *Crescimento!#REF!) - (3.13 * Crescimento!#REF!*Crescimento!#REF!)</f>
        <v>#REF!</v>
      </c>
      <c r="L16" s="16" t="e">
        <f>(M15+(Crescimento!#REF!-(M15*0.64))/0.8)/1000</f>
        <v>#REF!</v>
      </c>
      <c r="M16" s="17" t="e">
        <f>-53.07 + (304.89 * (L16)) + (90.79 *Crescimento!#REF!) - (3.13 * Crescimento!#REF!*Crescimento!#REF!)</f>
        <v>#REF!</v>
      </c>
      <c r="O16" s="16" t="e">
        <f>(P15+(Crescimento!#REF!-(P15*0.64))/0.8)/1000</f>
        <v>#REF!</v>
      </c>
      <c r="P16" s="17" t="e">
        <f>-53.07 + (304.89 * (O16)) + (90.79 *Crescimento!#REF!) - (3.13 * Crescimento!#REF!*Crescimento!#REF!)</f>
        <v>#REF!</v>
      </c>
      <c r="R16" s="16" t="e">
        <f>(S15+(Crescimento!#REF!-(S15*0.64))/0.8)/1000</f>
        <v>#REF!</v>
      </c>
      <c r="S16" s="17" t="e">
        <f>-53.07 + (304.89 * (R16)) + (90.79 *Crescimento!#REF!) - (3.13 * Crescimento!#REF!*Crescimento!#REF!)</f>
        <v>#REF!</v>
      </c>
      <c r="U16" s="16" t="e">
        <f>(V15+(Crescimento!#REF!-(V15*0.64))/0.8)/1000</f>
        <v>#REF!</v>
      </c>
      <c r="V16" s="17" t="e">
        <f>-53.07 + (304.89 * (U16)) + (90.79 *Crescimento!#REF!) - (3.13 * Crescimento!#REF!*Crescimento!#REF!)</f>
        <v>#REF!</v>
      </c>
      <c r="X16" s="16" t="e">
        <f>(Y15+(Crescimento!#REF!-(Y15*0.64))/0.8)/1000</f>
        <v>#REF!</v>
      </c>
      <c r="Y16" s="17" t="e">
        <f>-53.07 + (304.89 * (X16)) + (90.79 *Crescimento!#REF!) - (3.13 * Crescimento!#REF!*Crescimento!#REF!)</f>
        <v>#REF!</v>
      </c>
      <c r="Z16" s="6"/>
      <c r="AA16" s="16" t="e">
        <f>(AB15+(Crescimento!#REF!-(AB15*0.64))/0.8)/1000</f>
        <v>#REF!</v>
      </c>
      <c r="AB16" s="17" t="e">
        <f>-53.07 + (304.89 * (AA16)) + (90.79 *Crescimento!#REF!) - (3.13 * Crescimento!#REF!*Crescimento!#REF!)</f>
        <v>#REF!</v>
      </c>
      <c r="AC16" s="6"/>
      <c r="AD16" s="16" t="e">
        <f>(AE15+(Crescimento!#REF!-(AE15*0.64))/0.8)/1000</f>
        <v>#REF!</v>
      </c>
      <c r="AE16" s="17" t="e">
        <f>-53.07 + (304.89 * (AD16)) + (90.79 *Crescimento!#REF!) - (3.13 * Crescimento!#REF!*Crescimento!#REF!)</f>
        <v>#REF!</v>
      </c>
      <c r="AF16" s="17"/>
      <c r="AG16" s="16" t="e">
        <f>(AH15+(Crescimento!#REF!-(AH15*0.64))/0.8)/1000</f>
        <v>#REF!</v>
      </c>
      <c r="AH16" s="17" t="e">
        <f>-53.07 + (304.89 * (AG16)) + (90.79 *Crescimento!#REF!) - (3.13 * Crescimento!#REF!*Crescimento!#REF!)</f>
        <v>#REF!</v>
      </c>
      <c r="AJ16" s="16" t="e">
        <f>(AK15+(Crescimento!#REF!-(AK15*0.64))/0.8)/1000</f>
        <v>#REF!</v>
      </c>
      <c r="AK16" s="17" t="e">
        <f>-53.07 + (304.89 * (AJ16)) + (90.79 *Crescimento!#REF!) - (3.13 * Crescimento!#REF!*Crescimento!#REF!)</f>
        <v>#REF!</v>
      </c>
      <c r="AM16" s="16" t="e">
        <f>(AN15+(Crescimento!#REF!-(AN15*0.64))/0.8)/1000</f>
        <v>#REF!</v>
      </c>
      <c r="AN16" s="17" t="e">
        <f>-53.07 + (304.89 * (AM16)) + (90.79 *Crescimento!#REF!) - (3.13 * Crescimento!#REF!*Crescimento!#REF!)</f>
        <v>#REF!</v>
      </c>
      <c r="AP16" s="16" t="e">
        <f>(AQ15+(Crescimento!#REF!-(AQ15*0.64))/0.8)/1000</f>
        <v>#REF!</v>
      </c>
      <c r="AQ16" s="17" t="e">
        <f>-53.07 + (304.89 * (AP16)) + (90.79 *Crescimento!#REF!) - (3.13 * Crescimento!#REF!*Crescimento!#REF!)</f>
        <v>#REF!</v>
      </c>
      <c r="AS16" s="16" t="e">
        <f>(AT15+(Crescimento!#REF!-(AT15*0.64))/0.8)/1000</f>
        <v>#REF!</v>
      </c>
      <c r="AT16" s="17" t="e">
        <f>-53.07 + (304.89 * (AS16)) + (90.79 *Crescimento!#REF!) - (3.13 * Crescimento!#REF!*Crescimento!#REF!)</f>
        <v>#REF!</v>
      </c>
      <c r="AV16" s="16" t="e">
        <f>(AW15+(Crescimento!#REF!-(AW15*0.64))/0.8)/1000</f>
        <v>#REF!</v>
      </c>
      <c r="AW16" s="17" t="e">
        <f>-53.07 + (304.89 * (AV16)) + (90.79 *Crescimento!#REF!) - (3.13 * Crescimento!#REF!*Crescimento!#REF!)</f>
        <v>#REF!</v>
      </c>
      <c r="AY16" s="21" t="e">
        <f>((AZ15+(Crescimento!#REF!-(AZ15*0.64))/0.8)/1000)-Crescimento!#REF!</f>
        <v>#REF!</v>
      </c>
      <c r="AZ16" s="22" t="e">
        <f>-53.07 + (304.89 * (AY16)) + (90.79 *(Crescimento!#REF!-Crescimento!#REF!)) - (3.13 * (Crescimento!#REF!-Crescimento!#REF!)^2)</f>
        <v>#REF!</v>
      </c>
      <c r="BA16" s="23"/>
      <c r="BB16" s="21" t="e">
        <f>((BC15+(Crescimento!#REF!-(BC15*0.64))/0.8)/1000)-Crescimento!#REF!</f>
        <v>#REF!</v>
      </c>
      <c r="BC16" s="22" t="e">
        <f>-53.07 + (304.89 * (BB16)) + (90.79 *(Crescimento!#REF!-Crescimento!#REF!)) - (3.13 * (Crescimento!#REF!-Crescimento!#REF!)^2)</f>
        <v>#REF!</v>
      </c>
      <c r="BD16" s="23"/>
      <c r="BE16" s="21" t="e">
        <f>((BF15+(Crescimento!#REF!-(BF15*0.64))/0.8)/1000)-Crescimento!#REF!</f>
        <v>#REF!</v>
      </c>
      <c r="BF16" s="22" t="e">
        <f>-53.07 + (304.89 * (BE16)) + (90.79 *(Crescimento!#REF!-Crescimento!#REF!)) - (3.13 * (Crescimento!#REF!-Crescimento!#REF!)^2)</f>
        <v>#REF!</v>
      </c>
      <c r="BG16" s="23"/>
      <c r="BH16" s="21" t="e">
        <f>((BI15+(Crescimento!#REF!-(BI15*0.64))/0.8)/1000)-Crescimento!#REF!</f>
        <v>#REF!</v>
      </c>
      <c r="BI16" s="22" t="e">
        <f>-53.07 + (304.89 * (BH16)) + (90.79 *(Crescimento!#REF!-Crescimento!#REF!)) - (3.13 * (Crescimento!#REF!-Crescimento!#REF!)^2)</f>
        <v>#REF!</v>
      </c>
      <c r="BJ16" s="23"/>
      <c r="BK16" s="21" t="e">
        <f>((BL15+(Crescimento!#REF!-(BL15*0.64))/0.8)/1000)-Crescimento!#REF!</f>
        <v>#REF!</v>
      </c>
      <c r="BL16" s="22" t="e">
        <f>-53.07 + (304.89 * (BK16)) + (90.79 *(Crescimento!#REF!-Crescimento!#REF!)) - (3.13 * (Crescimento!#REF!-Crescimento!#REF!)^2)</f>
        <v>#REF!</v>
      </c>
      <c r="BM16" s="23"/>
      <c r="BN16" s="21" t="e">
        <f>((BO15+(Crescimento!#REF!-(BO15*0.64))/0.8)/1000)-Crescimento!#REF!</f>
        <v>#REF!</v>
      </c>
      <c r="BO16" s="22" t="e">
        <f>-53.07 + (304.89 * (BN16)) + (90.79 *(Crescimento!#REF!-Crescimento!#REF!)) - (3.13 * (Crescimento!#REF!-Crescimento!#REF!)^2)</f>
        <v>#REF!</v>
      </c>
      <c r="BP16" s="23"/>
      <c r="BQ16" s="21" t="e">
        <f>((BR15+(Crescimento!#REF!-(BR15*0.64))/0.8)/1000)-Crescimento!#REF!</f>
        <v>#REF!</v>
      </c>
      <c r="BR16" s="22" t="e">
        <f>-53.07 + (304.89 * (BQ16)) + (90.79 *(Crescimento!#REF!-Crescimento!#REF!)) - (3.13 * (Crescimento!#REF!-Crescimento!#REF!)^2)</f>
        <v>#REF!</v>
      </c>
      <c r="BS16" s="23"/>
      <c r="BT16" s="21" t="e">
        <f>((BU15+(Crescimento!#REF!-(BU15*0.64))/0.8)/1000)-Crescimento!#REF!</f>
        <v>#REF!</v>
      </c>
      <c r="BU16" s="22" t="e">
        <f>-53.07 + (304.89 * (BT16)) + (90.79 *(Crescimento!#REF!-Crescimento!#REF!)) - (3.13 * (Crescimento!#REF!-Crescimento!#REF!)^2)</f>
        <v>#REF!</v>
      </c>
      <c r="BV16" s="23"/>
      <c r="BW16" s="21" t="e">
        <f>((BX15+(Crescimento!#REF!-(BX15*0.64))/0.8)/1000)-Crescimento!#REF!</f>
        <v>#REF!</v>
      </c>
      <c r="BX16" s="22" t="e">
        <f>-53.07 + (304.89 * (BW16)) + (90.79 *(Crescimento!#REF!-Crescimento!#REF!)) - (3.13 * (Crescimento!#REF!-Crescimento!#REF!)^2)</f>
        <v>#REF!</v>
      </c>
      <c r="BY16" s="23"/>
      <c r="BZ16" s="21" t="e">
        <f>((CA15+(Crescimento!#REF!-(CA15*0.64))/0.8)/1000)-Crescimento!#REF!</f>
        <v>#REF!</v>
      </c>
      <c r="CA16" s="22" t="e">
        <f>-53.07 + (304.89 * (BZ16)) + (90.79 *(Crescimento!#REF!-Crescimento!#REF!)) - (3.13 * (Crescimento!#REF!-Crescimento!#REF!)^2)</f>
        <v>#REF!</v>
      </c>
      <c r="CB16" s="23"/>
      <c r="CC16" s="21" t="e">
        <f>((CD15+(Crescimento!#REF!-(CD15*0.64))/0.8)/1000)-Crescimento!#REF!</f>
        <v>#REF!</v>
      </c>
      <c r="CD16" s="22" t="e">
        <f>-53.07 + (304.89 * (CC16)) + (90.79 *(Crescimento!#REF!-Crescimento!#REF!)) - (3.13 * (Crescimento!#REF!-Crescimento!#REF!)^2)</f>
        <v>#REF!</v>
      </c>
      <c r="CE16" s="23"/>
      <c r="CF16" s="21" t="e">
        <f>((CG15+(Crescimento!#REF!-(CG15*0.64))/0.8)/1000)-Crescimento!#REF!</f>
        <v>#REF!</v>
      </c>
      <c r="CG16" s="22" t="e">
        <f>-53.07 + (304.89 * (CF16)) + (90.79 *(Crescimento!#REF!-Crescimento!#REF!)) - (3.13 * (Crescimento!#REF!-Crescimento!#REF!)^2)</f>
        <v>#REF!</v>
      </c>
      <c r="CH16" s="23"/>
      <c r="CI16" s="21" t="e">
        <f>((CJ15+(Crescimento!#REF!-(CJ15*0.64))/0.8)/1000)-Crescimento!#REF!</f>
        <v>#REF!</v>
      </c>
      <c r="CJ16" s="22" t="e">
        <f>-53.07 + (304.89 * (CI16)) + (90.79 *(Crescimento!#REF!-Crescimento!#REF!)) - (3.13 * (Crescimento!#REF!-Crescimento!#REF!)^2)</f>
        <v>#REF!</v>
      </c>
      <c r="CK16" s="23"/>
      <c r="CL16" s="21" t="e">
        <f>((CM15+(Crescimento!#REF!-(CM15*0.64))/0.8)/1000)-Crescimento!#REF!</f>
        <v>#REF!</v>
      </c>
      <c r="CM16" s="22" t="e">
        <f>-53.07 + (304.89 * (CL16)) + (90.79 *(Crescimento!#REF!-Crescimento!#REF!)) - (3.13 * (Crescimento!#REF!-Crescimento!#REF!)^2)</f>
        <v>#REF!</v>
      </c>
      <c r="CN16" s="23"/>
      <c r="CO16" s="21" t="e">
        <f>((CP15+(Crescimento!#REF!-(CP15*0.64))/0.8)/1000)-Crescimento!#REF!</f>
        <v>#REF!</v>
      </c>
      <c r="CP16" s="22" t="e">
        <f>-53.07 + (304.89 * (CO16)) + (90.79 *(Crescimento!#REF!-Crescimento!#REF!)) - (3.13 * (Crescimento!#REF!-Crescimento!#REF!)^2)</f>
        <v>#REF!</v>
      </c>
      <c r="CQ16" s="23"/>
      <c r="CR16" s="21" t="e">
        <f>((CS15+(Crescimento!#REF!-(CS15*0.64))/0.8)/1000)-Crescimento!#REF!</f>
        <v>#REF!</v>
      </c>
      <c r="CS16" s="22" t="e">
        <f>-53.07 + (304.89 * (CR16)) + (90.79 *(Crescimento!#REF!-Crescimento!#REF!)) - (3.13 * (Crescimento!#REF!-Crescimento!#REF!)^2)</f>
        <v>#REF!</v>
      </c>
      <c r="CX16" s="16" t="e">
        <f>((CY15+(Crescimento!#REF!-(CY15*0.64))/0.8)/1000)-Crescimento!#REF!</f>
        <v>#REF!</v>
      </c>
      <c r="CY16" s="17" t="e">
        <f>-53.07 + (304.89 * (CX16)) + (90.79 *(Crescimento!#REF!-Crescimento!#REF!)) - (3.13 * (Crescimento!#REF!-Crescimento!#REF!)^2)</f>
        <v>#REF!</v>
      </c>
      <c r="DA16" s="16" t="e">
        <f>((DB15+(Crescimento!#REF!-(DB15*0.64))/0.8)/1000)-Crescimento!#REF!</f>
        <v>#REF!</v>
      </c>
      <c r="DB16" s="17" t="e">
        <f>-53.07 + (304.89 * (DA16)) + (90.79 *(Crescimento!#REF!-Crescimento!#REF!)) - (3.13 * (Crescimento!#REF!-Crescimento!#REF!)^2)</f>
        <v>#REF!</v>
      </c>
      <c r="DD16" s="16" t="e">
        <f>(DE15+(Crescimento!#REF!-(DE15*0.64))/0.8)/1000</f>
        <v>#REF!</v>
      </c>
      <c r="DE16" s="17" t="e">
        <f>-53.07 + (304.89 * (DD16)) + (90.79 *Crescimento!#REF!) - (3.13 * Crescimento!#REF!*Crescimento!#REF!)</f>
        <v>#REF!</v>
      </c>
      <c r="DG16" s="16" t="e">
        <f>((DH15+(Crescimento!#REF!-(DH15*0.64))/0.8)/1000)-Crescimento!#REF!</f>
        <v>#REF!</v>
      </c>
      <c r="DH16" s="17" t="e">
        <f>-53.07 + (304.89 * (DG16)) + (90.79 *(Crescimento!#REF!-Crescimento!#REF!)) - (3.13 * (Crescimento!#REF!-Crescimento!#REF!)^2)</f>
        <v>#REF!</v>
      </c>
      <c r="DJ16" s="16" t="e">
        <f>((DK15+(Crescimento!#REF!-(DK15*0.64))/0.8)/1000)-Crescimento!#REF!</f>
        <v>#REF!</v>
      </c>
      <c r="DK16" s="17" t="e">
        <f>-53.07 + (304.89 * (DJ16)) + (90.79 *(Crescimento!#REF!-Crescimento!#REF!)) - (3.13 * (Crescimento!#REF!-Crescimento!#REF!)^2)</f>
        <v>#REF!</v>
      </c>
      <c r="DM16" s="16" t="e">
        <f>((DN15+(Crescimento!#REF!-(DN15*0.64))/0.8)/1000)-Crescimento!#REF!</f>
        <v>#REF!</v>
      </c>
      <c r="DN16" s="17" t="e">
        <f>-53.07 + (304.89 * (DM16)) + (90.79 *(Crescimento!#REF!-Crescimento!#REF!)) - (3.13 * (Crescimento!#REF!-Crescimento!#REF!)^2)</f>
        <v>#REF!</v>
      </c>
      <c r="DP16" s="16" t="e">
        <f>(DQ15+(Crescimento!#REF!-(DQ15*0.64))/0.8)/1000</f>
        <v>#REF!</v>
      </c>
      <c r="DQ16" s="17" t="e">
        <f>-53.07 + (304.89 * (DP16)) + (90.79 *(Crescimento!#REF!-Crescimento!#REF!)) - (3.13 * (Crescimento!#REF!-Crescimento!#REF!)^2)</f>
        <v>#REF!</v>
      </c>
      <c r="DS16" s="16" t="e">
        <f>((DT15+(Crescimento!#REF!-(DT15*0.64))/0.8)/1000)-Crescimento!#REF!</f>
        <v>#REF!</v>
      </c>
      <c r="DT16" s="17" t="e">
        <f>-53.07 + (304.89 * (DS16)) + (90.79 *(Crescimento!#REF!-Crescimento!#REF!)) - (3.13 * (Crescimento!#REF!-Crescimento!#REF!)^2)</f>
        <v>#REF!</v>
      </c>
      <c r="DV16" s="16" t="e">
        <f>((DW15+(Crescimento!#REF!-(DW15*0.64))/0.8)/1000)-Crescimento!#REF!</f>
        <v>#REF!</v>
      </c>
      <c r="DW16" s="17" t="e">
        <f>-53.07 + (304.89 * (DV16)) + (90.79 *(Crescimento!#REF!-Crescimento!#REF!)) - (3.13 * (Crescimento!#REF!-Crescimento!#REF!)^2)</f>
        <v>#REF!</v>
      </c>
      <c r="DY16" s="16" t="e">
        <f>((DZ15+(Crescimento!#REF!-(DZ15*0.64))/0.8)/1000)-Crescimento!#REF!</f>
        <v>#REF!</v>
      </c>
      <c r="DZ16" s="17" t="e">
        <f>-53.07 + (304.89 * (DY16)) + (90.79 *(Crescimento!#REF!-Crescimento!#REF!)) - (3.13 * (Crescimento!#REF!-Crescimento!#REF!)^2)</f>
        <v>#REF!</v>
      </c>
      <c r="EB16" s="16" t="e">
        <f>((EC15+(Crescimento!#REF!-(EC15*0.64))/0.8)/1000)-Crescimento!#REF!</f>
        <v>#REF!</v>
      </c>
      <c r="EC16" s="17" t="e">
        <f>-53.07 + (304.89 * (EB16)) + (90.79 *(Crescimento!#REF!-Crescimento!#REF!)) - (3.13 * (Crescimento!#REF!-Crescimento!#REF!)^2)</f>
        <v>#REF!</v>
      </c>
      <c r="EE16" s="16" t="e">
        <f>((EF15+(Crescimento!#REF!-(EF15*0.64))/0.8)/1000)-Crescimento!#REF!</f>
        <v>#REF!</v>
      </c>
      <c r="EF16" s="17" t="e">
        <f>-53.07 + (304.89 * (EE16)) + (90.79 *(Crescimento!#REF!-Crescimento!#REF!)) - (3.13 * (Crescimento!#REF!-Crescimento!#REF!)^2)</f>
        <v>#REF!</v>
      </c>
      <c r="EH16" s="16" t="e">
        <f>((EI15+(Crescimento!#REF!-(EI15*0.64))/0.8)/1000)-Crescimento!#REF!</f>
        <v>#REF!</v>
      </c>
      <c r="EI16" s="17" t="e">
        <f>-53.07 + (304.89 * (EH16)) + (90.79 *(Crescimento!#REF!-Crescimento!#REF!)) - (3.13 * (Crescimento!#REF!-Crescimento!#REF!)^2)</f>
        <v>#REF!</v>
      </c>
      <c r="EK16" s="16" t="e">
        <f>((EL15+(Crescimento!#REF!-(EL15*0.64))/0.8)/1000)-Crescimento!#REF!</f>
        <v>#REF!</v>
      </c>
      <c r="EL16" s="17" t="e">
        <f>-53.07 + (304.89 * (EK16)) + (90.79 *(Crescimento!#REF!-Crescimento!#REF!)) - (3.13 * (Crescimento!#REF!-Crescimento!#REF!)^2)</f>
        <v>#REF!</v>
      </c>
      <c r="EN16" s="16" t="e">
        <f>((EO15+(Crescimento!#REF!-(EO15*0.64))/0.8)/1000)-Crescimento!#REF!</f>
        <v>#REF!</v>
      </c>
      <c r="EO16" s="17" t="e">
        <f>-53.07 + (304.89 * (EN16)) + (90.79 *(Crescimento!#REF!-Crescimento!#REF!)) - (3.13 * (Crescimento!#REF!-Crescimento!#REF!)^2)</f>
        <v>#REF!</v>
      </c>
      <c r="EQ16" s="16" t="e">
        <f>((ER15+(Crescimento!#REF!-(ER15*0.64))/0.8)/1000)-Crescimento!#REF!</f>
        <v>#REF!</v>
      </c>
      <c r="ER16" s="17" t="e">
        <f>-53.07 + (304.89 * (EQ16)) + (90.79 *(Crescimento!#REF!-Crescimento!#REF!)) - (3.13 * (Crescimento!#REF!-Crescimento!#REF!)^2)</f>
        <v>#REF!</v>
      </c>
      <c r="ET16" s="16" t="e">
        <f>((EU15+(Crescimento!#REF!-(EU15*0.64))/0.8)/1000)-Crescimento!#REF!</f>
        <v>#REF!</v>
      </c>
      <c r="EU16" s="17" t="e">
        <f>-53.07 + (304.89 * (ET16)) + (90.79 *(Crescimento!#REF!-Crescimento!#REF!)) - (3.13 * (Crescimento!#REF!-Crescimento!#REF!)^2)</f>
        <v>#REF!</v>
      </c>
      <c r="EW16" s="16" t="e">
        <f>((EX15+('Vacas e Bezerros'!#REF!-(EX15*0.64))/0.8)/1000)-'Vacas e Bezerros'!#REF!</f>
        <v>#REF!</v>
      </c>
      <c r="EX16" s="17" t="e">
        <f>-53.07 + (304.89 * (EW16)) + (90.79 *('Vacas e Bezerros'!#REF!-'Vacas e Bezerros'!#REF!)) - (3.13 * ('Vacas e Bezerros'!#REF!-'Vacas e Bezerros'!#REF!)^2)</f>
        <v>#REF!</v>
      </c>
      <c r="EZ16" s="16" t="e">
        <f>((FA15+('Vacas e Bezerros'!#REF!-(FA15*0.64))/0.8)/1000)-'Vacas e Bezerros'!#REF!</f>
        <v>#REF!</v>
      </c>
      <c r="FA16" s="17" t="e">
        <f>-53.07 + (304.89 * (EZ16)) + (90.79 *('Vacas e Bezerros'!#REF!-'Vacas e Bezerros'!#REF!)) - (3.13 * ('Vacas e Bezerros'!#REF!-'Vacas e Bezerros'!#REF!)^2)</f>
        <v>#REF!</v>
      </c>
      <c r="FC16" s="16" t="e">
        <f>((FD15+('Vacas e Bezerros'!#REF!-(FD15*0.64))/0.8)/1000)-'Vacas e Bezerros'!#REF!</f>
        <v>#REF!</v>
      </c>
      <c r="FD16" s="17" t="e">
        <f>-53.07 + (304.89 * (FC16)) + (90.79 *('Vacas e Bezerros'!#REF!-'Vacas e Bezerros'!#REF!)) - (3.13 * ('Vacas e Bezerros'!#REF!-'Vacas e Bezerros'!#REF!)^2)</f>
        <v>#REF!</v>
      </c>
      <c r="FF16" s="16" t="e">
        <f>((FG15+('Vacas e Bezerros'!#REF!-(FG15*0.64))/0.8)/1000)-'Vacas e Bezerros'!#REF!</f>
        <v>#REF!</v>
      </c>
      <c r="FG16" s="17" t="e">
        <f>-53.07 + (304.89 * (FF16)) + (90.79 *('Vacas e Bezerros'!#REF!-'Vacas e Bezerros'!#REF!)) - (3.13 * ('Vacas e Bezerros'!#REF!-'Vacas e Bezerros'!#REF!)^2)</f>
        <v>#REF!</v>
      </c>
      <c r="FI16" s="16" t="e">
        <f>((FJ15+('Vacas e Bezerros'!#REF!-(FJ15*0.64))/0.8)/1000)-'Vacas e Bezerros'!#REF!</f>
        <v>#REF!</v>
      </c>
      <c r="FJ16" s="17" t="e">
        <f>-53.07 + (304.89 * (FI16)) + (90.79 *('Vacas e Bezerros'!#REF!-'Vacas e Bezerros'!#REF!)) - (3.13 * ('Vacas e Bezerros'!#REF!-'Vacas e Bezerros'!#REF!)^2)</f>
        <v>#REF!</v>
      </c>
      <c r="FL16" s="16" t="e">
        <f>((FM15+('Vacas e Bezerros'!#REF!-(FM15*0.64))/0.8)/1000)-'Vacas e Bezerros'!#REF!</f>
        <v>#REF!</v>
      </c>
      <c r="FM16" s="17" t="e">
        <f>-53.07 + (304.89 * (FL16)) + (90.79 *('Vacas e Bezerros'!#REF!-'Vacas e Bezerros'!#REF!)) - (3.13 * ('Vacas e Bezerros'!#REF!-'Vacas e Bezerros'!#REF!)^2)</f>
        <v>#REF!</v>
      </c>
      <c r="FO16" s="16" t="e">
        <f>((FP15+('Vacas e Bezerros'!#REF!-(FP15*0.64))/0.8)/1000)-'Vacas e Bezerros'!#REF!</f>
        <v>#REF!</v>
      </c>
      <c r="FP16" s="17" t="e">
        <f>-53.07 + (304.89 * (FO16)) + (90.79 *('Vacas e Bezerros'!#REF!-'Vacas e Bezerros'!#REF!)) - (3.13 * ('Vacas e Bezerros'!#REF!-'Vacas e Bezerros'!#REF!)^2)</f>
        <v>#REF!</v>
      </c>
      <c r="FR16" s="16" t="e">
        <f>((FS15+('Vacas e Bezerros'!#REF!-(FS15*0.64))/0.8)/1000)-'Vacas e Bezerros'!#REF!</f>
        <v>#REF!</v>
      </c>
      <c r="FS16" s="17" t="e">
        <f>-53.07 + (304.89 * (FR16)) + (90.79 *('Vacas e Bezerros'!#REF!-'Vacas e Bezerros'!#REF!)) - (3.13 * ('Vacas e Bezerros'!#REF!-'Vacas e Bezerros'!#REF!)^2)</f>
        <v>#REF!</v>
      </c>
      <c r="FU16" s="16" t="e">
        <f>((FV15+('Vacas e Bezerros'!#REF!-(FV15*0.64))/0.8)/1000)-'Vacas e Bezerros'!#REF!</f>
        <v>#REF!</v>
      </c>
      <c r="FV16" s="17" t="e">
        <f>-53.07 + (304.89 * (FU16)) + (90.79 *('Vacas e Bezerros'!#REF!-'Vacas e Bezerros'!#REF!)) - (3.13 * ('Vacas e Bezerros'!#REF!-'Vacas e Bezerros'!#REF!)^2)</f>
        <v>#REF!</v>
      </c>
      <c r="FX16" s="16" t="e">
        <f>((FY15+('Vacas e Bezerros'!#REF!-(FY15*0.64))/0.8)/1000)-'Vacas e Bezerros'!#REF!</f>
        <v>#REF!</v>
      </c>
      <c r="FY16" s="17" t="e">
        <f>-53.07 + (304.89 * (FX16)) + (90.79 *('Vacas e Bezerros'!#REF!-'Vacas e Bezerros'!#REF!)) - (3.13 * ('Vacas e Bezerros'!#REF!-'Vacas e Bezerros'!#REF!)^2)</f>
        <v>#REF!</v>
      </c>
      <c r="GA16" s="16" t="e">
        <f>((GB15+('Vacas e Bezerros'!#REF!-(GB15*0.64))/0.8)/1000)-'Vacas e Bezerros'!#REF!</f>
        <v>#REF!</v>
      </c>
      <c r="GB16" s="17" t="e">
        <f>-53.07 + (304.89 * (GA16)) + (90.79 *('Vacas e Bezerros'!#REF!-'Vacas e Bezerros'!#REF!)) - (3.13 * ('Vacas e Bezerros'!#REF!-'Vacas e Bezerros'!#REF!)^2)</f>
        <v>#REF!</v>
      </c>
      <c r="GD16" s="16" t="e">
        <f>((GE15+('Vacas e Bezerros'!#REF!-(GE15*0.64))/0.8)/1000)-'Vacas e Bezerros'!#REF!</f>
        <v>#REF!</v>
      </c>
      <c r="GE16" s="17" t="e">
        <f>-53.07 + (304.89 * (GD16)) + (90.79 *('Vacas e Bezerros'!#REF!-'Vacas e Bezerros'!#REF!)) - (3.13 * ('Vacas e Bezerros'!#REF!-'Vacas e Bezerros'!#REF!)^2)</f>
        <v>#REF!</v>
      </c>
      <c r="GG16" s="16" t="e">
        <f>((GH15+('Vacas e Bezerros'!#REF!-(GH15*0.64))/0.8)/1000)-'Vacas e Bezerros'!#REF!</f>
        <v>#REF!</v>
      </c>
      <c r="GH16" s="17" t="e">
        <f>-53.07 + (304.89 * (GG16)) + (90.79 *('Vacas e Bezerros'!#REF!-'Vacas e Bezerros'!#REF!)) - (3.13 * ('Vacas e Bezerros'!#REF!-'Vacas e Bezerros'!#REF!)^2)</f>
        <v>#REF!</v>
      </c>
      <c r="GJ16" s="16" t="e">
        <f>((GK15+('Vacas e Bezerros'!#REF!-(GK15*0.64))/0.8)/1000)-'Vacas e Bezerros'!#REF!</f>
        <v>#REF!</v>
      </c>
      <c r="GK16" s="17" t="e">
        <f>-53.07 + (304.89 * (GJ16)) + (90.79 *('Vacas e Bezerros'!#REF!-'Vacas e Bezerros'!#REF!)) - (3.13 * ('Vacas e Bezerros'!#REF!-'Vacas e Bezerros'!#REF!)^2)</f>
        <v>#REF!</v>
      </c>
      <c r="GM16" s="16" t="e">
        <f>((GN15+('Vacas e Bezerros'!#REF!-(GN15*0.64))/0.8)/1000)-'Vacas e Bezerros'!#REF!</f>
        <v>#REF!</v>
      </c>
      <c r="GN16" s="17" t="e">
        <f>-53.07 + (304.89 * (GM16)) + (90.79 *('Vacas e Bezerros'!#REF!-'Vacas e Bezerros'!#REF!)) - (3.13 * ('Vacas e Bezerros'!#REF!-'Vacas e Bezerros'!#REF!)^2)</f>
        <v>#REF!</v>
      </c>
    </row>
    <row r="17" spans="3:196" x14ac:dyDescent="0.25">
      <c r="C17" s="16">
        <f>(D16+('Vacas e Bezerros'!$AA$28-(D16*0.64))/0.8)/1000</f>
        <v>0.35719668016155692</v>
      </c>
      <c r="D17" s="17">
        <f>-53.07 + (304.89 * (C17-'Vacas e Bezerros'!$C$206)) + (90.79 *('Vacas e Bezerros'!$AA$22)) - (3.13 *('Vacas e Bezerros'!$AA$22)^2)</f>
        <v>165.0187645754402</v>
      </c>
      <c r="F17" s="16" t="e">
        <f>(G16+(Crescimento!#REF!-(G16*0.64))/0.8)/1000</f>
        <v>#REF!</v>
      </c>
      <c r="G17" s="17" t="e">
        <f>-53.07 + (304.89 * (F17)) + (90.79 *Crescimento!#REF!) - (3.13 * Crescimento!#REF!*Crescimento!#REF!)</f>
        <v>#REF!</v>
      </c>
      <c r="H17" s="1"/>
      <c r="I17" s="16" t="e">
        <f>(J16+(Crescimento!#REF!-(J16*0.64))/0.8)/1000</f>
        <v>#REF!</v>
      </c>
      <c r="J17" s="17" t="e">
        <f>-53.07 + (304.89 * (I17)) + (90.79 *Crescimento!#REF!) - (3.13 * Crescimento!#REF!*Crescimento!#REF!)</f>
        <v>#REF!</v>
      </c>
      <c r="L17" s="16" t="e">
        <f>(M16+(Crescimento!#REF!-(M16*0.64))/0.8)/1000</f>
        <v>#REF!</v>
      </c>
      <c r="M17" s="17" t="e">
        <f>-53.07 + (304.89 * (L17)) + (90.79 *Crescimento!#REF!) - (3.13 * Crescimento!#REF!*Crescimento!#REF!)</f>
        <v>#REF!</v>
      </c>
      <c r="O17" s="16" t="e">
        <f>(P16+(Crescimento!#REF!-(P16*0.64))/0.8)/1000</f>
        <v>#REF!</v>
      </c>
      <c r="P17" s="17" t="e">
        <f>-53.07 + (304.89 * (O17)) + (90.79 *Crescimento!#REF!) - (3.13 * Crescimento!#REF!*Crescimento!#REF!)</f>
        <v>#REF!</v>
      </c>
      <c r="R17" s="16" t="e">
        <f>(S16+(Crescimento!#REF!-(S16*0.64))/0.8)/1000</f>
        <v>#REF!</v>
      </c>
      <c r="S17" s="17" t="e">
        <f>-53.07 + (304.89 * (R17)) + (90.79 *Crescimento!#REF!) - (3.13 * Crescimento!#REF!*Crescimento!#REF!)</f>
        <v>#REF!</v>
      </c>
      <c r="U17" s="16" t="e">
        <f>(V16+(Crescimento!#REF!-(V16*0.64))/0.8)/1000</f>
        <v>#REF!</v>
      </c>
      <c r="V17" s="17" t="e">
        <f>-53.07 + (304.89 * (U17)) + (90.79 *Crescimento!#REF!) - (3.13 * Crescimento!#REF!*Crescimento!#REF!)</f>
        <v>#REF!</v>
      </c>
      <c r="X17" s="16" t="e">
        <f>(Y16+(Crescimento!#REF!-(Y16*0.64))/0.8)/1000</f>
        <v>#REF!</v>
      </c>
      <c r="Y17" s="17" t="e">
        <f>-53.07 + (304.89 * (X17)) + (90.79 *Crescimento!#REF!) - (3.13 * Crescimento!#REF!*Crescimento!#REF!)</f>
        <v>#REF!</v>
      </c>
      <c r="Z17" s="6"/>
      <c r="AA17" s="16" t="e">
        <f>(AB16+(Crescimento!#REF!-(AB16*0.64))/0.8)/1000</f>
        <v>#REF!</v>
      </c>
      <c r="AB17" s="17" t="e">
        <f>-53.07 + (304.89 * (AA17)) + (90.79 *Crescimento!#REF!) - (3.13 * Crescimento!#REF!*Crescimento!#REF!)</f>
        <v>#REF!</v>
      </c>
      <c r="AC17" s="6"/>
      <c r="AD17" s="16" t="e">
        <f>(AE16+(Crescimento!#REF!-(AE16*0.64))/0.8)/1000</f>
        <v>#REF!</v>
      </c>
      <c r="AE17" s="17" t="e">
        <f>-53.07 + (304.89 * (AD17)) + (90.79 *Crescimento!#REF!) - (3.13 * Crescimento!#REF!*Crescimento!#REF!)</f>
        <v>#REF!</v>
      </c>
      <c r="AF17" s="17"/>
      <c r="AG17" s="16" t="e">
        <f>(AH16+(Crescimento!#REF!-(AH16*0.64))/0.8)/1000</f>
        <v>#REF!</v>
      </c>
      <c r="AH17" s="17" t="e">
        <f>-53.07 + (304.89 * (AG17)) + (90.79 *Crescimento!#REF!) - (3.13 * Crescimento!#REF!*Crescimento!#REF!)</f>
        <v>#REF!</v>
      </c>
      <c r="AJ17" s="16" t="e">
        <f>(AK16+(Crescimento!#REF!-(AK16*0.64))/0.8)/1000</f>
        <v>#REF!</v>
      </c>
      <c r="AK17" s="17" t="e">
        <f>-53.07 + (304.89 * (AJ17)) + (90.79 *Crescimento!#REF!) - (3.13 * Crescimento!#REF!*Crescimento!#REF!)</f>
        <v>#REF!</v>
      </c>
      <c r="AM17" s="16" t="e">
        <f>(AN16+(Crescimento!#REF!-(AN16*0.64))/0.8)/1000</f>
        <v>#REF!</v>
      </c>
      <c r="AN17" s="17" t="e">
        <f>-53.07 + (304.89 * (AM17)) + (90.79 *Crescimento!#REF!) - (3.13 * Crescimento!#REF!*Crescimento!#REF!)</f>
        <v>#REF!</v>
      </c>
      <c r="AP17" s="16" t="e">
        <f>(AQ16+(Crescimento!#REF!-(AQ16*0.64))/0.8)/1000</f>
        <v>#REF!</v>
      </c>
      <c r="AQ17" s="17" t="e">
        <f>-53.07 + (304.89 * (AP17)) + (90.79 *Crescimento!#REF!) - (3.13 * Crescimento!#REF!*Crescimento!#REF!)</f>
        <v>#REF!</v>
      </c>
      <c r="AS17" s="16" t="e">
        <f>(AT16+(Crescimento!#REF!-(AT16*0.64))/0.8)/1000</f>
        <v>#REF!</v>
      </c>
      <c r="AT17" s="17" t="e">
        <f>-53.07 + (304.89 * (AS17)) + (90.79 *Crescimento!#REF!) - (3.13 * Crescimento!#REF!*Crescimento!#REF!)</f>
        <v>#REF!</v>
      </c>
      <c r="AV17" s="16" t="e">
        <f>(AW16+(Crescimento!#REF!-(AW16*0.64))/0.8)/1000</f>
        <v>#REF!</v>
      </c>
      <c r="AW17" s="17" t="e">
        <f>-53.07 + (304.89 * (AV17)) + (90.79 *Crescimento!#REF!) - (3.13 * Crescimento!#REF!*Crescimento!#REF!)</f>
        <v>#REF!</v>
      </c>
      <c r="AY17" s="21" t="e">
        <f>((AZ16+(Crescimento!#REF!-(AZ16*0.64))/0.8)/1000)-Crescimento!#REF!</f>
        <v>#REF!</v>
      </c>
      <c r="AZ17" s="22" t="e">
        <f>-53.07 + (304.89 * (AY17)) + (90.79 *(Crescimento!#REF!-Crescimento!#REF!)) - (3.13 * (Crescimento!#REF!-Crescimento!#REF!)^2)</f>
        <v>#REF!</v>
      </c>
      <c r="BA17" s="23"/>
      <c r="BB17" s="21" t="e">
        <f>((BC16+(Crescimento!#REF!-(BC16*0.64))/0.8)/1000)-Crescimento!#REF!</f>
        <v>#REF!</v>
      </c>
      <c r="BC17" s="22" t="e">
        <f>-53.07 + (304.89 * (BB17)) + (90.79 *(Crescimento!#REF!-Crescimento!#REF!)) - (3.13 * (Crescimento!#REF!-Crescimento!#REF!)^2)</f>
        <v>#REF!</v>
      </c>
      <c r="BD17" s="23"/>
      <c r="BE17" s="21" t="e">
        <f>((BF16+(Crescimento!#REF!-(BF16*0.64))/0.8)/1000)-Crescimento!#REF!</f>
        <v>#REF!</v>
      </c>
      <c r="BF17" s="22" t="e">
        <f>-53.07 + (304.89 * (BE17)) + (90.79 *(Crescimento!#REF!-Crescimento!#REF!)) - (3.13 * (Crescimento!#REF!-Crescimento!#REF!)^2)</f>
        <v>#REF!</v>
      </c>
      <c r="BG17" s="23"/>
      <c r="BH17" s="21" t="e">
        <f>((BI16+(Crescimento!#REF!-(BI16*0.64))/0.8)/1000)-Crescimento!#REF!</f>
        <v>#REF!</v>
      </c>
      <c r="BI17" s="22" t="e">
        <f>-53.07 + (304.89 * (BH17)) + (90.79 *(Crescimento!#REF!-Crescimento!#REF!)) - (3.13 * (Crescimento!#REF!-Crescimento!#REF!)^2)</f>
        <v>#REF!</v>
      </c>
      <c r="BJ17" s="23"/>
      <c r="BK17" s="21" t="e">
        <f>((BL16+(Crescimento!#REF!-(BL16*0.64))/0.8)/1000)-Crescimento!#REF!</f>
        <v>#REF!</v>
      </c>
      <c r="BL17" s="22" t="e">
        <f>-53.07 + (304.89 * (BK17)) + (90.79 *(Crescimento!#REF!-Crescimento!#REF!)) - (3.13 * (Crescimento!#REF!-Crescimento!#REF!)^2)</f>
        <v>#REF!</v>
      </c>
      <c r="BM17" s="23"/>
      <c r="BN17" s="21" t="e">
        <f>((BO16+(Crescimento!#REF!-(BO16*0.64))/0.8)/1000)-Crescimento!#REF!</f>
        <v>#REF!</v>
      </c>
      <c r="BO17" s="22" t="e">
        <f>-53.07 + (304.89 * (BN17)) + (90.79 *(Crescimento!#REF!-Crescimento!#REF!)) - (3.13 * (Crescimento!#REF!-Crescimento!#REF!)^2)</f>
        <v>#REF!</v>
      </c>
      <c r="BP17" s="23"/>
      <c r="BQ17" s="21" t="e">
        <f>((BR16+(Crescimento!#REF!-(BR16*0.64))/0.8)/1000)-Crescimento!#REF!</f>
        <v>#REF!</v>
      </c>
      <c r="BR17" s="22" t="e">
        <f>-53.07 + (304.89 * (BQ17)) + (90.79 *(Crescimento!#REF!-Crescimento!#REF!)) - (3.13 * (Crescimento!#REF!-Crescimento!#REF!)^2)</f>
        <v>#REF!</v>
      </c>
      <c r="BS17" s="23"/>
      <c r="BT17" s="21" t="e">
        <f>((BU16+(Crescimento!#REF!-(BU16*0.64))/0.8)/1000)-Crescimento!#REF!</f>
        <v>#REF!</v>
      </c>
      <c r="BU17" s="22" t="e">
        <f>-53.07 + (304.89 * (BT17)) + (90.79 *(Crescimento!#REF!-Crescimento!#REF!)) - (3.13 * (Crescimento!#REF!-Crescimento!#REF!)^2)</f>
        <v>#REF!</v>
      </c>
      <c r="BV17" s="23"/>
      <c r="BW17" s="21" t="e">
        <f>((BX16+(Crescimento!#REF!-(BX16*0.64))/0.8)/1000)-Crescimento!#REF!</f>
        <v>#REF!</v>
      </c>
      <c r="BX17" s="22" t="e">
        <f>-53.07 + (304.89 * (BW17)) + (90.79 *(Crescimento!#REF!-Crescimento!#REF!)) - (3.13 * (Crescimento!#REF!-Crescimento!#REF!)^2)</f>
        <v>#REF!</v>
      </c>
      <c r="BY17" s="23"/>
      <c r="BZ17" s="21" t="e">
        <f>((CA16+(Crescimento!#REF!-(CA16*0.64))/0.8)/1000)-Crescimento!#REF!</f>
        <v>#REF!</v>
      </c>
      <c r="CA17" s="22" t="e">
        <f>-53.07 + (304.89 * (BZ17)) + (90.79 *(Crescimento!#REF!-Crescimento!#REF!)) - (3.13 * (Crescimento!#REF!-Crescimento!#REF!)^2)</f>
        <v>#REF!</v>
      </c>
      <c r="CB17" s="23"/>
      <c r="CC17" s="21" t="e">
        <f>((CD16+(Crescimento!#REF!-(CD16*0.64))/0.8)/1000)-Crescimento!#REF!</f>
        <v>#REF!</v>
      </c>
      <c r="CD17" s="22" t="e">
        <f>-53.07 + (304.89 * (CC17)) + (90.79 *(Crescimento!#REF!-Crescimento!#REF!)) - (3.13 * (Crescimento!#REF!-Crescimento!#REF!)^2)</f>
        <v>#REF!</v>
      </c>
      <c r="CE17" s="23"/>
      <c r="CF17" s="21" t="e">
        <f>((CG16+(Crescimento!#REF!-(CG16*0.64))/0.8)/1000)-Crescimento!#REF!</f>
        <v>#REF!</v>
      </c>
      <c r="CG17" s="22" t="e">
        <f>-53.07 + (304.89 * (CF17)) + (90.79 *(Crescimento!#REF!-Crescimento!#REF!)) - (3.13 * (Crescimento!#REF!-Crescimento!#REF!)^2)</f>
        <v>#REF!</v>
      </c>
      <c r="CH17" s="23"/>
      <c r="CI17" s="21" t="e">
        <f>((CJ16+(Crescimento!#REF!-(CJ16*0.64))/0.8)/1000)-Crescimento!#REF!</f>
        <v>#REF!</v>
      </c>
      <c r="CJ17" s="22" t="e">
        <f>-53.07 + (304.89 * (CI17)) + (90.79 *(Crescimento!#REF!-Crescimento!#REF!)) - (3.13 * (Crescimento!#REF!-Crescimento!#REF!)^2)</f>
        <v>#REF!</v>
      </c>
      <c r="CK17" s="23"/>
      <c r="CL17" s="21" t="e">
        <f>((CM16+(Crescimento!#REF!-(CM16*0.64))/0.8)/1000)-Crescimento!#REF!</f>
        <v>#REF!</v>
      </c>
      <c r="CM17" s="22" t="e">
        <f>-53.07 + (304.89 * (CL17)) + (90.79 *(Crescimento!#REF!-Crescimento!#REF!)) - (3.13 * (Crescimento!#REF!-Crescimento!#REF!)^2)</f>
        <v>#REF!</v>
      </c>
      <c r="CN17" s="23"/>
      <c r="CO17" s="21" t="e">
        <f>((CP16+(Crescimento!#REF!-(CP16*0.64))/0.8)/1000)-Crescimento!#REF!</f>
        <v>#REF!</v>
      </c>
      <c r="CP17" s="22" t="e">
        <f>-53.07 + (304.89 * (CO17)) + (90.79 *(Crescimento!#REF!-Crescimento!#REF!)) - (3.13 * (Crescimento!#REF!-Crescimento!#REF!)^2)</f>
        <v>#REF!</v>
      </c>
      <c r="CQ17" s="23"/>
      <c r="CR17" s="21" t="e">
        <f>((CS16+(Crescimento!#REF!-(CS16*0.64))/0.8)/1000)-Crescimento!#REF!</f>
        <v>#REF!</v>
      </c>
      <c r="CS17" s="22" t="e">
        <f>-53.07 + (304.89 * (CR17)) + (90.79 *(Crescimento!#REF!-Crescimento!#REF!)) - (3.13 * (Crescimento!#REF!-Crescimento!#REF!)^2)</f>
        <v>#REF!</v>
      </c>
      <c r="CX17" s="16" t="e">
        <f>((CY16+(Crescimento!#REF!-(CY16*0.64))/0.8)/1000)-Crescimento!#REF!</f>
        <v>#REF!</v>
      </c>
      <c r="CY17" s="17" t="e">
        <f>-53.07 + (304.89 * (CX17)) + (90.79 *(Crescimento!#REF!-Crescimento!#REF!)) - (3.13 * (Crescimento!#REF!-Crescimento!#REF!)^2)</f>
        <v>#REF!</v>
      </c>
      <c r="DA17" s="16" t="e">
        <f>((DB16+(Crescimento!#REF!-(DB16*0.64))/0.8)/1000)-Crescimento!#REF!</f>
        <v>#REF!</v>
      </c>
      <c r="DB17" s="17" t="e">
        <f>-53.07 + (304.89 * (DA17)) + (90.79 *(Crescimento!#REF!-Crescimento!#REF!)) - (3.13 * (Crescimento!#REF!-Crescimento!#REF!)^2)</f>
        <v>#REF!</v>
      </c>
      <c r="DD17" s="16" t="e">
        <f>(DE16+(Crescimento!#REF!-(DE16*0.64))/0.8)/1000</f>
        <v>#REF!</v>
      </c>
      <c r="DE17" s="17" t="e">
        <f>-53.07 + (304.89 * (DD17)) + (90.79 *Crescimento!#REF!) - (3.13 * Crescimento!#REF!*Crescimento!#REF!)</f>
        <v>#REF!</v>
      </c>
      <c r="DG17" s="16" t="e">
        <f>((DH16+(Crescimento!#REF!-(DH16*0.64))/0.8)/1000)-Crescimento!#REF!</f>
        <v>#REF!</v>
      </c>
      <c r="DH17" s="17" t="e">
        <f>-53.07 + (304.89 * (DG17)) + (90.79 *(Crescimento!#REF!-Crescimento!#REF!)) - (3.13 * (Crescimento!#REF!-Crescimento!#REF!)^2)</f>
        <v>#REF!</v>
      </c>
      <c r="DJ17" s="16" t="e">
        <f>((DK16+(Crescimento!#REF!-(DK16*0.64))/0.8)/1000)-Crescimento!#REF!</f>
        <v>#REF!</v>
      </c>
      <c r="DK17" s="17" t="e">
        <f>-53.07 + (304.89 * (DJ17)) + (90.79 *(Crescimento!#REF!-Crescimento!#REF!)) - (3.13 * (Crescimento!#REF!-Crescimento!#REF!)^2)</f>
        <v>#REF!</v>
      </c>
      <c r="DM17" s="16" t="e">
        <f>((DN16+(Crescimento!#REF!-(DN16*0.64))/0.8)/1000)-Crescimento!#REF!</f>
        <v>#REF!</v>
      </c>
      <c r="DN17" s="17" t="e">
        <f>-53.07 + (304.89 * (DM17)) + (90.79 *(Crescimento!#REF!-Crescimento!#REF!)) - (3.13 * (Crescimento!#REF!-Crescimento!#REF!)^2)</f>
        <v>#REF!</v>
      </c>
      <c r="DP17" s="16" t="e">
        <f>(DQ16+(Crescimento!#REF!-(DQ16*0.64))/0.8)/1000</f>
        <v>#REF!</v>
      </c>
      <c r="DQ17" s="17" t="e">
        <f>-53.07 + (304.89 * (DP17)) + (90.79 *(Crescimento!#REF!-Crescimento!#REF!)) - (3.13 * (Crescimento!#REF!-Crescimento!#REF!)^2)</f>
        <v>#REF!</v>
      </c>
      <c r="DS17" s="16" t="e">
        <f>((DT16+(Crescimento!#REF!-(DT16*0.64))/0.8)/1000)-Crescimento!#REF!</f>
        <v>#REF!</v>
      </c>
      <c r="DT17" s="17" t="e">
        <f>-53.07 + (304.89 * (DS17)) + (90.79 *(Crescimento!#REF!-Crescimento!#REF!)) - (3.13 * (Crescimento!#REF!-Crescimento!#REF!)^2)</f>
        <v>#REF!</v>
      </c>
      <c r="DV17" s="16" t="e">
        <f>((DW16+(Crescimento!#REF!-(DW16*0.64))/0.8)/1000)-Crescimento!#REF!</f>
        <v>#REF!</v>
      </c>
      <c r="DW17" s="17" t="e">
        <f>-53.07 + (304.89 * (DV17)) + (90.79 *(Crescimento!#REF!-Crescimento!#REF!)) - (3.13 * (Crescimento!#REF!-Crescimento!#REF!)^2)</f>
        <v>#REF!</v>
      </c>
      <c r="DY17" s="16" t="e">
        <f>((DZ16+(Crescimento!#REF!-(DZ16*0.64))/0.8)/1000)-Crescimento!#REF!</f>
        <v>#REF!</v>
      </c>
      <c r="DZ17" s="17" t="e">
        <f>-53.07 + (304.89 * (DY17)) + (90.79 *(Crescimento!#REF!-Crescimento!#REF!)) - (3.13 * (Crescimento!#REF!-Crescimento!#REF!)^2)</f>
        <v>#REF!</v>
      </c>
      <c r="EB17" s="16" t="e">
        <f>((EC16+(Crescimento!#REF!-(EC16*0.64))/0.8)/1000)-Crescimento!#REF!</f>
        <v>#REF!</v>
      </c>
      <c r="EC17" s="17" t="e">
        <f>-53.07 + (304.89 * (EB17)) + (90.79 *(Crescimento!#REF!-Crescimento!#REF!)) - (3.13 * (Crescimento!#REF!-Crescimento!#REF!)^2)</f>
        <v>#REF!</v>
      </c>
      <c r="EE17" s="16" t="e">
        <f>((EF16+(Crescimento!#REF!-(EF16*0.64))/0.8)/1000)-Crescimento!#REF!</f>
        <v>#REF!</v>
      </c>
      <c r="EF17" s="17" t="e">
        <f>-53.07 + (304.89 * (EE17)) + (90.79 *(Crescimento!#REF!-Crescimento!#REF!)) - (3.13 * (Crescimento!#REF!-Crescimento!#REF!)^2)</f>
        <v>#REF!</v>
      </c>
      <c r="EH17" s="16" t="e">
        <f>((EI16+(Crescimento!#REF!-(EI16*0.64))/0.8)/1000)-Crescimento!#REF!</f>
        <v>#REF!</v>
      </c>
      <c r="EI17" s="17" t="e">
        <f>-53.07 + (304.89 * (EH17)) + (90.79 *(Crescimento!#REF!-Crescimento!#REF!)) - (3.13 * (Crescimento!#REF!-Crescimento!#REF!)^2)</f>
        <v>#REF!</v>
      </c>
      <c r="EK17" s="16" t="e">
        <f>((EL16+(Crescimento!#REF!-(EL16*0.64))/0.8)/1000)-Crescimento!#REF!</f>
        <v>#REF!</v>
      </c>
      <c r="EL17" s="17" t="e">
        <f>-53.07 + (304.89 * (EK17)) + (90.79 *(Crescimento!#REF!-Crescimento!#REF!)) - (3.13 * (Crescimento!#REF!-Crescimento!#REF!)^2)</f>
        <v>#REF!</v>
      </c>
      <c r="EN17" s="16" t="e">
        <f>((EO16+(Crescimento!#REF!-(EO16*0.64))/0.8)/1000)-Crescimento!#REF!</f>
        <v>#REF!</v>
      </c>
      <c r="EO17" s="17" t="e">
        <f>-53.07 + (304.89 * (EN17)) + (90.79 *(Crescimento!#REF!-Crescimento!#REF!)) - (3.13 * (Crescimento!#REF!-Crescimento!#REF!)^2)</f>
        <v>#REF!</v>
      </c>
      <c r="EQ17" s="16" t="e">
        <f>((ER16+(Crescimento!#REF!-(ER16*0.64))/0.8)/1000)-Crescimento!#REF!</f>
        <v>#REF!</v>
      </c>
      <c r="ER17" s="17" t="e">
        <f>-53.07 + (304.89 * (EQ17)) + (90.79 *(Crescimento!#REF!-Crescimento!#REF!)) - (3.13 * (Crescimento!#REF!-Crescimento!#REF!)^2)</f>
        <v>#REF!</v>
      </c>
      <c r="ET17" s="16" t="e">
        <f>((EU16+(Crescimento!#REF!-(EU16*0.64))/0.8)/1000)-Crescimento!#REF!</f>
        <v>#REF!</v>
      </c>
      <c r="EU17" s="17" t="e">
        <f>-53.07 + (304.89 * (ET17)) + (90.79 *(Crescimento!#REF!-Crescimento!#REF!)) - (3.13 * (Crescimento!#REF!-Crescimento!#REF!)^2)</f>
        <v>#REF!</v>
      </c>
      <c r="EW17" s="16" t="e">
        <f>((EX16+('Vacas e Bezerros'!#REF!-(EX16*0.64))/0.8)/1000)-'Vacas e Bezerros'!#REF!</f>
        <v>#REF!</v>
      </c>
      <c r="EX17" s="17" t="e">
        <f>-53.07 + (304.89 * (EW17)) + (90.79 *('Vacas e Bezerros'!#REF!-'Vacas e Bezerros'!#REF!)) - (3.13 * ('Vacas e Bezerros'!#REF!-'Vacas e Bezerros'!#REF!)^2)</f>
        <v>#REF!</v>
      </c>
      <c r="EZ17" s="16" t="e">
        <f>((FA16+('Vacas e Bezerros'!#REF!-(FA16*0.64))/0.8)/1000)-'Vacas e Bezerros'!#REF!</f>
        <v>#REF!</v>
      </c>
      <c r="FA17" s="17" t="e">
        <f>-53.07 + (304.89 * (EZ17)) + (90.79 *('Vacas e Bezerros'!#REF!-'Vacas e Bezerros'!#REF!)) - (3.13 * ('Vacas e Bezerros'!#REF!-'Vacas e Bezerros'!#REF!)^2)</f>
        <v>#REF!</v>
      </c>
      <c r="FC17" s="16" t="e">
        <f>((FD16+('Vacas e Bezerros'!#REF!-(FD16*0.64))/0.8)/1000)-'Vacas e Bezerros'!#REF!</f>
        <v>#REF!</v>
      </c>
      <c r="FD17" s="17" t="e">
        <f>-53.07 + (304.89 * (FC17)) + (90.79 *('Vacas e Bezerros'!#REF!-'Vacas e Bezerros'!#REF!)) - (3.13 * ('Vacas e Bezerros'!#REF!-'Vacas e Bezerros'!#REF!)^2)</f>
        <v>#REF!</v>
      </c>
      <c r="FF17" s="16" t="e">
        <f>((FG16+('Vacas e Bezerros'!#REF!-(FG16*0.64))/0.8)/1000)-'Vacas e Bezerros'!#REF!</f>
        <v>#REF!</v>
      </c>
      <c r="FG17" s="17" t="e">
        <f>-53.07 + (304.89 * (FF17)) + (90.79 *('Vacas e Bezerros'!#REF!-'Vacas e Bezerros'!#REF!)) - (3.13 * ('Vacas e Bezerros'!#REF!-'Vacas e Bezerros'!#REF!)^2)</f>
        <v>#REF!</v>
      </c>
      <c r="FI17" s="16" t="e">
        <f>((FJ16+('Vacas e Bezerros'!#REF!-(FJ16*0.64))/0.8)/1000)-'Vacas e Bezerros'!#REF!</f>
        <v>#REF!</v>
      </c>
      <c r="FJ17" s="17" t="e">
        <f>-53.07 + (304.89 * (FI17)) + (90.79 *('Vacas e Bezerros'!#REF!-'Vacas e Bezerros'!#REF!)) - (3.13 * ('Vacas e Bezerros'!#REF!-'Vacas e Bezerros'!#REF!)^2)</f>
        <v>#REF!</v>
      </c>
      <c r="FL17" s="16" t="e">
        <f>((FM16+('Vacas e Bezerros'!#REF!-(FM16*0.64))/0.8)/1000)-'Vacas e Bezerros'!#REF!</f>
        <v>#REF!</v>
      </c>
      <c r="FM17" s="17" t="e">
        <f>-53.07 + (304.89 * (FL17)) + (90.79 *('Vacas e Bezerros'!#REF!-'Vacas e Bezerros'!#REF!)) - (3.13 * ('Vacas e Bezerros'!#REF!-'Vacas e Bezerros'!#REF!)^2)</f>
        <v>#REF!</v>
      </c>
      <c r="FO17" s="16" t="e">
        <f>((FP16+('Vacas e Bezerros'!#REF!-(FP16*0.64))/0.8)/1000)-'Vacas e Bezerros'!#REF!</f>
        <v>#REF!</v>
      </c>
      <c r="FP17" s="17" t="e">
        <f>-53.07 + (304.89 * (FO17)) + (90.79 *('Vacas e Bezerros'!#REF!-'Vacas e Bezerros'!#REF!)) - (3.13 * ('Vacas e Bezerros'!#REF!-'Vacas e Bezerros'!#REF!)^2)</f>
        <v>#REF!</v>
      </c>
      <c r="FR17" s="16" t="e">
        <f>((FS16+('Vacas e Bezerros'!#REF!-(FS16*0.64))/0.8)/1000)-'Vacas e Bezerros'!#REF!</f>
        <v>#REF!</v>
      </c>
      <c r="FS17" s="17" t="e">
        <f>-53.07 + (304.89 * (FR17)) + (90.79 *('Vacas e Bezerros'!#REF!-'Vacas e Bezerros'!#REF!)) - (3.13 * ('Vacas e Bezerros'!#REF!-'Vacas e Bezerros'!#REF!)^2)</f>
        <v>#REF!</v>
      </c>
      <c r="FU17" s="16" t="e">
        <f>((FV16+('Vacas e Bezerros'!#REF!-(FV16*0.64))/0.8)/1000)-'Vacas e Bezerros'!#REF!</f>
        <v>#REF!</v>
      </c>
      <c r="FV17" s="17" t="e">
        <f>-53.07 + (304.89 * (FU17)) + (90.79 *('Vacas e Bezerros'!#REF!-'Vacas e Bezerros'!#REF!)) - (3.13 * ('Vacas e Bezerros'!#REF!-'Vacas e Bezerros'!#REF!)^2)</f>
        <v>#REF!</v>
      </c>
      <c r="FX17" s="16" t="e">
        <f>((FY16+('Vacas e Bezerros'!#REF!-(FY16*0.64))/0.8)/1000)-'Vacas e Bezerros'!#REF!</f>
        <v>#REF!</v>
      </c>
      <c r="FY17" s="17" t="e">
        <f>-53.07 + (304.89 * (FX17)) + (90.79 *('Vacas e Bezerros'!#REF!-'Vacas e Bezerros'!#REF!)) - (3.13 * ('Vacas e Bezerros'!#REF!-'Vacas e Bezerros'!#REF!)^2)</f>
        <v>#REF!</v>
      </c>
      <c r="GA17" s="16" t="e">
        <f>((GB16+('Vacas e Bezerros'!#REF!-(GB16*0.64))/0.8)/1000)-'Vacas e Bezerros'!#REF!</f>
        <v>#REF!</v>
      </c>
      <c r="GB17" s="17" t="e">
        <f>-53.07 + (304.89 * (GA17)) + (90.79 *('Vacas e Bezerros'!#REF!-'Vacas e Bezerros'!#REF!)) - (3.13 * ('Vacas e Bezerros'!#REF!-'Vacas e Bezerros'!#REF!)^2)</f>
        <v>#REF!</v>
      </c>
      <c r="GD17" s="16" t="e">
        <f>((GE16+('Vacas e Bezerros'!#REF!-(GE16*0.64))/0.8)/1000)-'Vacas e Bezerros'!#REF!</f>
        <v>#REF!</v>
      </c>
      <c r="GE17" s="17" t="e">
        <f>-53.07 + (304.89 * (GD17)) + (90.79 *('Vacas e Bezerros'!#REF!-'Vacas e Bezerros'!#REF!)) - (3.13 * ('Vacas e Bezerros'!#REF!-'Vacas e Bezerros'!#REF!)^2)</f>
        <v>#REF!</v>
      </c>
      <c r="GG17" s="16" t="e">
        <f>((GH16+('Vacas e Bezerros'!#REF!-(GH16*0.64))/0.8)/1000)-'Vacas e Bezerros'!#REF!</f>
        <v>#REF!</v>
      </c>
      <c r="GH17" s="17" t="e">
        <f>-53.07 + (304.89 * (GG17)) + (90.79 *('Vacas e Bezerros'!#REF!-'Vacas e Bezerros'!#REF!)) - (3.13 * ('Vacas e Bezerros'!#REF!-'Vacas e Bezerros'!#REF!)^2)</f>
        <v>#REF!</v>
      </c>
      <c r="GJ17" s="16" t="e">
        <f>((GK16+('Vacas e Bezerros'!#REF!-(GK16*0.64))/0.8)/1000)-'Vacas e Bezerros'!#REF!</f>
        <v>#REF!</v>
      </c>
      <c r="GK17" s="17" t="e">
        <f>-53.07 + (304.89 * (GJ17)) + (90.79 *('Vacas e Bezerros'!#REF!-'Vacas e Bezerros'!#REF!)) - (3.13 * ('Vacas e Bezerros'!#REF!-'Vacas e Bezerros'!#REF!)^2)</f>
        <v>#REF!</v>
      </c>
      <c r="GM17" s="16" t="e">
        <f>((GN16+('Vacas e Bezerros'!#REF!-(GN16*0.64))/0.8)/1000)-'Vacas e Bezerros'!#REF!</f>
        <v>#REF!</v>
      </c>
      <c r="GN17" s="17" t="e">
        <f>-53.07 + (304.89 * (GM17)) + (90.79 *('Vacas e Bezerros'!#REF!-'Vacas e Bezerros'!#REF!)) - (3.13 * ('Vacas e Bezerros'!#REF!-'Vacas e Bezerros'!#REF!)^2)</f>
        <v>#REF!</v>
      </c>
    </row>
    <row r="18" spans="3:196" x14ac:dyDescent="0.25">
      <c r="C18" s="16">
        <f>(D17+('Vacas e Bezerros'!$AA$28-(D17*0.64))/0.8)/1000</f>
        <v>0.35719668016155687</v>
      </c>
      <c r="D18" s="17">
        <f>-53.07 + (304.89 * (C18-'Vacas e Bezerros'!$C$206)) + (90.79 *('Vacas e Bezerros'!$AA$22)) - (3.13 *('Vacas e Bezerros'!$AA$22)^2)</f>
        <v>165.01876457544017</v>
      </c>
      <c r="F18" s="16" t="e">
        <f>(G17+(Crescimento!#REF!-(G17*0.64))/0.8)/1000</f>
        <v>#REF!</v>
      </c>
      <c r="G18" s="17" t="e">
        <f>-53.07 + (304.89 * (F18)) + (90.79 *Crescimento!#REF!) - (3.13 * Crescimento!#REF!*Crescimento!#REF!)</f>
        <v>#REF!</v>
      </c>
      <c r="H18" s="1"/>
      <c r="I18" s="16" t="e">
        <f>(J17+(Crescimento!#REF!-(J17*0.64))/0.8)/1000</f>
        <v>#REF!</v>
      </c>
      <c r="J18" s="17" t="e">
        <f>-53.07 + (304.89 * (I18)) + (90.79 *Crescimento!#REF!) - (3.13 * Crescimento!#REF!*Crescimento!#REF!)</f>
        <v>#REF!</v>
      </c>
      <c r="L18" s="16" t="e">
        <f>(M17+(Crescimento!#REF!-(M17*0.64))/0.8)/1000</f>
        <v>#REF!</v>
      </c>
      <c r="M18" s="17" t="e">
        <f>-53.07 + (304.89 * (L18)) + (90.79 *Crescimento!#REF!) - (3.13 * Crescimento!#REF!*Crescimento!#REF!)</f>
        <v>#REF!</v>
      </c>
      <c r="O18" s="16" t="e">
        <f>(P17+(Crescimento!#REF!-(P17*0.64))/0.8)/1000</f>
        <v>#REF!</v>
      </c>
      <c r="P18" s="17" t="e">
        <f>-53.07 + (304.89 * (O18)) + (90.79 *Crescimento!#REF!) - (3.13 * Crescimento!#REF!*Crescimento!#REF!)</f>
        <v>#REF!</v>
      </c>
      <c r="R18" s="16" t="e">
        <f>(S17+(Crescimento!#REF!-(S17*0.64))/0.8)/1000</f>
        <v>#REF!</v>
      </c>
      <c r="S18" s="17" t="e">
        <f>-53.07 + (304.89 * (R18)) + (90.79 *Crescimento!#REF!) - (3.13 * Crescimento!#REF!*Crescimento!#REF!)</f>
        <v>#REF!</v>
      </c>
      <c r="U18" s="16" t="e">
        <f>(V17+(Crescimento!#REF!-(V17*0.64))/0.8)/1000</f>
        <v>#REF!</v>
      </c>
      <c r="V18" s="17" t="e">
        <f>-53.07 + (304.89 * (U18)) + (90.79 *Crescimento!#REF!) - (3.13 * Crescimento!#REF!*Crescimento!#REF!)</f>
        <v>#REF!</v>
      </c>
      <c r="X18" s="16" t="e">
        <f>(Y17+(Crescimento!#REF!-(Y17*0.64))/0.8)/1000</f>
        <v>#REF!</v>
      </c>
      <c r="Y18" s="17" t="e">
        <f>-53.07 + (304.89 * (X18)) + (90.79 *Crescimento!#REF!) - (3.13 * Crescimento!#REF!*Crescimento!#REF!)</f>
        <v>#REF!</v>
      </c>
      <c r="Z18" s="6"/>
      <c r="AA18" s="16" t="e">
        <f>(AB17+(Crescimento!#REF!-(AB17*0.64))/0.8)/1000</f>
        <v>#REF!</v>
      </c>
      <c r="AB18" s="17" t="e">
        <f>-53.07 + (304.89 * (AA18)) + (90.79 *Crescimento!#REF!) - (3.13 * Crescimento!#REF!*Crescimento!#REF!)</f>
        <v>#REF!</v>
      </c>
      <c r="AC18" s="6"/>
      <c r="AD18" s="16" t="e">
        <f>(AE17+(Crescimento!#REF!-(AE17*0.64))/0.8)/1000</f>
        <v>#REF!</v>
      </c>
      <c r="AE18" s="17" t="e">
        <f>-53.07 + (304.89 * (AD18)) + (90.79 *Crescimento!#REF!) - (3.13 * Crescimento!#REF!*Crescimento!#REF!)</f>
        <v>#REF!</v>
      </c>
      <c r="AF18" s="17"/>
      <c r="AG18" s="16" t="e">
        <f>(AH17+(Crescimento!#REF!-(AH17*0.64))/0.8)/1000</f>
        <v>#REF!</v>
      </c>
      <c r="AH18" s="17" t="e">
        <f>-53.07 + (304.89 * (AG18)) + (90.79 *Crescimento!#REF!) - (3.13 * Crescimento!#REF!*Crescimento!#REF!)</f>
        <v>#REF!</v>
      </c>
      <c r="AJ18" s="16" t="e">
        <f>(AK17+(Crescimento!#REF!-(AK17*0.64))/0.8)/1000</f>
        <v>#REF!</v>
      </c>
      <c r="AK18" s="17" t="e">
        <f>-53.07 + (304.89 * (AJ18)) + (90.79 *Crescimento!#REF!) - (3.13 * Crescimento!#REF!*Crescimento!#REF!)</f>
        <v>#REF!</v>
      </c>
      <c r="AM18" s="16" t="e">
        <f>(AN17+(Crescimento!#REF!-(AN17*0.64))/0.8)/1000</f>
        <v>#REF!</v>
      </c>
      <c r="AN18" s="17" t="e">
        <f>-53.07 + (304.89 * (AM18)) + (90.79 *Crescimento!#REF!) - (3.13 * Crescimento!#REF!*Crescimento!#REF!)</f>
        <v>#REF!</v>
      </c>
      <c r="AP18" s="16" t="e">
        <f>(AQ17+(Crescimento!#REF!-(AQ17*0.64))/0.8)/1000</f>
        <v>#REF!</v>
      </c>
      <c r="AQ18" s="17" t="e">
        <f>-53.07 + (304.89 * (AP18)) + (90.79 *Crescimento!#REF!) - (3.13 * Crescimento!#REF!*Crescimento!#REF!)</f>
        <v>#REF!</v>
      </c>
      <c r="AS18" s="16" t="e">
        <f>(AT17+(Crescimento!#REF!-(AT17*0.64))/0.8)/1000</f>
        <v>#REF!</v>
      </c>
      <c r="AT18" s="17" t="e">
        <f>-53.07 + (304.89 * (AS18)) + (90.79 *Crescimento!#REF!) - (3.13 * Crescimento!#REF!*Crescimento!#REF!)</f>
        <v>#REF!</v>
      </c>
      <c r="AV18" s="16" t="e">
        <f>(AW17+(Crescimento!#REF!-(AW17*0.64))/0.8)/1000</f>
        <v>#REF!</v>
      </c>
      <c r="AW18" s="17" t="e">
        <f>-53.07 + (304.89 * (AV18)) + (90.79 *Crescimento!#REF!) - (3.13 * Crescimento!#REF!*Crescimento!#REF!)</f>
        <v>#REF!</v>
      </c>
      <c r="AY18" s="21" t="e">
        <f>((AZ17+(Crescimento!#REF!-(AZ17*0.64))/0.8)/1000)-Crescimento!#REF!</f>
        <v>#REF!</v>
      </c>
      <c r="AZ18" s="22" t="e">
        <f>-53.07 + (304.89 * (AY18)) + (90.79 *(Crescimento!#REF!-Crescimento!#REF!)) - (3.13 * (Crescimento!#REF!-Crescimento!#REF!)^2)</f>
        <v>#REF!</v>
      </c>
      <c r="BA18" s="23"/>
      <c r="BB18" s="21" t="e">
        <f>((BC17+(Crescimento!#REF!-(BC17*0.64))/0.8)/1000)-Crescimento!#REF!</f>
        <v>#REF!</v>
      </c>
      <c r="BC18" s="22" t="e">
        <f>-53.07 + (304.89 * (BB18)) + (90.79 *(Crescimento!#REF!-Crescimento!#REF!)) - (3.13 * (Crescimento!#REF!-Crescimento!#REF!)^2)</f>
        <v>#REF!</v>
      </c>
      <c r="BD18" s="23"/>
      <c r="BE18" s="21" t="e">
        <f>((BF17+(Crescimento!#REF!-(BF17*0.64))/0.8)/1000)-Crescimento!#REF!</f>
        <v>#REF!</v>
      </c>
      <c r="BF18" s="22" t="e">
        <f>-53.07 + (304.89 * (BE18)) + (90.79 *(Crescimento!#REF!-Crescimento!#REF!)) - (3.13 * (Crescimento!#REF!-Crescimento!#REF!)^2)</f>
        <v>#REF!</v>
      </c>
      <c r="BG18" s="23"/>
      <c r="BH18" s="21" t="e">
        <f>((BI17+(Crescimento!#REF!-(BI17*0.64))/0.8)/1000)-Crescimento!#REF!</f>
        <v>#REF!</v>
      </c>
      <c r="BI18" s="22" t="e">
        <f>-53.07 + (304.89 * (BH18)) + (90.79 *(Crescimento!#REF!-Crescimento!#REF!)) - (3.13 * (Crescimento!#REF!-Crescimento!#REF!)^2)</f>
        <v>#REF!</v>
      </c>
      <c r="BJ18" s="23"/>
      <c r="BK18" s="21" t="e">
        <f>((BL17+(Crescimento!#REF!-(BL17*0.64))/0.8)/1000)-Crescimento!#REF!</f>
        <v>#REF!</v>
      </c>
      <c r="BL18" s="22" t="e">
        <f>-53.07 + (304.89 * (BK18)) + (90.79 *(Crescimento!#REF!-Crescimento!#REF!)) - (3.13 * (Crescimento!#REF!-Crescimento!#REF!)^2)</f>
        <v>#REF!</v>
      </c>
      <c r="BM18" s="23"/>
      <c r="BN18" s="21" t="e">
        <f>((BO17+(Crescimento!#REF!-(BO17*0.64))/0.8)/1000)-Crescimento!#REF!</f>
        <v>#REF!</v>
      </c>
      <c r="BO18" s="22" t="e">
        <f>-53.07 + (304.89 * (BN18)) + (90.79 *(Crescimento!#REF!-Crescimento!#REF!)) - (3.13 * (Crescimento!#REF!-Crescimento!#REF!)^2)</f>
        <v>#REF!</v>
      </c>
      <c r="BP18" s="23"/>
      <c r="BQ18" s="21" t="e">
        <f>((BR17+(Crescimento!#REF!-(BR17*0.64))/0.8)/1000)-Crescimento!#REF!</f>
        <v>#REF!</v>
      </c>
      <c r="BR18" s="22" t="e">
        <f>-53.07 + (304.89 * (BQ18)) + (90.79 *(Crescimento!#REF!-Crescimento!#REF!)) - (3.13 * (Crescimento!#REF!-Crescimento!#REF!)^2)</f>
        <v>#REF!</v>
      </c>
      <c r="BS18" s="23"/>
      <c r="BT18" s="21" t="e">
        <f>((BU17+(Crescimento!#REF!-(BU17*0.64))/0.8)/1000)-Crescimento!#REF!</f>
        <v>#REF!</v>
      </c>
      <c r="BU18" s="22" t="e">
        <f>-53.07 + (304.89 * (BT18)) + (90.79 *(Crescimento!#REF!-Crescimento!#REF!)) - (3.13 * (Crescimento!#REF!-Crescimento!#REF!)^2)</f>
        <v>#REF!</v>
      </c>
      <c r="BV18" s="23"/>
      <c r="BW18" s="21" t="e">
        <f>((BX17+(Crescimento!#REF!-(BX17*0.64))/0.8)/1000)-Crescimento!#REF!</f>
        <v>#REF!</v>
      </c>
      <c r="BX18" s="22" t="e">
        <f>-53.07 + (304.89 * (BW18)) + (90.79 *(Crescimento!#REF!-Crescimento!#REF!)) - (3.13 * (Crescimento!#REF!-Crescimento!#REF!)^2)</f>
        <v>#REF!</v>
      </c>
      <c r="BY18" s="23"/>
      <c r="BZ18" s="21" t="e">
        <f>((CA17+(Crescimento!#REF!-(CA17*0.64))/0.8)/1000)-Crescimento!#REF!</f>
        <v>#REF!</v>
      </c>
      <c r="CA18" s="22" t="e">
        <f>-53.07 + (304.89 * (BZ18)) + (90.79 *(Crescimento!#REF!-Crescimento!#REF!)) - (3.13 * (Crescimento!#REF!-Crescimento!#REF!)^2)</f>
        <v>#REF!</v>
      </c>
      <c r="CB18" s="23"/>
      <c r="CC18" s="21" t="e">
        <f>((CD17+(Crescimento!#REF!-(CD17*0.64))/0.8)/1000)-Crescimento!#REF!</f>
        <v>#REF!</v>
      </c>
      <c r="CD18" s="22" t="e">
        <f>-53.07 + (304.89 * (CC18)) + (90.79 *(Crescimento!#REF!-Crescimento!#REF!)) - (3.13 * (Crescimento!#REF!-Crescimento!#REF!)^2)</f>
        <v>#REF!</v>
      </c>
      <c r="CE18" s="23"/>
      <c r="CF18" s="21" t="e">
        <f>((CG17+(Crescimento!#REF!-(CG17*0.64))/0.8)/1000)-Crescimento!#REF!</f>
        <v>#REF!</v>
      </c>
      <c r="CG18" s="22" t="e">
        <f>-53.07 + (304.89 * (CF18)) + (90.79 *(Crescimento!#REF!-Crescimento!#REF!)) - (3.13 * (Crescimento!#REF!-Crescimento!#REF!)^2)</f>
        <v>#REF!</v>
      </c>
      <c r="CH18" s="23"/>
      <c r="CI18" s="21" t="e">
        <f>((CJ17+(Crescimento!#REF!-(CJ17*0.64))/0.8)/1000)-Crescimento!#REF!</f>
        <v>#REF!</v>
      </c>
      <c r="CJ18" s="22" t="e">
        <f>-53.07 + (304.89 * (CI18)) + (90.79 *(Crescimento!#REF!-Crescimento!#REF!)) - (3.13 * (Crescimento!#REF!-Crescimento!#REF!)^2)</f>
        <v>#REF!</v>
      </c>
      <c r="CK18" s="23"/>
      <c r="CL18" s="21" t="e">
        <f>((CM17+(Crescimento!#REF!-(CM17*0.64))/0.8)/1000)-Crescimento!#REF!</f>
        <v>#REF!</v>
      </c>
      <c r="CM18" s="22" t="e">
        <f>-53.07 + (304.89 * (CL18)) + (90.79 *(Crescimento!#REF!-Crescimento!#REF!)) - (3.13 * (Crescimento!#REF!-Crescimento!#REF!)^2)</f>
        <v>#REF!</v>
      </c>
      <c r="CN18" s="23"/>
      <c r="CO18" s="21" t="e">
        <f>((CP17+(Crescimento!#REF!-(CP17*0.64))/0.8)/1000)-Crescimento!#REF!</f>
        <v>#REF!</v>
      </c>
      <c r="CP18" s="22" t="e">
        <f>-53.07 + (304.89 * (CO18)) + (90.79 *(Crescimento!#REF!-Crescimento!#REF!)) - (3.13 * (Crescimento!#REF!-Crescimento!#REF!)^2)</f>
        <v>#REF!</v>
      </c>
      <c r="CQ18" s="23"/>
      <c r="CR18" s="21" t="e">
        <f>((CS17+(Crescimento!#REF!-(CS17*0.64))/0.8)/1000)-Crescimento!#REF!</f>
        <v>#REF!</v>
      </c>
      <c r="CS18" s="22" t="e">
        <f>-53.07 + (304.89 * (CR18)) + (90.79 *(Crescimento!#REF!-Crescimento!#REF!)) - (3.13 * (Crescimento!#REF!-Crescimento!#REF!)^2)</f>
        <v>#REF!</v>
      </c>
      <c r="CX18" s="16" t="e">
        <f>((CY17+(Crescimento!#REF!-(CY17*0.64))/0.8)/1000)-Crescimento!#REF!</f>
        <v>#REF!</v>
      </c>
      <c r="CY18" s="17" t="e">
        <f>-53.07 + (304.89 * (CX18)) + (90.79 *(Crescimento!#REF!-Crescimento!#REF!)) - (3.13 * (Crescimento!#REF!-Crescimento!#REF!)^2)</f>
        <v>#REF!</v>
      </c>
      <c r="DA18" s="16" t="e">
        <f>((DB17+(Crescimento!#REF!-(DB17*0.64))/0.8)/1000)-Crescimento!#REF!</f>
        <v>#REF!</v>
      </c>
      <c r="DB18" s="17" t="e">
        <f>-53.07 + (304.89 * (DA18)) + (90.79 *(Crescimento!#REF!-Crescimento!#REF!)) - (3.13 * (Crescimento!#REF!-Crescimento!#REF!)^2)</f>
        <v>#REF!</v>
      </c>
      <c r="DD18" s="16" t="e">
        <f>(DE17+(Crescimento!#REF!-(DE17*0.64))/0.8)/1000</f>
        <v>#REF!</v>
      </c>
      <c r="DE18" s="17" t="e">
        <f>-53.07 + (304.89 * (DD18)) + (90.79 *Crescimento!#REF!) - (3.13 * Crescimento!#REF!*Crescimento!#REF!)</f>
        <v>#REF!</v>
      </c>
      <c r="DG18" s="16" t="e">
        <f>((DH17+(Crescimento!#REF!-(DH17*0.64))/0.8)/1000)-Crescimento!#REF!</f>
        <v>#REF!</v>
      </c>
      <c r="DH18" s="17" t="e">
        <f>-53.07 + (304.89 * (DG18)) + (90.79 *(Crescimento!#REF!-Crescimento!#REF!)) - (3.13 * (Crescimento!#REF!-Crescimento!#REF!)^2)</f>
        <v>#REF!</v>
      </c>
      <c r="DJ18" s="16" t="e">
        <f>((DK17+(Crescimento!#REF!-(DK17*0.64))/0.8)/1000)-Crescimento!#REF!</f>
        <v>#REF!</v>
      </c>
      <c r="DK18" s="17" t="e">
        <f>-53.07 + (304.89 * (DJ18)) + (90.79 *(Crescimento!#REF!-Crescimento!#REF!)) - (3.13 * (Crescimento!#REF!-Crescimento!#REF!)^2)</f>
        <v>#REF!</v>
      </c>
      <c r="DM18" s="16" t="e">
        <f>((DN17+(Crescimento!#REF!-(DN17*0.64))/0.8)/1000)-Crescimento!#REF!</f>
        <v>#REF!</v>
      </c>
      <c r="DN18" s="17" t="e">
        <f>-53.07 + (304.89 * (DM18)) + (90.79 *(Crescimento!#REF!-Crescimento!#REF!)) - (3.13 * (Crescimento!#REF!-Crescimento!#REF!)^2)</f>
        <v>#REF!</v>
      </c>
      <c r="DP18" s="16" t="e">
        <f>(DQ17+(Crescimento!#REF!-(DQ17*0.64))/0.8)/1000</f>
        <v>#REF!</v>
      </c>
      <c r="DQ18" s="17" t="e">
        <f>-53.07 + (304.89 * (DP18)) + (90.79 *(Crescimento!#REF!-Crescimento!#REF!)) - (3.13 * (Crescimento!#REF!-Crescimento!#REF!)^2)</f>
        <v>#REF!</v>
      </c>
      <c r="DS18" s="16" t="e">
        <f>((DT17+(Crescimento!#REF!-(DT17*0.64))/0.8)/1000)-Crescimento!#REF!</f>
        <v>#REF!</v>
      </c>
      <c r="DT18" s="17" t="e">
        <f>-53.07 + (304.89 * (DS18)) + (90.79 *(Crescimento!#REF!-Crescimento!#REF!)) - (3.13 * (Crescimento!#REF!-Crescimento!#REF!)^2)</f>
        <v>#REF!</v>
      </c>
      <c r="DV18" s="16" t="e">
        <f>((DW17+(Crescimento!#REF!-(DW17*0.64))/0.8)/1000)-Crescimento!#REF!</f>
        <v>#REF!</v>
      </c>
      <c r="DW18" s="17" t="e">
        <f>-53.07 + (304.89 * (DV18)) + (90.79 *(Crescimento!#REF!-Crescimento!#REF!)) - (3.13 * (Crescimento!#REF!-Crescimento!#REF!)^2)</f>
        <v>#REF!</v>
      </c>
      <c r="DY18" s="16" t="e">
        <f>((DZ17+(Crescimento!#REF!-(DZ17*0.64))/0.8)/1000)-Crescimento!#REF!</f>
        <v>#REF!</v>
      </c>
      <c r="DZ18" s="17" t="e">
        <f>-53.07 + (304.89 * (DY18)) + (90.79 *(Crescimento!#REF!-Crescimento!#REF!)) - (3.13 * (Crescimento!#REF!-Crescimento!#REF!)^2)</f>
        <v>#REF!</v>
      </c>
      <c r="EB18" s="16" t="e">
        <f>((EC17+(Crescimento!#REF!-(EC17*0.64))/0.8)/1000)-Crescimento!#REF!</f>
        <v>#REF!</v>
      </c>
      <c r="EC18" s="17" t="e">
        <f>-53.07 + (304.89 * (EB18)) + (90.79 *(Crescimento!#REF!-Crescimento!#REF!)) - (3.13 * (Crescimento!#REF!-Crescimento!#REF!)^2)</f>
        <v>#REF!</v>
      </c>
      <c r="EE18" s="16" t="e">
        <f>((EF17+(Crescimento!#REF!-(EF17*0.64))/0.8)/1000)-Crescimento!#REF!</f>
        <v>#REF!</v>
      </c>
      <c r="EF18" s="17" t="e">
        <f>-53.07 + (304.89 * (EE18)) + (90.79 *(Crescimento!#REF!-Crescimento!#REF!)) - (3.13 * (Crescimento!#REF!-Crescimento!#REF!)^2)</f>
        <v>#REF!</v>
      </c>
      <c r="EH18" s="16" t="e">
        <f>((EI17+(Crescimento!#REF!-(EI17*0.64))/0.8)/1000)-Crescimento!#REF!</f>
        <v>#REF!</v>
      </c>
      <c r="EI18" s="17" t="e">
        <f>-53.07 + (304.89 * (EH18)) + (90.79 *(Crescimento!#REF!-Crescimento!#REF!)) - (3.13 * (Crescimento!#REF!-Crescimento!#REF!)^2)</f>
        <v>#REF!</v>
      </c>
      <c r="EK18" s="16" t="e">
        <f>((EL17+(Crescimento!#REF!-(EL17*0.64))/0.8)/1000)-Crescimento!#REF!</f>
        <v>#REF!</v>
      </c>
      <c r="EL18" s="17" t="e">
        <f>-53.07 + (304.89 * (EK18)) + (90.79 *(Crescimento!#REF!-Crescimento!#REF!)) - (3.13 * (Crescimento!#REF!-Crescimento!#REF!)^2)</f>
        <v>#REF!</v>
      </c>
      <c r="EN18" s="16" t="e">
        <f>((EO17+(Crescimento!#REF!-(EO17*0.64))/0.8)/1000)-Crescimento!#REF!</f>
        <v>#REF!</v>
      </c>
      <c r="EO18" s="17" t="e">
        <f>-53.07 + (304.89 * (EN18)) + (90.79 *(Crescimento!#REF!-Crescimento!#REF!)) - (3.13 * (Crescimento!#REF!-Crescimento!#REF!)^2)</f>
        <v>#REF!</v>
      </c>
      <c r="EQ18" s="16" t="e">
        <f>((ER17+(Crescimento!#REF!-(ER17*0.64))/0.8)/1000)-Crescimento!#REF!</f>
        <v>#REF!</v>
      </c>
      <c r="ER18" s="17" t="e">
        <f>-53.07 + (304.89 * (EQ18)) + (90.79 *(Crescimento!#REF!-Crescimento!#REF!)) - (3.13 * (Crescimento!#REF!-Crescimento!#REF!)^2)</f>
        <v>#REF!</v>
      </c>
      <c r="ET18" s="16" t="e">
        <f>((EU17+(Crescimento!#REF!-(EU17*0.64))/0.8)/1000)-Crescimento!#REF!</f>
        <v>#REF!</v>
      </c>
      <c r="EU18" s="17" t="e">
        <f>-53.07 + (304.89 * (ET18)) + (90.79 *(Crescimento!#REF!-Crescimento!#REF!)) - (3.13 * (Crescimento!#REF!-Crescimento!#REF!)^2)</f>
        <v>#REF!</v>
      </c>
      <c r="EW18" s="16" t="e">
        <f>((EX17+('Vacas e Bezerros'!#REF!-(EX17*0.64))/0.8)/1000)-'Vacas e Bezerros'!#REF!</f>
        <v>#REF!</v>
      </c>
      <c r="EX18" s="17" t="e">
        <f>-53.07 + (304.89 * (EW18)) + (90.79 *('Vacas e Bezerros'!#REF!-'Vacas e Bezerros'!#REF!)) - (3.13 * ('Vacas e Bezerros'!#REF!-'Vacas e Bezerros'!#REF!)^2)</f>
        <v>#REF!</v>
      </c>
      <c r="EZ18" s="16" t="e">
        <f>((FA17+('Vacas e Bezerros'!#REF!-(FA17*0.64))/0.8)/1000)-'Vacas e Bezerros'!#REF!</f>
        <v>#REF!</v>
      </c>
      <c r="FA18" s="17" t="e">
        <f>-53.07 + (304.89 * (EZ18)) + (90.79 *('Vacas e Bezerros'!#REF!-'Vacas e Bezerros'!#REF!)) - (3.13 * ('Vacas e Bezerros'!#REF!-'Vacas e Bezerros'!#REF!)^2)</f>
        <v>#REF!</v>
      </c>
      <c r="FC18" s="16" t="e">
        <f>((FD17+('Vacas e Bezerros'!#REF!-(FD17*0.64))/0.8)/1000)-'Vacas e Bezerros'!#REF!</f>
        <v>#REF!</v>
      </c>
      <c r="FD18" s="17" t="e">
        <f>-53.07 + (304.89 * (FC18)) + (90.79 *('Vacas e Bezerros'!#REF!-'Vacas e Bezerros'!#REF!)) - (3.13 * ('Vacas e Bezerros'!#REF!-'Vacas e Bezerros'!#REF!)^2)</f>
        <v>#REF!</v>
      </c>
      <c r="FF18" s="16" t="e">
        <f>((FG17+('Vacas e Bezerros'!#REF!-(FG17*0.64))/0.8)/1000)-'Vacas e Bezerros'!#REF!</f>
        <v>#REF!</v>
      </c>
      <c r="FG18" s="17" t="e">
        <f>-53.07 + (304.89 * (FF18)) + (90.79 *('Vacas e Bezerros'!#REF!-'Vacas e Bezerros'!#REF!)) - (3.13 * ('Vacas e Bezerros'!#REF!-'Vacas e Bezerros'!#REF!)^2)</f>
        <v>#REF!</v>
      </c>
      <c r="FI18" s="16" t="e">
        <f>((FJ17+('Vacas e Bezerros'!#REF!-(FJ17*0.64))/0.8)/1000)-'Vacas e Bezerros'!#REF!</f>
        <v>#REF!</v>
      </c>
      <c r="FJ18" s="17" t="e">
        <f>-53.07 + (304.89 * (FI18)) + (90.79 *('Vacas e Bezerros'!#REF!-'Vacas e Bezerros'!#REF!)) - (3.13 * ('Vacas e Bezerros'!#REF!-'Vacas e Bezerros'!#REF!)^2)</f>
        <v>#REF!</v>
      </c>
      <c r="FL18" s="16" t="e">
        <f>((FM17+('Vacas e Bezerros'!#REF!-(FM17*0.64))/0.8)/1000)-'Vacas e Bezerros'!#REF!</f>
        <v>#REF!</v>
      </c>
      <c r="FM18" s="17" t="e">
        <f>-53.07 + (304.89 * (FL18)) + (90.79 *('Vacas e Bezerros'!#REF!-'Vacas e Bezerros'!#REF!)) - (3.13 * ('Vacas e Bezerros'!#REF!-'Vacas e Bezerros'!#REF!)^2)</f>
        <v>#REF!</v>
      </c>
      <c r="FO18" s="16" t="e">
        <f>((FP17+('Vacas e Bezerros'!#REF!-(FP17*0.64))/0.8)/1000)-'Vacas e Bezerros'!#REF!</f>
        <v>#REF!</v>
      </c>
      <c r="FP18" s="17" t="e">
        <f>-53.07 + (304.89 * (FO18)) + (90.79 *('Vacas e Bezerros'!#REF!-'Vacas e Bezerros'!#REF!)) - (3.13 * ('Vacas e Bezerros'!#REF!-'Vacas e Bezerros'!#REF!)^2)</f>
        <v>#REF!</v>
      </c>
      <c r="FR18" s="16" t="e">
        <f>((FS17+('Vacas e Bezerros'!#REF!-(FS17*0.64))/0.8)/1000)-'Vacas e Bezerros'!#REF!</f>
        <v>#REF!</v>
      </c>
      <c r="FS18" s="17" t="e">
        <f>-53.07 + (304.89 * (FR18)) + (90.79 *('Vacas e Bezerros'!#REF!-'Vacas e Bezerros'!#REF!)) - (3.13 * ('Vacas e Bezerros'!#REF!-'Vacas e Bezerros'!#REF!)^2)</f>
        <v>#REF!</v>
      </c>
      <c r="FU18" s="16" t="e">
        <f>((FV17+('Vacas e Bezerros'!#REF!-(FV17*0.64))/0.8)/1000)-'Vacas e Bezerros'!#REF!</f>
        <v>#REF!</v>
      </c>
      <c r="FV18" s="17" t="e">
        <f>-53.07 + (304.89 * (FU18)) + (90.79 *('Vacas e Bezerros'!#REF!-'Vacas e Bezerros'!#REF!)) - (3.13 * ('Vacas e Bezerros'!#REF!-'Vacas e Bezerros'!#REF!)^2)</f>
        <v>#REF!</v>
      </c>
      <c r="FX18" s="16" t="e">
        <f>((FY17+('Vacas e Bezerros'!#REF!-(FY17*0.64))/0.8)/1000)-'Vacas e Bezerros'!#REF!</f>
        <v>#REF!</v>
      </c>
      <c r="FY18" s="17" t="e">
        <f>-53.07 + (304.89 * (FX18)) + (90.79 *('Vacas e Bezerros'!#REF!-'Vacas e Bezerros'!#REF!)) - (3.13 * ('Vacas e Bezerros'!#REF!-'Vacas e Bezerros'!#REF!)^2)</f>
        <v>#REF!</v>
      </c>
      <c r="GA18" s="16" t="e">
        <f>((GB17+('Vacas e Bezerros'!#REF!-(GB17*0.64))/0.8)/1000)-'Vacas e Bezerros'!#REF!</f>
        <v>#REF!</v>
      </c>
      <c r="GB18" s="17" t="e">
        <f>-53.07 + (304.89 * (GA18)) + (90.79 *('Vacas e Bezerros'!#REF!-'Vacas e Bezerros'!#REF!)) - (3.13 * ('Vacas e Bezerros'!#REF!-'Vacas e Bezerros'!#REF!)^2)</f>
        <v>#REF!</v>
      </c>
      <c r="GD18" s="16" t="e">
        <f>((GE17+('Vacas e Bezerros'!#REF!-(GE17*0.64))/0.8)/1000)-'Vacas e Bezerros'!#REF!</f>
        <v>#REF!</v>
      </c>
      <c r="GE18" s="17" t="e">
        <f>-53.07 + (304.89 * (GD18)) + (90.79 *('Vacas e Bezerros'!#REF!-'Vacas e Bezerros'!#REF!)) - (3.13 * ('Vacas e Bezerros'!#REF!-'Vacas e Bezerros'!#REF!)^2)</f>
        <v>#REF!</v>
      </c>
      <c r="GG18" s="16" t="e">
        <f>((GH17+('Vacas e Bezerros'!#REF!-(GH17*0.64))/0.8)/1000)-'Vacas e Bezerros'!#REF!</f>
        <v>#REF!</v>
      </c>
      <c r="GH18" s="17" t="e">
        <f>-53.07 + (304.89 * (GG18)) + (90.79 *('Vacas e Bezerros'!#REF!-'Vacas e Bezerros'!#REF!)) - (3.13 * ('Vacas e Bezerros'!#REF!-'Vacas e Bezerros'!#REF!)^2)</f>
        <v>#REF!</v>
      </c>
      <c r="GJ18" s="16" t="e">
        <f>((GK17+('Vacas e Bezerros'!#REF!-(GK17*0.64))/0.8)/1000)-'Vacas e Bezerros'!#REF!</f>
        <v>#REF!</v>
      </c>
      <c r="GK18" s="17" t="e">
        <f>-53.07 + (304.89 * (GJ18)) + (90.79 *('Vacas e Bezerros'!#REF!-'Vacas e Bezerros'!#REF!)) - (3.13 * ('Vacas e Bezerros'!#REF!-'Vacas e Bezerros'!#REF!)^2)</f>
        <v>#REF!</v>
      </c>
      <c r="GM18" s="16" t="e">
        <f>((GN17+('Vacas e Bezerros'!#REF!-(GN17*0.64))/0.8)/1000)-'Vacas e Bezerros'!#REF!</f>
        <v>#REF!</v>
      </c>
      <c r="GN18" s="17" t="e">
        <f>-53.07 + (304.89 * (GM18)) + (90.79 *('Vacas e Bezerros'!#REF!-'Vacas e Bezerros'!#REF!)) - (3.13 * ('Vacas e Bezerros'!#REF!-'Vacas e Bezerros'!#REF!)^2)</f>
        <v>#REF!</v>
      </c>
    </row>
    <row r="19" spans="3:196" x14ac:dyDescent="0.25">
      <c r="C19" s="16">
        <f>(D18+('Vacas e Bezerros'!$AA$28-(D18*0.64))/0.8)/1000</f>
        <v>0.35719668016155687</v>
      </c>
      <c r="D19" s="17">
        <f>-53.07 + (304.89 * (C19-'Vacas e Bezerros'!$C$206)) + (90.79 *('Vacas e Bezerros'!$AA$22)) - (3.13 *('Vacas e Bezerros'!$AA$22)^2)</f>
        <v>165.01876457544017</v>
      </c>
      <c r="F19" s="16" t="e">
        <f>(G18+(Crescimento!#REF!-(G18*0.64))/0.8)/1000</f>
        <v>#REF!</v>
      </c>
      <c r="G19" s="17" t="e">
        <f>-53.07 + (304.89 * (F19)) + (90.79 *Crescimento!#REF!) - (3.13 * Crescimento!#REF!*Crescimento!#REF!)</f>
        <v>#REF!</v>
      </c>
      <c r="H19" s="1"/>
      <c r="I19" s="16" t="e">
        <f>(J18+(Crescimento!#REF!-(J18*0.64))/0.8)/1000</f>
        <v>#REF!</v>
      </c>
      <c r="J19" s="17" t="e">
        <f>-53.07 + (304.89 * (I19)) + (90.79 *Crescimento!#REF!) - (3.13 * Crescimento!#REF!*Crescimento!#REF!)</f>
        <v>#REF!</v>
      </c>
      <c r="L19" s="16" t="e">
        <f>(M18+(Crescimento!#REF!-(M18*0.64))/0.8)/1000</f>
        <v>#REF!</v>
      </c>
      <c r="M19" s="17" t="e">
        <f>-53.07 + (304.89 * (L19)) + (90.79 *Crescimento!#REF!) - (3.13 * Crescimento!#REF!*Crescimento!#REF!)</f>
        <v>#REF!</v>
      </c>
      <c r="O19" s="16" t="e">
        <f>(P18+(Crescimento!#REF!-(P18*0.64))/0.8)/1000</f>
        <v>#REF!</v>
      </c>
      <c r="P19" s="17" t="e">
        <f>-53.07 + (304.89 * (O19)) + (90.79 *Crescimento!#REF!) - (3.13 * Crescimento!#REF!*Crescimento!#REF!)</f>
        <v>#REF!</v>
      </c>
      <c r="R19" s="16" t="e">
        <f>(S18+(Crescimento!#REF!-(S18*0.64))/0.8)/1000</f>
        <v>#REF!</v>
      </c>
      <c r="S19" s="17" t="e">
        <f>-53.07 + (304.89 * (R19)) + (90.79 *Crescimento!#REF!) - (3.13 * Crescimento!#REF!*Crescimento!#REF!)</f>
        <v>#REF!</v>
      </c>
      <c r="U19" s="16" t="e">
        <f>(V18+(Crescimento!#REF!-(V18*0.64))/0.8)/1000</f>
        <v>#REF!</v>
      </c>
      <c r="V19" s="17" t="e">
        <f>-53.07 + (304.89 * (U19)) + (90.79 *Crescimento!#REF!) - (3.13 * Crescimento!#REF!*Crescimento!#REF!)</f>
        <v>#REF!</v>
      </c>
      <c r="X19" s="16" t="e">
        <f>(Y18+(Crescimento!#REF!-(Y18*0.64))/0.8)/1000</f>
        <v>#REF!</v>
      </c>
      <c r="Y19" s="17" t="e">
        <f>-53.07 + (304.89 * (X19)) + (90.79 *Crescimento!#REF!) - (3.13 * Crescimento!#REF!*Crescimento!#REF!)</f>
        <v>#REF!</v>
      </c>
      <c r="Z19" s="6"/>
      <c r="AA19" s="16" t="e">
        <f>(AB18+(Crescimento!#REF!-(AB18*0.64))/0.8)/1000</f>
        <v>#REF!</v>
      </c>
      <c r="AB19" s="17" t="e">
        <f>-53.07 + (304.89 * (AA19)) + (90.79 *Crescimento!#REF!) - (3.13 * Crescimento!#REF!*Crescimento!#REF!)</f>
        <v>#REF!</v>
      </c>
      <c r="AC19" s="6"/>
      <c r="AD19" s="16" t="e">
        <f>(AE18+(Crescimento!#REF!-(AE18*0.64))/0.8)/1000</f>
        <v>#REF!</v>
      </c>
      <c r="AE19" s="17" t="e">
        <f>-53.07 + (304.89 * (AD19)) + (90.79 *Crescimento!#REF!) - (3.13 * Crescimento!#REF!*Crescimento!#REF!)</f>
        <v>#REF!</v>
      </c>
      <c r="AF19" s="17"/>
      <c r="AG19" s="16" t="e">
        <f>(AH18+(Crescimento!#REF!-(AH18*0.64))/0.8)/1000</f>
        <v>#REF!</v>
      </c>
      <c r="AH19" s="17" t="e">
        <f>-53.07 + (304.89 * (AG19)) + (90.79 *Crescimento!#REF!) - (3.13 * Crescimento!#REF!*Crescimento!#REF!)</f>
        <v>#REF!</v>
      </c>
      <c r="AJ19" s="16" t="e">
        <f>(AK18+(Crescimento!#REF!-(AK18*0.64))/0.8)/1000</f>
        <v>#REF!</v>
      </c>
      <c r="AK19" s="17" t="e">
        <f>-53.07 + (304.89 * (AJ19)) + (90.79 *Crescimento!#REF!) - (3.13 * Crescimento!#REF!*Crescimento!#REF!)</f>
        <v>#REF!</v>
      </c>
      <c r="AM19" s="16" t="e">
        <f>(AN18+(Crescimento!#REF!-(AN18*0.64))/0.8)/1000</f>
        <v>#REF!</v>
      </c>
      <c r="AN19" s="17" t="e">
        <f>-53.07 + (304.89 * (AM19)) + (90.79 *Crescimento!#REF!) - (3.13 * Crescimento!#REF!*Crescimento!#REF!)</f>
        <v>#REF!</v>
      </c>
      <c r="AP19" s="16" t="e">
        <f>(AQ18+(Crescimento!#REF!-(AQ18*0.64))/0.8)/1000</f>
        <v>#REF!</v>
      </c>
      <c r="AQ19" s="17" t="e">
        <f>-53.07 + (304.89 * (AP19)) + (90.79 *Crescimento!#REF!) - (3.13 * Crescimento!#REF!*Crescimento!#REF!)</f>
        <v>#REF!</v>
      </c>
      <c r="AS19" s="16" t="e">
        <f>(AT18+(Crescimento!#REF!-(AT18*0.64))/0.8)/1000</f>
        <v>#REF!</v>
      </c>
      <c r="AT19" s="17" t="e">
        <f>-53.07 + (304.89 * (AS19)) + (90.79 *Crescimento!#REF!) - (3.13 * Crescimento!#REF!*Crescimento!#REF!)</f>
        <v>#REF!</v>
      </c>
      <c r="AV19" s="16" t="e">
        <f>(AW18+(Crescimento!#REF!-(AW18*0.64))/0.8)/1000</f>
        <v>#REF!</v>
      </c>
      <c r="AW19" s="17" t="e">
        <f>-53.07 + (304.89 * (AV19)) + (90.79 *Crescimento!#REF!) - (3.13 * Crescimento!#REF!*Crescimento!#REF!)</f>
        <v>#REF!</v>
      </c>
      <c r="AY19" s="21" t="e">
        <f>((AZ18+(Crescimento!#REF!-(AZ18*0.64))/0.8)/1000)-Crescimento!#REF!</f>
        <v>#REF!</v>
      </c>
      <c r="AZ19" s="22" t="e">
        <f>-53.07 + (304.89 * (AY19)) + (90.79 *(Crescimento!#REF!-Crescimento!#REF!)) - (3.13 * (Crescimento!#REF!-Crescimento!#REF!)^2)</f>
        <v>#REF!</v>
      </c>
      <c r="BA19" s="23"/>
      <c r="BB19" s="21" t="e">
        <f>((BC18+(Crescimento!#REF!-(BC18*0.64))/0.8)/1000)-Crescimento!#REF!</f>
        <v>#REF!</v>
      </c>
      <c r="BC19" s="22" t="e">
        <f>-53.07 + (304.89 * (BB19)) + (90.79 *(Crescimento!#REF!-Crescimento!#REF!)) - (3.13 * (Crescimento!#REF!-Crescimento!#REF!)^2)</f>
        <v>#REF!</v>
      </c>
      <c r="BD19" s="23"/>
      <c r="BE19" s="21" t="e">
        <f>((BF18+(Crescimento!#REF!-(BF18*0.64))/0.8)/1000)-Crescimento!#REF!</f>
        <v>#REF!</v>
      </c>
      <c r="BF19" s="22" t="e">
        <f>-53.07 + (304.89 * (BE19)) + (90.79 *(Crescimento!#REF!-Crescimento!#REF!)) - (3.13 * (Crescimento!#REF!-Crescimento!#REF!)^2)</f>
        <v>#REF!</v>
      </c>
      <c r="BG19" s="23"/>
      <c r="BH19" s="21" t="e">
        <f>((BI18+(Crescimento!#REF!-(BI18*0.64))/0.8)/1000)-Crescimento!#REF!</f>
        <v>#REF!</v>
      </c>
      <c r="BI19" s="22" t="e">
        <f>-53.07 + (304.89 * (BH19)) + (90.79 *(Crescimento!#REF!-Crescimento!#REF!)) - (3.13 * (Crescimento!#REF!-Crescimento!#REF!)^2)</f>
        <v>#REF!</v>
      </c>
      <c r="BJ19" s="23"/>
      <c r="BK19" s="21" t="e">
        <f>((BL18+(Crescimento!#REF!-(BL18*0.64))/0.8)/1000)-Crescimento!#REF!</f>
        <v>#REF!</v>
      </c>
      <c r="BL19" s="22" t="e">
        <f>-53.07 + (304.89 * (BK19)) + (90.79 *(Crescimento!#REF!-Crescimento!#REF!)) - (3.13 * (Crescimento!#REF!-Crescimento!#REF!)^2)</f>
        <v>#REF!</v>
      </c>
      <c r="BM19" s="23"/>
      <c r="BN19" s="21" t="e">
        <f>((BO18+(Crescimento!#REF!-(BO18*0.64))/0.8)/1000)-Crescimento!#REF!</f>
        <v>#REF!</v>
      </c>
      <c r="BO19" s="22" t="e">
        <f>-53.07 + (304.89 * (BN19)) + (90.79 *(Crescimento!#REF!-Crescimento!#REF!)) - (3.13 * (Crescimento!#REF!-Crescimento!#REF!)^2)</f>
        <v>#REF!</v>
      </c>
      <c r="BP19" s="23"/>
      <c r="BQ19" s="21" t="e">
        <f>((BR18+(Crescimento!#REF!-(BR18*0.64))/0.8)/1000)-Crescimento!#REF!</f>
        <v>#REF!</v>
      </c>
      <c r="BR19" s="22" t="e">
        <f>-53.07 + (304.89 * (BQ19)) + (90.79 *(Crescimento!#REF!-Crescimento!#REF!)) - (3.13 * (Crescimento!#REF!-Crescimento!#REF!)^2)</f>
        <v>#REF!</v>
      </c>
      <c r="BS19" s="23"/>
      <c r="BT19" s="21" t="e">
        <f>((BU18+(Crescimento!#REF!-(BU18*0.64))/0.8)/1000)-Crescimento!#REF!</f>
        <v>#REF!</v>
      </c>
      <c r="BU19" s="22" t="e">
        <f>-53.07 + (304.89 * (BT19)) + (90.79 *(Crescimento!#REF!-Crescimento!#REF!)) - (3.13 * (Crescimento!#REF!-Crescimento!#REF!)^2)</f>
        <v>#REF!</v>
      </c>
      <c r="BV19" s="23"/>
      <c r="BW19" s="21" t="e">
        <f>((BX18+(Crescimento!#REF!-(BX18*0.64))/0.8)/1000)-Crescimento!#REF!</f>
        <v>#REF!</v>
      </c>
      <c r="BX19" s="22" t="e">
        <f>-53.07 + (304.89 * (BW19)) + (90.79 *(Crescimento!#REF!-Crescimento!#REF!)) - (3.13 * (Crescimento!#REF!-Crescimento!#REF!)^2)</f>
        <v>#REF!</v>
      </c>
      <c r="BY19" s="23"/>
      <c r="BZ19" s="21" t="e">
        <f>((CA18+(Crescimento!#REF!-(CA18*0.64))/0.8)/1000)-Crescimento!#REF!</f>
        <v>#REF!</v>
      </c>
      <c r="CA19" s="22" t="e">
        <f>-53.07 + (304.89 * (BZ19)) + (90.79 *(Crescimento!#REF!-Crescimento!#REF!)) - (3.13 * (Crescimento!#REF!-Crescimento!#REF!)^2)</f>
        <v>#REF!</v>
      </c>
      <c r="CB19" s="23"/>
      <c r="CC19" s="21" t="e">
        <f>((CD18+(Crescimento!#REF!-(CD18*0.64))/0.8)/1000)-Crescimento!#REF!</f>
        <v>#REF!</v>
      </c>
      <c r="CD19" s="22" t="e">
        <f>-53.07 + (304.89 * (CC19)) + (90.79 *(Crescimento!#REF!-Crescimento!#REF!)) - (3.13 * (Crescimento!#REF!-Crescimento!#REF!)^2)</f>
        <v>#REF!</v>
      </c>
      <c r="CE19" s="23"/>
      <c r="CF19" s="21" t="e">
        <f>((CG18+(Crescimento!#REF!-(CG18*0.64))/0.8)/1000)-Crescimento!#REF!</f>
        <v>#REF!</v>
      </c>
      <c r="CG19" s="22" t="e">
        <f>-53.07 + (304.89 * (CF19)) + (90.79 *(Crescimento!#REF!-Crescimento!#REF!)) - (3.13 * (Crescimento!#REF!-Crescimento!#REF!)^2)</f>
        <v>#REF!</v>
      </c>
      <c r="CH19" s="23"/>
      <c r="CI19" s="21" t="e">
        <f>((CJ18+(Crescimento!#REF!-(CJ18*0.64))/0.8)/1000)-Crescimento!#REF!</f>
        <v>#REF!</v>
      </c>
      <c r="CJ19" s="22" t="e">
        <f>-53.07 + (304.89 * (CI19)) + (90.79 *(Crescimento!#REF!-Crescimento!#REF!)) - (3.13 * (Crescimento!#REF!-Crescimento!#REF!)^2)</f>
        <v>#REF!</v>
      </c>
      <c r="CK19" s="23"/>
      <c r="CL19" s="21" t="e">
        <f>((CM18+(Crescimento!#REF!-(CM18*0.64))/0.8)/1000)-Crescimento!#REF!</f>
        <v>#REF!</v>
      </c>
      <c r="CM19" s="22" t="e">
        <f>-53.07 + (304.89 * (CL19)) + (90.79 *(Crescimento!#REF!-Crescimento!#REF!)) - (3.13 * (Crescimento!#REF!-Crescimento!#REF!)^2)</f>
        <v>#REF!</v>
      </c>
      <c r="CN19" s="23"/>
      <c r="CO19" s="21" t="e">
        <f>((CP18+(Crescimento!#REF!-(CP18*0.64))/0.8)/1000)-Crescimento!#REF!</f>
        <v>#REF!</v>
      </c>
      <c r="CP19" s="22" t="e">
        <f>-53.07 + (304.89 * (CO19)) + (90.79 *(Crescimento!#REF!-Crescimento!#REF!)) - (3.13 * (Crescimento!#REF!-Crescimento!#REF!)^2)</f>
        <v>#REF!</v>
      </c>
      <c r="CQ19" s="23"/>
      <c r="CR19" s="21" t="e">
        <f>((CS18+(Crescimento!#REF!-(CS18*0.64))/0.8)/1000)-Crescimento!#REF!</f>
        <v>#REF!</v>
      </c>
      <c r="CS19" s="22" t="e">
        <f>-53.07 + (304.89 * (CR19)) + (90.79 *(Crescimento!#REF!-Crescimento!#REF!)) - (3.13 * (Crescimento!#REF!-Crescimento!#REF!)^2)</f>
        <v>#REF!</v>
      </c>
      <c r="CX19" s="16" t="e">
        <f>((CY18+(Crescimento!#REF!-(CY18*0.64))/0.8)/1000)-Crescimento!#REF!</f>
        <v>#REF!</v>
      </c>
      <c r="CY19" s="17" t="e">
        <f>-53.07 + (304.89 * (CX19)) + (90.79 *(Crescimento!#REF!-Crescimento!#REF!)) - (3.13 * (Crescimento!#REF!-Crescimento!#REF!)^2)</f>
        <v>#REF!</v>
      </c>
      <c r="DA19" s="16" t="e">
        <f>((DB18+(Crescimento!#REF!-(DB18*0.64))/0.8)/1000)-Crescimento!#REF!</f>
        <v>#REF!</v>
      </c>
      <c r="DB19" s="17" t="e">
        <f>-53.07 + (304.89 * (DA19)) + (90.79 *(Crescimento!#REF!-Crescimento!#REF!)) - (3.13 * (Crescimento!#REF!-Crescimento!#REF!)^2)</f>
        <v>#REF!</v>
      </c>
      <c r="DD19" s="16" t="e">
        <f>(DE18+(Crescimento!#REF!-(DE18*0.64))/0.8)/1000</f>
        <v>#REF!</v>
      </c>
      <c r="DE19" s="17" t="e">
        <f>-53.07 + (304.89 * (DD19)) + (90.79 *Crescimento!#REF!) - (3.13 * Crescimento!#REF!*Crescimento!#REF!)</f>
        <v>#REF!</v>
      </c>
      <c r="DG19" s="16" t="e">
        <f>((DH18+(Crescimento!#REF!-(DH18*0.64))/0.8)/1000)-Crescimento!#REF!</f>
        <v>#REF!</v>
      </c>
      <c r="DH19" s="17" t="e">
        <f>-53.07 + (304.89 * (DG19)) + (90.79 *(Crescimento!#REF!-Crescimento!#REF!)) - (3.13 * (Crescimento!#REF!-Crescimento!#REF!)^2)</f>
        <v>#REF!</v>
      </c>
      <c r="DJ19" s="16" t="e">
        <f>((DK18+(Crescimento!#REF!-(DK18*0.64))/0.8)/1000)-Crescimento!#REF!</f>
        <v>#REF!</v>
      </c>
      <c r="DK19" s="17" t="e">
        <f>-53.07 + (304.89 * (DJ19)) + (90.79 *(Crescimento!#REF!-Crescimento!#REF!)) - (3.13 * (Crescimento!#REF!-Crescimento!#REF!)^2)</f>
        <v>#REF!</v>
      </c>
      <c r="DM19" s="16" t="e">
        <f>((DN18+(Crescimento!#REF!-(DN18*0.64))/0.8)/1000)-Crescimento!#REF!</f>
        <v>#REF!</v>
      </c>
      <c r="DN19" s="17" t="e">
        <f>-53.07 + (304.89 * (DM19)) + (90.79 *(Crescimento!#REF!-Crescimento!#REF!)) - (3.13 * (Crescimento!#REF!-Crescimento!#REF!)^2)</f>
        <v>#REF!</v>
      </c>
      <c r="DP19" s="16" t="e">
        <f>(DQ18+(Crescimento!#REF!-(DQ18*0.64))/0.8)/1000</f>
        <v>#REF!</v>
      </c>
      <c r="DQ19" s="17" t="e">
        <f>-53.07 + (304.89 * (DP19)) + (90.79 *(Crescimento!#REF!-Crescimento!#REF!)) - (3.13 * (Crescimento!#REF!-Crescimento!#REF!)^2)</f>
        <v>#REF!</v>
      </c>
      <c r="DS19" s="16" t="e">
        <f>((DT18+(Crescimento!#REF!-(DT18*0.64))/0.8)/1000)-Crescimento!#REF!</f>
        <v>#REF!</v>
      </c>
      <c r="DT19" s="17" t="e">
        <f>-53.07 + (304.89 * (DS19)) + (90.79 *(Crescimento!#REF!-Crescimento!#REF!)) - (3.13 * (Crescimento!#REF!-Crescimento!#REF!)^2)</f>
        <v>#REF!</v>
      </c>
      <c r="DV19" s="16" t="e">
        <f>((DW18+(Crescimento!#REF!-(DW18*0.64))/0.8)/1000)-Crescimento!#REF!</f>
        <v>#REF!</v>
      </c>
      <c r="DW19" s="17" t="e">
        <f>-53.07 + (304.89 * (DV19)) + (90.79 *(Crescimento!#REF!-Crescimento!#REF!)) - (3.13 * (Crescimento!#REF!-Crescimento!#REF!)^2)</f>
        <v>#REF!</v>
      </c>
      <c r="DY19" s="16" t="e">
        <f>((DZ18+(Crescimento!#REF!-(DZ18*0.64))/0.8)/1000)-Crescimento!#REF!</f>
        <v>#REF!</v>
      </c>
      <c r="DZ19" s="17" t="e">
        <f>-53.07 + (304.89 * (DY19)) + (90.79 *(Crescimento!#REF!-Crescimento!#REF!)) - (3.13 * (Crescimento!#REF!-Crescimento!#REF!)^2)</f>
        <v>#REF!</v>
      </c>
      <c r="EB19" s="16" t="e">
        <f>((EC18+(Crescimento!#REF!-(EC18*0.64))/0.8)/1000)-Crescimento!#REF!</f>
        <v>#REF!</v>
      </c>
      <c r="EC19" s="17" t="e">
        <f>-53.07 + (304.89 * (EB19)) + (90.79 *(Crescimento!#REF!-Crescimento!#REF!)) - (3.13 * (Crescimento!#REF!-Crescimento!#REF!)^2)</f>
        <v>#REF!</v>
      </c>
      <c r="EE19" s="16" t="e">
        <f>((EF18+(Crescimento!#REF!-(EF18*0.64))/0.8)/1000)-Crescimento!#REF!</f>
        <v>#REF!</v>
      </c>
      <c r="EF19" s="17" t="e">
        <f>-53.07 + (304.89 * (EE19)) + (90.79 *(Crescimento!#REF!-Crescimento!#REF!)) - (3.13 * (Crescimento!#REF!-Crescimento!#REF!)^2)</f>
        <v>#REF!</v>
      </c>
      <c r="EH19" s="16" t="e">
        <f>((EI18+(Crescimento!#REF!-(EI18*0.64))/0.8)/1000)-Crescimento!#REF!</f>
        <v>#REF!</v>
      </c>
      <c r="EI19" s="17" t="e">
        <f>-53.07 + (304.89 * (EH19)) + (90.79 *(Crescimento!#REF!-Crescimento!#REF!)) - (3.13 * (Crescimento!#REF!-Crescimento!#REF!)^2)</f>
        <v>#REF!</v>
      </c>
      <c r="EK19" s="16" t="e">
        <f>((EL18+(Crescimento!#REF!-(EL18*0.64))/0.8)/1000)-Crescimento!#REF!</f>
        <v>#REF!</v>
      </c>
      <c r="EL19" s="17" t="e">
        <f>-53.07 + (304.89 * (EK19)) + (90.79 *(Crescimento!#REF!-Crescimento!#REF!)) - (3.13 * (Crescimento!#REF!-Crescimento!#REF!)^2)</f>
        <v>#REF!</v>
      </c>
      <c r="EN19" s="16" t="e">
        <f>((EO18+(Crescimento!#REF!-(EO18*0.64))/0.8)/1000)-Crescimento!#REF!</f>
        <v>#REF!</v>
      </c>
      <c r="EO19" s="17" t="e">
        <f>-53.07 + (304.89 * (EN19)) + (90.79 *(Crescimento!#REF!-Crescimento!#REF!)) - (3.13 * (Crescimento!#REF!-Crescimento!#REF!)^2)</f>
        <v>#REF!</v>
      </c>
      <c r="EQ19" s="16" t="e">
        <f>((ER18+(Crescimento!#REF!-(ER18*0.64))/0.8)/1000)-Crescimento!#REF!</f>
        <v>#REF!</v>
      </c>
      <c r="ER19" s="17" t="e">
        <f>-53.07 + (304.89 * (EQ19)) + (90.79 *(Crescimento!#REF!-Crescimento!#REF!)) - (3.13 * (Crescimento!#REF!-Crescimento!#REF!)^2)</f>
        <v>#REF!</v>
      </c>
      <c r="ET19" s="16" t="e">
        <f>((EU18+(Crescimento!#REF!-(EU18*0.64))/0.8)/1000)-Crescimento!#REF!</f>
        <v>#REF!</v>
      </c>
      <c r="EU19" s="17" t="e">
        <f>-53.07 + (304.89 * (ET19)) + (90.79 *(Crescimento!#REF!-Crescimento!#REF!)) - (3.13 * (Crescimento!#REF!-Crescimento!#REF!)^2)</f>
        <v>#REF!</v>
      </c>
      <c r="EW19" s="16" t="e">
        <f>((EX18+('Vacas e Bezerros'!#REF!-(EX18*0.64))/0.8)/1000)-'Vacas e Bezerros'!#REF!</f>
        <v>#REF!</v>
      </c>
      <c r="EX19" s="17" t="e">
        <f>-53.07 + (304.89 * (EW19)) + (90.79 *('Vacas e Bezerros'!#REF!-'Vacas e Bezerros'!#REF!)) - (3.13 * ('Vacas e Bezerros'!#REF!-'Vacas e Bezerros'!#REF!)^2)</f>
        <v>#REF!</v>
      </c>
      <c r="EZ19" s="16" t="e">
        <f>((FA18+('Vacas e Bezerros'!#REF!-(FA18*0.64))/0.8)/1000)-'Vacas e Bezerros'!#REF!</f>
        <v>#REF!</v>
      </c>
      <c r="FA19" s="17" t="e">
        <f>-53.07 + (304.89 * (EZ19)) + (90.79 *('Vacas e Bezerros'!#REF!-'Vacas e Bezerros'!#REF!)) - (3.13 * ('Vacas e Bezerros'!#REF!-'Vacas e Bezerros'!#REF!)^2)</f>
        <v>#REF!</v>
      </c>
      <c r="FC19" s="16" t="e">
        <f>((FD18+('Vacas e Bezerros'!#REF!-(FD18*0.64))/0.8)/1000)-'Vacas e Bezerros'!#REF!</f>
        <v>#REF!</v>
      </c>
      <c r="FD19" s="17" t="e">
        <f>-53.07 + (304.89 * (FC19)) + (90.79 *('Vacas e Bezerros'!#REF!-'Vacas e Bezerros'!#REF!)) - (3.13 * ('Vacas e Bezerros'!#REF!-'Vacas e Bezerros'!#REF!)^2)</f>
        <v>#REF!</v>
      </c>
      <c r="FF19" s="16" t="e">
        <f>((FG18+('Vacas e Bezerros'!#REF!-(FG18*0.64))/0.8)/1000)-'Vacas e Bezerros'!#REF!</f>
        <v>#REF!</v>
      </c>
      <c r="FG19" s="17" t="e">
        <f>-53.07 + (304.89 * (FF19)) + (90.79 *('Vacas e Bezerros'!#REF!-'Vacas e Bezerros'!#REF!)) - (3.13 * ('Vacas e Bezerros'!#REF!-'Vacas e Bezerros'!#REF!)^2)</f>
        <v>#REF!</v>
      </c>
      <c r="FI19" s="16" t="e">
        <f>((FJ18+('Vacas e Bezerros'!#REF!-(FJ18*0.64))/0.8)/1000)-'Vacas e Bezerros'!#REF!</f>
        <v>#REF!</v>
      </c>
      <c r="FJ19" s="17" t="e">
        <f>-53.07 + (304.89 * (FI19)) + (90.79 *('Vacas e Bezerros'!#REF!-'Vacas e Bezerros'!#REF!)) - (3.13 * ('Vacas e Bezerros'!#REF!-'Vacas e Bezerros'!#REF!)^2)</f>
        <v>#REF!</v>
      </c>
      <c r="FL19" s="16" t="e">
        <f>((FM18+('Vacas e Bezerros'!#REF!-(FM18*0.64))/0.8)/1000)-'Vacas e Bezerros'!#REF!</f>
        <v>#REF!</v>
      </c>
      <c r="FM19" s="17" t="e">
        <f>-53.07 + (304.89 * (FL19)) + (90.79 *('Vacas e Bezerros'!#REF!-'Vacas e Bezerros'!#REF!)) - (3.13 * ('Vacas e Bezerros'!#REF!-'Vacas e Bezerros'!#REF!)^2)</f>
        <v>#REF!</v>
      </c>
      <c r="FO19" s="16" t="e">
        <f>((FP18+('Vacas e Bezerros'!#REF!-(FP18*0.64))/0.8)/1000)-'Vacas e Bezerros'!#REF!</f>
        <v>#REF!</v>
      </c>
      <c r="FP19" s="17" t="e">
        <f>-53.07 + (304.89 * (FO19)) + (90.79 *('Vacas e Bezerros'!#REF!-'Vacas e Bezerros'!#REF!)) - (3.13 * ('Vacas e Bezerros'!#REF!-'Vacas e Bezerros'!#REF!)^2)</f>
        <v>#REF!</v>
      </c>
      <c r="FR19" s="16" t="e">
        <f>((FS18+('Vacas e Bezerros'!#REF!-(FS18*0.64))/0.8)/1000)-'Vacas e Bezerros'!#REF!</f>
        <v>#REF!</v>
      </c>
      <c r="FS19" s="17" t="e">
        <f>-53.07 + (304.89 * (FR19)) + (90.79 *('Vacas e Bezerros'!#REF!-'Vacas e Bezerros'!#REF!)) - (3.13 * ('Vacas e Bezerros'!#REF!-'Vacas e Bezerros'!#REF!)^2)</f>
        <v>#REF!</v>
      </c>
      <c r="FU19" s="16" t="e">
        <f>((FV18+('Vacas e Bezerros'!#REF!-(FV18*0.64))/0.8)/1000)-'Vacas e Bezerros'!#REF!</f>
        <v>#REF!</v>
      </c>
      <c r="FV19" s="17" t="e">
        <f>-53.07 + (304.89 * (FU19)) + (90.79 *('Vacas e Bezerros'!#REF!-'Vacas e Bezerros'!#REF!)) - (3.13 * ('Vacas e Bezerros'!#REF!-'Vacas e Bezerros'!#REF!)^2)</f>
        <v>#REF!</v>
      </c>
      <c r="FX19" s="16" t="e">
        <f>((FY18+('Vacas e Bezerros'!#REF!-(FY18*0.64))/0.8)/1000)-'Vacas e Bezerros'!#REF!</f>
        <v>#REF!</v>
      </c>
      <c r="FY19" s="17" t="e">
        <f>-53.07 + (304.89 * (FX19)) + (90.79 *('Vacas e Bezerros'!#REF!-'Vacas e Bezerros'!#REF!)) - (3.13 * ('Vacas e Bezerros'!#REF!-'Vacas e Bezerros'!#REF!)^2)</f>
        <v>#REF!</v>
      </c>
      <c r="GA19" s="16" t="e">
        <f>((GB18+('Vacas e Bezerros'!#REF!-(GB18*0.64))/0.8)/1000)-'Vacas e Bezerros'!#REF!</f>
        <v>#REF!</v>
      </c>
      <c r="GB19" s="17" t="e">
        <f>-53.07 + (304.89 * (GA19)) + (90.79 *('Vacas e Bezerros'!#REF!-'Vacas e Bezerros'!#REF!)) - (3.13 * ('Vacas e Bezerros'!#REF!-'Vacas e Bezerros'!#REF!)^2)</f>
        <v>#REF!</v>
      </c>
      <c r="GD19" s="16" t="e">
        <f>((GE18+('Vacas e Bezerros'!#REF!-(GE18*0.64))/0.8)/1000)-'Vacas e Bezerros'!#REF!</f>
        <v>#REF!</v>
      </c>
      <c r="GE19" s="17" t="e">
        <f>-53.07 + (304.89 * (GD19)) + (90.79 *('Vacas e Bezerros'!#REF!-'Vacas e Bezerros'!#REF!)) - (3.13 * ('Vacas e Bezerros'!#REF!-'Vacas e Bezerros'!#REF!)^2)</f>
        <v>#REF!</v>
      </c>
      <c r="GG19" s="16" t="e">
        <f>((GH18+('Vacas e Bezerros'!#REF!-(GH18*0.64))/0.8)/1000)-'Vacas e Bezerros'!#REF!</f>
        <v>#REF!</v>
      </c>
      <c r="GH19" s="17" t="e">
        <f>-53.07 + (304.89 * (GG19)) + (90.79 *('Vacas e Bezerros'!#REF!-'Vacas e Bezerros'!#REF!)) - (3.13 * ('Vacas e Bezerros'!#REF!-'Vacas e Bezerros'!#REF!)^2)</f>
        <v>#REF!</v>
      </c>
      <c r="GJ19" s="16" t="e">
        <f>((GK18+('Vacas e Bezerros'!#REF!-(GK18*0.64))/0.8)/1000)-'Vacas e Bezerros'!#REF!</f>
        <v>#REF!</v>
      </c>
      <c r="GK19" s="17" t="e">
        <f>-53.07 + (304.89 * (GJ19)) + (90.79 *('Vacas e Bezerros'!#REF!-'Vacas e Bezerros'!#REF!)) - (3.13 * ('Vacas e Bezerros'!#REF!-'Vacas e Bezerros'!#REF!)^2)</f>
        <v>#REF!</v>
      </c>
      <c r="GM19" s="16" t="e">
        <f>((GN18+('Vacas e Bezerros'!#REF!-(GN18*0.64))/0.8)/1000)-'Vacas e Bezerros'!#REF!</f>
        <v>#REF!</v>
      </c>
      <c r="GN19" s="17" t="e">
        <f>-53.07 + (304.89 * (GM19)) + (90.79 *('Vacas e Bezerros'!#REF!-'Vacas e Bezerros'!#REF!)) - (3.13 * ('Vacas e Bezerros'!#REF!-'Vacas e Bezerros'!#REF!)^2)</f>
        <v>#REF!</v>
      </c>
    </row>
    <row r="20" spans="3:196" x14ac:dyDescent="0.25">
      <c r="C20" s="16">
        <f>(D19+('Vacas e Bezerros'!$AA$28-(D19*0.64))/0.8)/1000</f>
        <v>0.35719668016155687</v>
      </c>
      <c r="D20" s="17">
        <f>-53.07 + (304.89 * (C20-'Vacas e Bezerros'!$C$206)) + (90.79 *('Vacas e Bezerros'!$AA$22)) - (3.13 *('Vacas e Bezerros'!$AA$22)^2)</f>
        <v>165.01876457544017</v>
      </c>
      <c r="F20" s="16" t="e">
        <f>(G19+(Crescimento!#REF!-(G19*0.64))/0.8)/1000</f>
        <v>#REF!</v>
      </c>
      <c r="G20" s="17" t="e">
        <f>-53.07 + (304.89 * (F20)) + (90.79 *Crescimento!#REF!) - (3.13 * Crescimento!#REF!*Crescimento!#REF!)</f>
        <v>#REF!</v>
      </c>
      <c r="H20" s="1"/>
      <c r="I20" s="16" t="e">
        <f>(J19+(Crescimento!#REF!-(J19*0.64))/0.8)/1000</f>
        <v>#REF!</v>
      </c>
      <c r="J20" s="17" t="e">
        <f>-53.07 + (304.89 * (I20)) + (90.79 *Crescimento!#REF!) - (3.13 * Crescimento!#REF!*Crescimento!#REF!)</f>
        <v>#REF!</v>
      </c>
      <c r="L20" s="16" t="e">
        <f>(M19+(Crescimento!#REF!-(M19*0.64))/0.8)/1000</f>
        <v>#REF!</v>
      </c>
      <c r="M20" s="17" t="e">
        <f>-53.07 + (304.89 * (L20)) + (90.79 *Crescimento!#REF!) - (3.13 * Crescimento!#REF!*Crescimento!#REF!)</f>
        <v>#REF!</v>
      </c>
      <c r="O20" s="16" t="e">
        <f>(P19+(Crescimento!#REF!-(P19*0.64))/0.8)/1000</f>
        <v>#REF!</v>
      </c>
      <c r="P20" s="17" t="e">
        <f>-53.07 + (304.89 * (O20)) + (90.79 *Crescimento!#REF!) - (3.13 * Crescimento!#REF!*Crescimento!#REF!)</f>
        <v>#REF!</v>
      </c>
      <c r="R20" s="16" t="e">
        <f>(S19+(Crescimento!#REF!-(S19*0.64))/0.8)/1000</f>
        <v>#REF!</v>
      </c>
      <c r="S20" s="17" t="e">
        <f>-53.07 + (304.89 * (R20)) + (90.79 *Crescimento!#REF!) - (3.13 * Crescimento!#REF!*Crescimento!#REF!)</f>
        <v>#REF!</v>
      </c>
      <c r="U20" s="16" t="e">
        <f>(V19+(Crescimento!#REF!-(V19*0.64))/0.8)/1000</f>
        <v>#REF!</v>
      </c>
      <c r="V20" s="17" t="e">
        <f>-53.07 + (304.89 * (U20)) + (90.79 *Crescimento!#REF!) - (3.13 * Crescimento!#REF!*Crescimento!#REF!)</f>
        <v>#REF!</v>
      </c>
      <c r="X20" s="16" t="e">
        <f>(Y19+(Crescimento!#REF!-(Y19*0.64))/0.8)/1000</f>
        <v>#REF!</v>
      </c>
      <c r="Y20" s="17" t="e">
        <f>-53.07 + (304.89 * (X20)) + (90.79 *Crescimento!#REF!) - (3.13 * Crescimento!#REF!*Crescimento!#REF!)</f>
        <v>#REF!</v>
      </c>
      <c r="Z20" s="6"/>
      <c r="AA20" s="16" t="e">
        <f>(AB19+(Crescimento!#REF!-(AB19*0.64))/0.8)/1000</f>
        <v>#REF!</v>
      </c>
      <c r="AB20" s="17" t="e">
        <f>-53.07 + (304.89 * (AA20)) + (90.79 *Crescimento!#REF!) - (3.13 * Crescimento!#REF!*Crescimento!#REF!)</f>
        <v>#REF!</v>
      </c>
      <c r="AC20" s="6"/>
      <c r="AD20" s="16" t="e">
        <f>(AE19+(Crescimento!#REF!-(AE19*0.64))/0.8)/1000</f>
        <v>#REF!</v>
      </c>
      <c r="AE20" s="17" t="e">
        <f>-53.07 + (304.89 * (AD20)) + (90.79 *Crescimento!#REF!) - (3.13 * Crescimento!#REF!*Crescimento!#REF!)</f>
        <v>#REF!</v>
      </c>
      <c r="AF20" s="17"/>
      <c r="AG20" s="16" t="e">
        <f>(AH19+(Crescimento!#REF!-(AH19*0.64))/0.8)/1000</f>
        <v>#REF!</v>
      </c>
      <c r="AH20" s="17" t="e">
        <f>-53.07 + (304.89 * (AG20)) + (90.79 *Crescimento!#REF!) - (3.13 * Crescimento!#REF!*Crescimento!#REF!)</f>
        <v>#REF!</v>
      </c>
      <c r="AJ20" s="16" t="e">
        <f>(AK19+(Crescimento!#REF!-(AK19*0.64))/0.8)/1000</f>
        <v>#REF!</v>
      </c>
      <c r="AK20" s="17" t="e">
        <f>-53.07 + (304.89 * (AJ20)) + (90.79 *Crescimento!#REF!) - (3.13 * Crescimento!#REF!*Crescimento!#REF!)</f>
        <v>#REF!</v>
      </c>
      <c r="AM20" s="16" t="e">
        <f>(AN19+(Crescimento!#REF!-(AN19*0.64))/0.8)/1000</f>
        <v>#REF!</v>
      </c>
      <c r="AN20" s="17" t="e">
        <f>-53.07 + (304.89 * (AM20)) + (90.79 *Crescimento!#REF!) - (3.13 * Crescimento!#REF!*Crescimento!#REF!)</f>
        <v>#REF!</v>
      </c>
      <c r="AP20" s="16" t="e">
        <f>(AQ19+(Crescimento!#REF!-(AQ19*0.64))/0.8)/1000</f>
        <v>#REF!</v>
      </c>
      <c r="AQ20" s="17" t="e">
        <f>-53.07 + (304.89 * (AP20)) + (90.79 *Crescimento!#REF!) - (3.13 * Crescimento!#REF!*Crescimento!#REF!)</f>
        <v>#REF!</v>
      </c>
      <c r="AS20" s="16" t="e">
        <f>(AT19+(Crescimento!#REF!-(AT19*0.64))/0.8)/1000</f>
        <v>#REF!</v>
      </c>
      <c r="AT20" s="17" t="e">
        <f>-53.07 + (304.89 * (AS20)) + (90.79 *Crescimento!#REF!) - (3.13 * Crescimento!#REF!*Crescimento!#REF!)</f>
        <v>#REF!</v>
      </c>
      <c r="AV20" s="16" t="e">
        <f>(AW19+(Crescimento!#REF!-(AW19*0.64))/0.8)/1000</f>
        <v>#REF!</v>
      </c>
      <c r="AW20" s="17" t="e">
        <f>-53.07 + (304.89 * (AV20)) + (90.79 *Crescimento!#REF!) - (3.13 * Crescimento!#REF!*Crescimento!#REF!)</f>
        <v>#REF!</v>
      </c>
      <c r="AY20" s="21" t="e">
        <f>((AZ19+(Crescimento!#REF!-(AZ19*0.64))/0.8)/1000)-Crescimento!#REF!</f>
        <v>#REF!</v>
      </c>
      <c r="AZ20" s="22" t="e">
        <f>-53.07 + (304.89 * (AY20)) + (90.79 *(Crescimento!#REF!-Crescimento!#REF!)) - (3.13 * (Crescimento!#REF!-Crescimento!#REF!)^2)</f>
        <v>#REF!</v>
      </c>
      <c r="BA20" s="23"/>
      <c r="BB20" s="21" t="e">
        <f>((BC19+(Crescimento!#REF!-(BC19*0.64))/0.8)/1000)-Crescimento!#REF!</f>
        <v>#REF!</v>
      </c>
      <c r="BC20" s="22" t="e">
        <f>-53.07 + (304.89 * (BB20)) + (90.79 *(Crescimento!#REF!-Crescimento!#REF!)) - (3.13 * (Crescimento!#REF!-Crescimento!#REF!)^2)</f>
        <v>#REF!</v>
      </c>
      <c r="BD20" s="23"/>
      <c r="BE20" s="21" t="e">
        <f>((BF19+(Crescimento!#REF!-(BF19*0.64))/0.8)/1000)-Crescimento!#REF!</f>
        <v>#REF!</v>
      </c>
      <c r="BF20" s="22" t="e">
        <f>-53.07 + (304.89 * (BE20)) + (90.79 *(Crescimento!#REF!-Crescimento!#REF!)) - (3.13 * (Crescimento!#REF!-Crescimento!#REF!)^2)</f>
        <v>#REF!</v>
      </c>
      <c r="BG20" s="23"/>
      <c r="BH20" s="21" t="e">
        <f>((BI19+(Crescimento!#REF!-(BI19*0.64))/0.8)/1000)-Crescimento!#REF!</f>
        <v>#REF!</v>
      </c>
      <c r="BI20" s="22" t="e">
        <f>-53.07 + (304.89 * (BH20)) + (90.79 *(Crescimento!#REF!-Crescimento!#REF!)) - (3.13 * (Crescimento!#REF!-Crescimento!#REF!)^2)</f>
        <v>#REF!</v>
      </c>
      <c r="BJ20" s="23"/>
      <c r="BK20" s="21" t="e">
        <f>((BL19+(Crescimento!#REF!-(BL19*0.64))/0.8)/1000)-Crescimento!#REF!</f>
        <v>#REF!</v>
      </c>
      <c r="BL20" s="22" t="e">
        <f>-53.07 + (304.89 * (BK20)) + (90.79 *(Crescimento!#REF!-Crescimento!#REF!)) - (3.13 * (Crescimento!#REF!-Crescimento!#REF!)^2)</f>
        <v>#REF!</v>
      </c>
      <c r="BM20" s="23"/>
      <c r="BN20" s="21" t="e">
        <f>((BO19+(Crescimento!#REF!-(BO19*0.64))/0.8)/1000)-Crescimento!#REF!</f>
        <v>#REF!</v>
      </c>
      <c r="BO20" s="22" t="e">
        <f>-53.07 + (304.89 * (BN20)) + (90.79 *(Crescimento!#REF!-Crescimento!#REF!)) - (3.13 * (Crescimento!#REF!-Crescimento!#REF!)^2)</f>
        <v>#REF!</v>
      </c>
      <c r="BP20" s="23"/>
      <c r="BQ20" s="21" t="e">
        <f>((BR19+(Crescimento!#REF!-(BR19*0.64))/0.8)/1000)-Crescimento!#REF!</f>
        <v>#REF!</v>
      </c>
      <c r="BR20" s="22" t="e">
        <f>-53.07 + (304.89 * (BQ20)) + (90.79 *(Crescimento!#REF!-Crescimento!#REF!)) - (3.13 * (Crescimento!#REF!-Crescimento!#REF!)^2)</f>
        <v>#REF!</v>
      </c>
      <c r="BS20" s="23"/>
      <c r="BT20" s="21" t="e">
        <f>((BU19+(Crescimento!#REF!-(BU19*0.64))/0.8)/1000)-Crescimento!#REF!</f>
        <v>#REF!</v>
      </c>
      <c r="BU20" s="22" t="e">
        <f>-53.07 + (304.89 * (BT20)) + (90.79 *(Crescimento!#REF!-Crescimento!#REF!)) - (3.13 * (Crescimento!#REF!-Crescimento!#REF!)^2)</f>
        <v>#REF!</v>
      </c>
      <c r="BV20" s="23"/>
      <c r="BW20" s="21" t="e">
        <f>((BX19+(Crescimento!#REF!-(BX19*0.64))/0.8)/1000)-Crescimento!#REF!</f>
        <v>#REF!</v>
      </c>
      <c r="BX20" s="22" t="e">
        <f>-53.07 + (304.89 * (BW20)) + (90.79 *(Crescimento!#REF!-Crescimento!#REF!)) - (3.13 * (Crescimento!#REF!-Crescimento!#REF!)^2)</f>
        <v>#REF!</v>
      </c>
      <c r="BY20" s="23"/>
      <c r="BZ20" s="21" t="e">
        <f>((CA19+(Crescimento!#REF!-(CA19*0.64))/0.8)/1000)-Crescimento!#REF!</f>
        <v>#REF!</v>
      </c>
      <c r="CA20" s="22" t="e">
        <f>-53.07 + (304.89 * (BZ20)) + (90.79 *(Crescimento!#REF!-Crescimento!#REF!)) - (3.13 * (Crescimento!#REF!-Crescimento!#REF!)^2)</f>
        <v>#REF!</v>
      </c>
      <c r="CB20" s="23"/>
      <c r="CC20" s="21" t="e">
        <f>((CD19+(Crescimento!#REF!-(CD19*0.64))/0.8)/1000)-Crescimento!#REF!</f>
        <v>#REF!</v>
      </c>
      <c r="CD20" s="22" t="e">
        <f>-53.07 + (304.89 * (CC20)) + (90.79 *(Crescimento!#REF!-Crescimento!#REF!)) - (3.13 * (Crescimento!#REF!-Crescimento!#REF!)^2)</f>
        <v>#REF!</v>
      </c>
      <c r="CE20" s="23"/>
      <c r="CF20" s="21" t="e">
        <f>((CG19+(Crescimento!#REF!-(CG19*0.64))/0.8)/1000)-Crescimento!#REF!</f>
        <v>#REF!</v>
      </c>
      <c r="CG20" s="22" t="e">
        <f>-53.07 + (304.89 * (CF20)) + (90.79 *(Crescimento!#REF!-Crescimento!#REF!)) - (3.13 * (Crescimento!#REF!-Crescimento!#REF!)^2)</f>
        <v>#REF!</v>
      </c>
      <c r="CH20" s="23"/>
      <c r="CI20" s="21" t="e">
        <f>((CJ19+(Crescimento!#REF!-(CJ19*0.64))/0.8)/1000)-Crescimento!#REF!</f>
        <v>#REF!</v>
      </c>
      <c r="CJ20" s="22" t="e">
        <f>-53.07 + (304.89 * (CI20)) + (90.79 *(Crescimento!#REF!-Crescimento!#REF!)) - (3.13 * (Crescimento!#REF!-Crescimento!#REF!)^2)</f>
        <v>#REF!</v>
      </c>
      <c r="CK20" s="23"/>
      <c r="CL20" s="21" t="e">
        <f>((CM19+(Crescimento!#REF!-(CM19*0.64))/0.8)/1000)-Crescimento!#REF!</f>
        <v>#REF!</v>
      </c>
      <c r="CM20" s="22" t="e">
        <f>-53.07 + (304.89 * (CL20)) + (90.79 *(Crescimento!#REF!-Crescimento!#REF!)) - (3.13 * (Crescimento!#REF!-Crescimento!#REF!)^2)</f>
        <v>#REF!</v>
      </c>
      <c r="CN20" s="23"/>
      <c r="CO20" s="21" t="e">
        <f>((CP19+(Crescimento!#REF!-(CP19*0.64))/0.8)/1000)-Crescimento!#REF!</f>
        <v>#REF!</v>
      </c>
      <c r="CP20" s="22" t="e">
        <f>-53.07 + (304.89 * (CO20)) + (90.79 *(Crescimento!#REF!-Crescimento!#REF!)) - (3.13 * (Crescimento!#REF!-Crescimento!#REF!)^2)</f>
        <v>#REF!</v>
      </c>
      <c r="CQ20" s="23"/>
      <c r="CR20" s="21" t="e">
        <f>((CS19+(Crescimento!#REF!-(CS19*0.64))/0.8)/1000)-Crescimento!#REF!</f>
        <v>#REF!</v>
      </c>
      <c r="CS20" s="22" t="e">
        <f>-53.07 + (304.89 * (CR20)) + (90.79 *(Crescimento!#REF!-Crescimento!#REF!)) - (3.13 * (Crescimento!#REF!-Crescimento!#REF!)^2)</f>
        <v>#REF!</v>
      </c>
      <c r="CX20" s="16" t="e">
        <f>((CY19+(Crescimento!#REF!-(CY19*0.64))/0.8)/1000)-Crescimento!#REF!</f>
        <v>#REF!</v>
      </c>
      <c r="CY20" s="17" t="e">
        <f>-53.07 + (304.89 * (CX20)) + (90.79 *(Crescimento!#REF!-Crescimento!#REF!)) - (3.13 * (Crescimento!#REF!-Crescimento!#REF!)^2)</f>
        <v>#REF!</v>
      </c>
      <c r="DA20" s="16" t="e">
        <f>((DB19+(Crescimento!#REF!-(DB19*0.64))/0.8)/1000)-Crescimento!#REF!</f>
        <v>#REF!</v>
      </c>
      <c r="DB20" s="17" t="e">
        <f>-53.07 + (304.89 * (DA20)) + (90.79 *(Crescimento!#REF!-Crescimento!#REF!)) - (3.13 * (Crescimento!#REF!-Crescimento!#REF!)^2)</f>
        <v>#REF!</v>
      </c>
      <c r="DD20" s="16" t="e">
        <f>(DE19+(Crescimento!#REF!-(DE19*0.64))/0.8)/1000</f>
        <v>#REF!</v>
      </c>
      <c r="DE20" s="17" t="e">
        <f>-53.07 + (304.89 * (DD20)) + (90.79 *Crescimento!#REF!) - (3.13 * Crescimento!#REF!*Crescimento!#REF!)</f>
        <v>#REF!</v>
      </c>
      <c r="DG20" s="16" t="e">
        <f>((DH19+(Crescimento!#REF!-(DH19*0.64))/0.8)/1000)-Crescimento!#REF!</f>
        <v>#REF!</v>
      </c>
      <c r="DH20" s="17" t="e">
        <f>-53.07 + (304.89 * (DG20)) + (90.79 *(Crescimento!#REF!-Crescimento!#REF!)) - (3.13 * (Crescimento!#REF!-Crescimento!#REF!)^2)</f>
        <v>#REF!</v>
      </c>
      <c r="DJ20" s="16" t="e">
        <f>((DK19+(Crescimento!#REF!-(DK19*0.64))/0.8)/1000)-Crescimento!#REF!</f>
        <v>#REF!</v>
      </c>
      <c r="DK20" s="17" t="e">
        <f>-53.07 + (304.89 * (DJ20)) + (90.79 *(Crescimento!#REF!-Crescimento!#REF!)) - (3.13 * (Crescimento!#REF!-Crescimento!#REF!)^2)</f>
        <v>#REF!</v>
      </c>
      <c r="DM20" s="16" t="e">
        <f>((DN19+(Crescimento!#REF!-(DN19*0.64))/0.8)/1000)-Crescimento!#REF!</f>
        <v>#REF!</v>
      </c>
      <c r="DN20" s="17" t="e">
        <f>-53.07 + (304.89 * (DM20)) + (90.79 *(Crescimento!#REF!-Crescimento!#REF!)) - (3.13 * (Crescimento!#REF!-Crescimento!#REF!)^2)</f>
        <v>#REF!</v>
      </c>
      <c r="DP20" s="16" t="e">
        <f>(DQ19+(Crescimento!#REF!-(DQ19*0.64))/0.8)/1000</f>
        <v>#REF!</v>
      </c>
      <c r="DQ20" s="17" t="e">
        <f>-53.07 + (304.89 * (DP20)) + (90.79 *(Crescimento!#REF!-Crescimento!#REF!)) - (3.13 * (Crescimento!#REF!-Crescimento!#REF!)^2)</f>
        <v>#REF!</v>
      </c>
      <c r="DS20" s="16" t="e">
        <f>((DT19+(Crescimento!#REF!-(DT19*0.64))/0.8)/1000)-Crescimento!#REF!</f>
        <v>#REF!</v>
      </c>
      <c r="DT20" s="17" t="e">
        <f>-53.07 + (304.89 * (DS20)) + (90.79 *(Crescimento!#REF!-Crescimento!#REF!)) - (3.13 * (Crescimento!#REF!-Crescimento!#REF!)^2)</f>
        <v>#REF!</v>
      </c>
      <c r="DV20" s="16" t="e">
        <f>((DW19+(Crescimento!#REF!-(DW19*0.64))/0.8)/1000)-Crescimento!#REF!</f>
        <v>#REF!</v>
      </c>
      <c r="DW20" s="17" t="e">
        <f>-53.07 + (304.89 * (DV20)) + (90.79 *(Crescimento!#REF!-Crescimento!#REF!)) - (3.13 * (Crescimento!#REF!-Crescimento!#REF!)^2)</f>
        <v>#REF!</v>
      </c>
      <c r="DY20" s="16" t="e">
        <f>((DZ19+(Crescimento!#REF!-(DZ19*0.64))/0.8)/1000)-Crescimento!#REF!</f>
        <v>#REF!</v>
      </c>
      <c r="DZ20" s="17" t="e">
        <f>-53.07 + (304.89 * (DY20)) + (90.79 *(Crescimento!#REF!-Crescimento!#REF!)) - (3.13 * (Crescimento!#REF!-Crescimento!#REF!)^2)</f>
        <v>#REF!</v>
      </c>
      <c r="EB20" s="16" t="e">
        <f>((EC19+(Crescimento!#REF!-(EC19*0.64))/0.8)/1000)-Crescimento!#REF!</f>
        <v>#REF!</v>
      </c>
      <c r="EC20" s="17" t="e">
        <f>-53.07 + (304.89 * (EB20)) + (90.79 *(Crescimento!#REF!-Crescimento!#REF!)) - (3.13 * (Crescimento!#REF!-Crescimento!#REF!)^2)</f>
        <v>#REF!</v>
      </c>
      <c r="EE20" s="16" t="e">
        <f>((EF19+(Crescimento!#REF!-(EF19*0.64))/0.8)/1000)-Crescimento!#REF!</f>
        <v>#REF!</v>
      </c>
      <c r="EF20" s="17" t="e">
        <f>-53.07 + (304.89 * (EE20)) + (90.79 *(Crescimento!#REF!-Crescimento!#REF!)) - (3.13 * (Crescimento!#REF!-Crescimento!#REF!)^2)</f>
        <v>#REF!</v>
      </c>
      <c r="EH20" s="16" t="e">
        <f>((EI19+(Crescimento!#REF!-(EI19*0.64))/0.8)/1000)-Crescimento!#REF!</f>
        <v>#REF!</v>
      </c>
      <c r="EI20" s="17" t="e">
        <f>-53.07 + (304.89 * (EH20)) + (90.79 *(Crescimento!#REF!-Crescimento!#REF!)) - (3.13 * (Crescimento!#REF!-Crescimento!#REF!)^2)</f>
        <v>#REF!</v>
      </c>
      <c r="EK20" s="16" t="e">
        <f>((EL19+(Crescimento!#REF!-(EL19*0.64))/0.8)/1000)-Crescimento!#REF!</f>
        <v>#REF!</v>
      </c>
      <c r="EL20" s="17" t="e">
        <f>-53.07 + (304.89 * (EK20)) + (90.79 *(Crescimento!#REF!-Crescimento!#REF!)) - (3.13 * (Crescimento!#REF!-Crescimento!#REF!)^2)</f>
        <v>#REF!</v>
      </c>
      <c r="EN20" s="16" t="e">
        <f>((EO19+(Crescimento!#REF!-(EO19*0.64))/0.8)/1000)-Crescimento!#REF!</f>
        <v>#REF!</v>
      </c>
      <c r="EO20" s="17" t="e">
        <f>-53.07 + (304.89 * (EN20)) + (90.79 *(Crescimento!#REF!-Crescimento!#REF!)) - (3.13 * (Crescimento!#REF!-Crescimento!#REF!)^2)</f>
        <v>#REF!</v>
      </c>
      <c r="EQ20" s="16" t="e">
        <f>((ER19+(Crescimento!#REF!-(ER19*0.64))/0.8)/1000)-Crescimento!#REF!</f>
        <v>#REF!</v>
      </c>
      <c r="ER20" s="17" t="e">
        <f>-53.07 + (304.89 * (EQ20)) + (90.79 *(Crescimento!#REF!-Crescimento!#REF!)) - (3.13 * (Crescimento!#REF!-Crescimento!#REF!)^2)</f>
        <v>#REF!</v>
      </c>
      <c r="ET20" s="16" t="e">
        <f>((EU19+(Crescimento!#REF!-(EU19*0.64))/0.8)/1000)-Crescimento!#REF!</f>
        <v>#REF!</v>
      </c>
      <c r="EU20" s="17" t="e">
        <f>-53.07 + (304.89 * (ET20)) + (90.79 *(Crescimento!#REF!-Crescimento!#REF!)) - (3.13 * (Crescimento!#REF!-Crescimento!#REF!)^2)</f>
        <v>#REF!</v>
      </c>
      <c r="EW20" s="16" t="e">
        <f>((EX19+('Vacas e Bezerros'!#REF!-(EX19*0.64))/0.8)/1000)-'Vacas e Bezerros'!#REF!</f>
        <v>#REF!</v>
      </c>
      <c r="EX20" s="17" t="e">
        <f>-53.07 + (304.89 * (EW20)) + (90.79 *('Vacas e Bezerros'!#REF!-'Vacas e Bezerros'!#REF!)) - (3.13 * ('Vacas e Bezerros'!#REF!-'Vacas e Bezerros'!#REF!)^2)</f>
        <v>#REF!</v>
      </c>
      <c r="EZ20" s="16" t="e">
        <f>((FA19+('Vacas e Bezerros'!#REF!-(FA19*0.64))/0.8)/1000)-'Vacas e Bezerros'!#REF!</f>
        <v>#REF!</v>
      </c>
      <c r="FA20" s="17" t="e">
        <f>-53.07 + (304.89 * (EZ20)) + (90.79 *('Vacas e Bezerros'!#REF!-'Vacas e Bezerros'!#REF!)) - (3.13 * ('Vacas e Bezerros'!#REF!-'Vacas e Bezerros'!#REF!)^2)</f>
        <v>#REF!</v>
      </c>
      <c r="FC20" s="16" t="e">
        <f>((FD19+('Vacas e Bezerros'!#REF!-(FD19*0.64))/0.8)/1000)-'Vacas e Bezerros'!#REF!</f>
        <v>#REF!</v>
      </c>
      <c r="FD20" s="17" t="e">
        <f>-53.07 + (304.89 * (FC20)) + (90.79 *('Vacas e Bezerros'!#REF!-'Vacas e Bezerros'!#REF!)) - (3.13 * ('Vacas e Bezerros'!#REF!-'Vacas e Bezerros'!#REF!)^2)</f>
        <v>#REF!</v>
      </c>
      <c r="FF20" s="16" t="e">
        <f>((FG19+('Vacas e Bezerros'!#REF!-(FG19*0.64))/0.8)/1000)-'Vacas e Bezerros'!#REF!</f>
        <v>#REF!</v>
      </c>
      <c r="FG20" s="17" t="e">
        <f>-53.07 + (304.89 * (FF20)) + (90.79 *('Vacas e Bezerros'!#REF!-'Vacas e Bezerros'!#REF!)) - (3.13 * ('Vacas e Bezerros'!#REF!-'Vacas e Bezerros'!#REF!)^2)</f>
        <v>#REF!</v>
      </c>
      <c r="FI20" s="16" t="e">
        <f>((FJ19+('Vacas e Bezerros'!#REF!-(FJ19*0.64))/0.8)/1000)-'Vacas e Bezerros'!#REF!</f>
        <v>#REF!</v>
      </c>
      <c r="FJ20" s="17" t="e">
        <f>-53.07 + (304.89 * (FI20)) + (90.79 *('Vacas e Bezerros'!#REF!-'Vacas e Bezerros'!#REF!)) - (3.13 * ('Vacas e Bezerros'!#REF!-'Vacas e Bezerros'!#REF!)^2)</f>
        <v>#REF!</v>
      </c>
      <c r="FL20" s="16" t="e">
        <f>((FM19+('Vacas e Bezerros'!#REF!-(FM19*0.64))/0.8)/1000)-'Vacas e Bezerros'!#REF!</f>
        <v>#REF!</v>
      </c>
      <c r="FM20" s="17" t="e">
        <f>-53.07 + (304.89 * (FL20)) + (90.79 *('Vacas e Bezerros'!#REF!-'Vacas e Bezerros'!#REF!)) - (3.13 * ('Vacas e Bezerros'!#REF!-'Vacas e Bezerros'!#REF!)^2)</f>
        <v>#REF!</v>
      </c>
      <c r="FO20" s="16" t="e">
        <f>((FP19+('Vacas e Bezerros'!#REF!-(FP19*0.64))/0.8)/1000)-'Vacas e Bezerros'!#REF!</f>
        <v>#REF!</v>
      </c>
      <c r="FP20" s="17" t="e">
        <f>-53.07 + (304.89 * (FO20)) + (90.79 *('Vacas e Bezerros'!#REF!-'Vacas e Bezerros'!#REF!)) - (3.13 * ('Vacas e Bezerros'!#REF!-'Vacas e Bezerros'!#REF!)^2)</f>
        <v>#REF!</v>
      </c>
      <c r="FR20" s="16" t="e">
        <f>((FS19+('Vacas e Bezerros'!#REF!-(FS19*0.64))/0.8)/1000)-'Vacas e Bezerros'!#REF!</f>
        <v>#REF!</v>
      </c>
      <c r="FS20" s="17" t="e">
        <f>-53.07 + (304.89 * (FR20)) + (90.79 *('Vacas e Bezerros'!#REF!-'Vacas e Bezerros'!#REF!)) - (3.13 * ('Vacas e Bezerros'!#REF!-'Vacas e Bezerros'!#REF!)^2)</f>
        <v>#REF!</v>
      </c>
      <c r="FU20" s="16" t="e">
        <f>((FV19+('Vacas e Bezerros'!#REF!-(FV19*0.64))/0.8)/1000)-'Vacas e Bezerros'!#REF!</f>
        <v>#REF!</v>
      </c>
      <c r="FV20" s="17" t="e">
        <f>-53.07 + (304.89 * (FU20)) + (90.79 *('Vacas e Bezerros'!#REF!-'Vacas e Bezerros'!#REF!)) - (3.13 * ('Vacas e Bezerros'!#REF!-'Vacas e Bezerros'!#REF!)^2)</f>
        <v>#REF!</v>
      </c>
      <c r="FX20" s="16" t="e">
        <f>((FY19+('Vacas e Bezerros'!#REF!-(FY19*0.64))/0.8)/1000)-'Vacas e Bezerros'!#REF!</f>
        <v>#REF!</v>
      </c>
      <c r="FY20" s="17" t="e">
        <f>-53.07 + (304.89 * (FX20)) + (90.79 *('Vacas e Bezerros'!#REF!-'Vacas e Bezerros'!#REF!)) - (3.13 * ('Vacas e Bezerros'!#REF!-'Vacas e Bezerros'!#REF!)^2)</f>
        <v>#REF!</v>
      </c>
      <c r="GA20" s="16" t="e">
        <f>((GB19+('Vacas e Bezerros'!#REF!-(GB19*0.64))/0.8)/1000)-'Vacas e Bezerros'!#REF!</f>
        <v>#REF!</v>
      </c>
      <c r="GB20" s="17" t="e">
        <f>-53.07 + (304.89 * (GA20)) + (90.79 *('Vacas e Bezerros'!#REF!-'Vacas e Bezerros'!#REF!)) - (3.13 * ('Vacas e Bezerros'!#REF!-'Vacas e Bezerros'!#REF!)^2)</f>
        <v>#REF!</v>
      </c>
      <c r="GD20" s="16" t="e">
        <f>((GE19+('Vacas e Bezerros'!#REF!-(GE19*0.64))/0.8)/1000)-'Vacas e Bezerros'!#REF!</f>
        <v>#REF!</v>
      </c>
      <c r="GE20" s="17" t="e">
        <f>-53.07 + (304.89 * (GD20)) + (90.79 *('Vacas e Bezerros'!#REF!-'Vacas e Bezerros'!#REF!)) - (3.13 * ('Vacas e Bezerros'!#REF!-'Vacas e Bezerros'!#REF!)^2)</f>
        <v>#REF!</v>
      </c>
      <c r="GG20" s="16" t="e">
        <f>((GH19+('Vacas e Bezerros'!#REF!-(GH19*0.64))/0.8)/1000)-'Vacas e Bezerros'!#REF!</f>
        <v>#REF!</v>
      </c>
      <c r="GH20" s="17" t="e">
        <f>-53.07 + (304.89 * (GG20)) + (90.79 *('Vacas e Bezerros'!#REF!-'Vacas e Bezerros'!#REF!)) - (3.13 * ('Vacas e Bezerros'!#REF!-'Vacas e Bezerros'!#REF!)^2)</f>
        <v>#REF!</v>
      </c>
      <c r="GJ20" s="16" t="e">
        <f>((GK19+('Vacas e Bezerros'!#REF!-(GK19*0.64))/0.8)/1000)-'Vacas e Bezerros'!#REF!</f>
        <v>#REF!</v>
      </c>
      <c r="GK20" s="17" t="e">
        <f>-53.07 + (304.89 * (GJ20)) + (90.79 *('Vacas e Bezerros'!#REF!-'Vacas e Bezerros'!#REF!)) - (3.13 * ('Vacas e Bezerros'!#REF!-'Vacas e Bezerros'!#REF!)^2)</f>
        <v>#REF!</v>
      </c>
      <c r="GM20" s="16" t="e">
        <f>((GN19+('Vacas e Bezerros'!#REF!-(GN19*0.64))/0.8)/1000)-'Vacas e Bezerros'!#REF!</f>
        <v>#REF!</v>
      </c>
      <c r="GN20" s="17" t="e">
        <f>-53.07 + (304.89 * (GM20)) + (90.79 *('Vacas e Bezerros'!#REF!-'Vacas e Bezerros'!#REF!)) - (3.13 * ('Vacas e Bezerros'!#REF!-'Vacas e Bezerros'!#REF!)^2)</f>
        <v>#REF!</v>
      </c>
    </row>
    <row r="21" spans="3:196" x14ac:dyDescent="0.25">
      <c r="C21" s="16">
        <f>(D20+('Vacas e Bezerros'!$AA$28-(D20*0.64))/0.8)/1000</f>
        <v>0.35719668016155687</v>
      </c>
      <c r="D21" s="17">
        <f>-53.07 + (304.89 * (C21-'Vacas e Bezerros'!$C$206)) + (90.79 *('Vacas e Bezerros'!$AA$22)) - (3.13 *('Vacas e Bezerros'!$AA$22)^2)</f>
        <v>165.01876457544017</v>
      </c>
      <c r="F21" s="16" t="e">
        <f>(G20+(Crescimento!#REF!-(G20*0.64))/0.8)/1000</f>
        <v>#REF!</v>
      </c>
      <c r="G21" s="17" t="e">
        <f>-53.07 + (304.89 * (F21)) + (90.79 *Crescimento!#REF!) - (3.13 * Crescimento!#REF!*Crescimento!#REF!)</f>
        <v>#REF!</v>
      </c>
      <c r="H21" s="1"/>
      <c r="I21" s="16" t="e">
        <f>(J20+(Crescimento!#REF!-(J20*0.64))/0.8)/1000</f>
        <v>#REF!</v>
      </c>
      <c r="J21" s="17" t="e">
        <f>-53.07 + (304.89 * (I21)) + (90.79 *Crescimento!#REF!) - (3.13 * Crescimento!#REF!*Crescimento!#REF!)</f>
        <v>#REF!</v>
      </c>
      <c r="L21" s="16" t="e">
        <f>(M20+(Crescimento!#REF!-(M20*0.64))/0.8)/1000</f>
        <v>#REF!</v>
      </c>
      <c r="M21" s="17" t="e">
        <f>-53.07 + (304.89 * (L21)) + (90.79 *Crescimento!#REF!) - (3.13 * Crescimento!#REF!*Crescimento!#REF!)</f>
        <v>#REF!</v>
      </c>
      <c r="O21" s="16" t="e">
        <f>(P20+(Crescimento!#REF!-(P20*0.64))/0.8)/1000</f>
        <v>#REF!</v>
      </c>
      <c r="P21" s="17" t="e">
        <f>-53.07 + (304.89 * (O21)) + (90.79 *Crescimento!#REF!) - (3.13 * Crescimento!#REF!*Crescimento!#REF!)</f>
        <v>#REF!</v>
      </c>
      <c r="R21" s="16" t="e">
        <f>(S20+(Crescimento!#REF!-(S20*0.64))/0.8)/1000</f>
        <v>#REF!</v>
      </c>
      <c r="S21" s="17" t="e">
        <f>-53.07 + (304.89 * (R21)) + (90.79 *Crescimento!#REF!) - (3.13 * Crescimento!#REF!*Crescimento!#REF!)</f>
        <v>#REF!</v>
      </c>
      <c r="U21" s="16" t="e">
        <f>(V20+(Crescimento!#REF!-(V20*0.64))/0.8)/1000</f>
        <v>#REF!</v>
      </c>
      <c r="V21" s="17" t="e">
        <f>-53.07 + (304.89 * (U21)) + (90.79 *Crescimento!#REF!) - (3.13 * Crescimento!#REF!*Crescimento!#REF!)</f>
        <v>#REF!</v>
      </c>
      <c r="X21" s="16" t="e">
        <f>(Y20+(Crescimento!#REF!-(Y20*0.64))/0.8)/1000</f>
        <v>#REF!</v>
      </c>
      <c r="Y21" s="17" t="e">
        <f>-53.07 + (304.89 * (X21)) + (90.79 *Crescimento!#REF!) - (3.13 * Crescimento!#REF!*Crescimento!#REF!)</f>
        <v>#REF!</v>
      </c>
      <c r="Z21" s="6"/>
      <c r="AA21" s="16" t="e">
        <f>(AB20+(Crescimento!#REF!-(AB20*0.64))/0.8)/1000</f>
        <v>#REF!</v>
      </c>
      <c r="AB21" s="17" t="e">
        <f>-53.07 + (304.89 * (AA21)) + (90.79 *Crescimento!#REF!) - (3.13 * Crescimento!#REF!*Crescimento!#REF!)</f>
        <v>#REF!</v>
      </c>
      <c r="AC21" s="6"/>
      <c r="AD21" s="16" t="e">
        <f>(AE20+(Crescimento!#REF!-(AE20*0.64))/0.8)/1000</f>
        <v>#REF!</v>
      </c>
      <c r="AE21" s="17" t="e">
        <f>-53.07 + (304.89 * (AD21)) + (90.79 *Crescimento!#REF!) - (3.13 * Crescimento!#REF!*Crescimento!#REF!)</f>
        <v>#REF!</v>
      </c>
      <c r="AF21" s="17"/>
      <c r="AG21" s="16" t="e">
        <f>(AH20+(Crescimento!#REF!-(AH20*0.64))/0.8)/1000</f>
        <v>#REF!</v>
      </c>
      <c r="AH21" s="17" t="e">
        <f>-53.07 + (304.89 * (AG21)) + (90.79 *Crescimento!#REF!) - (3.13 * Crescimento!#REF!*Crescimento!#REF!)</f>
        <v>#REF!</v>
      </c>
      <c r="AJ21" s="16" t="e">
        <f>(AK20+(Crescimento!#REF!-(AK20*0.64))/0.8)/1000</f>
        <v>#REF!</v>
      </c>
      <c r="AK21" s="17" t="e">
        <f>-53.07 + (304.89 * (AJ21)) + (90.79 *Crescimento!#REF!) - (3.13 * Crescimento!#REF!*Crescimento!#REF!)</f>
        <v>#REF!</v>
      </c>
      <c r="AM21" s="16" t="e">
        <f>(AN20+(Crescimento!#REF!-(AN20*0.64))/0.8)/1000</f>
        <v>#REF!</v>
      </c>
      <c r="AN21" s="17" t="e">
        <f>-53.07 + (304.89 * (AM21)) + (90.79 *Crescimento!#REF!) - (3.13 * Crescimento!#REF!*Crescimento!#REF!)</f>
        <v>#REF!</v>
      </c>
      <c r="AP21" s="16" t="e">
        <f>(AQ20+(Crescimento!#REF!-(AQ20*0.64))/0.8)/1000</f>
        <v>#REF!</v>
      </c>
      <c r="AQ21" s="17" t="e">
        <f>-53.07 + (304.89 * (AP21)) + (90.79 *Crescimento!#REF!) - (3.13 * Crescimento!#REF!*Crescimento!#REF!)</f>
        <v>#REF!</v>
      </c>
      <c r="AS21" s="16" t="e">
        <f>(AT20+(Crescimento!#REF!-(AT20*0.64))/0.8)/1000</f>
        <v>#REF!</v>
      </c>
      <c r="AT21" s="17" t="e">
        <f>-53.07 + (304.89 * (AS21)) + (90.79 *Crescimento!#REF!) - (3.13 * Crescimento!#REF!*Crescimento!#REF!)</f>
        <v>#REF!</v>
      </c>
      <c r="AV21" s="16" t="e">
        <f>(AW20+(Crescimento!#REF!-(AW20*0.64))/0.8)/1000</f>
        <v>#REF!</v>
      </c>
      <c r="AW21" s="17" t="e">
        <f>-53.07 + (304.89 * (AV21)) + (90.79 *Crescimento!#REF!) - (3.13 * Crescimento!#REF!*Crescimento!#REF!)</f>
        <v>#REF!</v>
      </c>
      <c r="AY21" s="21" t="e">
        <f>((AZ20+(Crescimento!#REF!-(AZ20*0.64))/0.8)/1000)-Crescimento!#REF!</f>
        <v>#REF!</v>
      </c>
      <c r="AZ21" s="22" t="e">
        <f>-53.07 + (304.89 * (AY21)) + (90.79 *(Crescimento!#REF!-Crescimento!#REF!)) - (3.13 * (Crescimento!#REF!-Crescimento!#REF!)^2)</f>
        <v>#REF!</v>
      </c>
      <c r="BA21" s="23"/>
      <c r="BB21" s="21" t="e">
        <f>((BC20+(Crescimento!#REF!-(BC20*0.64))/0.8)/1000)-Crescimento!#REF!</f>
        <v>#REF!</v>
      </c>
      <c r="BC21" s="22" t="e">
        <f>-53.07 + (304.89 * (BB21)) + (90.79 *(Crescimento!#REF!-Crescimento!#REF!)) - (3.13 * (Crescimento!#REF!-Crescimento!#REF!)^2)</f>
        <v>#REF!</v>
      </c>
      <c r="BD21" s="23"/>
      <c r="BE21" s="21" t="e">
        <f>((BF20+(Crescimento!#REF!-(BF20*0.64))/0.8)/1000)-Crescimento!#REF!</f>
        <v>#REF!</v>
      </c>
      <c r="BF21" s="22" t="e">
        <f>-53.07 + (304.89 * (BE21)) + (90.79 *(Crescimento!#REF!-Crescimento!#REF!)) - (3.13 * (Crescimento!#REF!-Crescimento!#REF!)^2)</f>
        <v>#REF!</v>
      </c>
      <c r="BG21" s="23"/>
      <c r="BH21" s="21" t="e">
        <f>((BI20+(Crescimento!#REF!-(BI20*0.64))/0.8)/1000)-Crescimento!#REF!</f>
        <v>#REF!</v>
      </c>
      <c r="BI21" s="22" t="e">
        <f>-53.07 + (304.89 * (BH21)) + (90.79 *(Crescimento!#REF!-Crescimento!#REF!)) - (3.13 * (Crescimento!#REF!-Crescimento!#REF!)^2)</f>
        <v>#REF!</v>
      </c>
      <c r="BJ21" s="23"/>
      <c r="BK21" s="21" t="e">
        <f>((BL20+(Crescimento!#REF!-(BL20*0.64))/0.8)/1000)-Crescimento!#REF!</f>
        <v>#REF!</v>
      </c>
      <c r="BL21" s="22" t="e">
        <f>-53.07 + (304.89 * (BK21)) + (90.79 *(Crescimento!#REF!-Crescimento!#REF!)) - (3.13 * (Crescimento!#REF!-Crescimento!#REF!)^2)</f>
        <v>#REF!</v>
      </c>
      <c r="BM21" s="23"/>
      <c r="BN21" s="21" t="e">
        <f>((BO20+(Crescimento!#REF!-(BO20*0.64))/0.8)/1000)-Crescimento!#REF!</f>
        <v>#REF!</v>
      </c>
      <c r="BO21" s="22" t="e">
        <f>-53.07 + (304.89 * (BN21)) + (90.79 *(Crescimento!#REF!-Crescimento!#REF!)) - (3.13 * (Crescimento!#REF!-Crescimento!#REF!)^2)</f>
        <v>#REF!</v>
      </c>
      <c r="BP21" s="23"/>
      <c r="BQ21" s="21" t="e">
        <f>((BR20+(Crescimento!#REF!-(BR20*0.64))/0.8)/1000)-Crescimento!#REF!</f>
        <v>#REF!</v>
      </c>
      <c r="BR21" s="22" t="e">
        <f>-53.07 + (304.89 * (BQ21)) + (90.79 *(Crescimento!#REF!-Crescimento!#REF!)) - (3.13 * (Crescimento!#REF!-Crescimento!#REF!)^2)</f>
        <v>#REF!</v>
      </c>
      <c r="BS21" s="23"/>
      <c r="BT21" s="21" t="e">
        <f>((BU20+(Crescimento!#REF!-(BU20*0.64))/0.8)/1000)-Crescimento!#REF!</f>
        <v>#REF!</v>
      </c>
      <c r="BU21" s="22" t="e">
        <f>-53.07 + (304.89 * (BT21)) + (90.79 *(Crescimento!#REF!-Crescimento!#REF!)) - (3.13 * (Crescimento!#REF!-Crescimento!#REF!)^2)</f>
        <v>#REF!</v>
      </c>
      <c r="BV21" s="23"/>
      <c r="BW21" s="21" t="e">
        <f>((BX20+(Crescimento!#REF!-(BX20*0.64))/0.8)/1000)-Crescimento!#REF!</f>
        <v>#REF!</v>
      </c>
      <c r="BX21" s="22" t="e">
        <f>-53.07 + (304.89 * (BW21)) + (90.79 *(Crescimento!#REF!-Crescimento!#REF!)) - (3.13 * (Crescimento!#REF!-Crescimento!#REF!)^2)</f>
        <v>#REF!</v>
      </c>
      <c r="BY21" s="23"/>
      <c r="BZ21" s="21" t="e">
        <f>((CA20+(Crescimento!#REF!-(CA20*0.64))/0.8)/1000)-Crescimento!#REF!</f>
        <v>#REF!</v>
      </c>
      <c r="CA21" s="22" t="e">
        <f>-53.07 + (304.89 * (BZ21)) + (90.79 *(Crescimento!#REF!-Crescimento!#REF!)) - (3.13 * (Crescimento!#REF!-Crescimento!#REF!)^2)</f>
        <v>#REF!</v>
      </c>
      <c r="CB21" s="23"/>
      <c r="CC21" s="21" t="e">
        <f>((CD20+(Crescimento!#REF!-(CD20*0.64))/0.8)/1000)-Crescimento!#REF!</f>
        <v>#REF!</v>
      </c>
      <c r="CD21" s="22" t="e">
        <f>-53.07 + (304.89 * (CC21)) + (90.79 *(Crescimento!#REF!-Crescimento!#REF!)) - (3.13 * (Crescimento!#REF!-Crescimento!#REF!)^2)</f>
        <v>#REF!</v>
      </c>
      <c r="CE21" s="23"/>
      <c r="CF21" s="21" t="e">
        <f>((CG20+(Crescimento!#REF!-(CG20*0.64))/0.8)/1000)-Crescimento!#REF!</f>
        <v>#REF!</v>
      </c>
      <c r="CG21" s="22" t="e">
        <f>-53.07 + (304.89 * (CF21)) + (90.79 *(Crescimento!#REF!-Crescimento!#REF!)) - (3.13 * (Crescimento!#REF!-Crescimento!#REF!)^2)</f>
        <v>#REF!</v>
      </c>
      <c r="CH21" s="23"/>
      <c r="CI21" s="21" t="e">
        <f>((CJ20+(Crescimento!#REF!-(CJ20*0.64))/0.8)/1000)-Crescimento!#REF!</f>
        <v>#REF!</v>
      </c>
      <c r="CJ21" s="22" t="e">
        <f>-53.07 + (304.89 * (CI21)) + (90.79 *(Crescimento!#REF!-Crescimento!#REF!)) - (3.13 * (Crescimento!#REF!-Crescimento!#REF!)^2)</f>
        <v>#REF!</v>
      </c>
      <c r="CK21" s="23"/>
      <c r="CL21" s="21" t="e">
        <f>((CM20+(Crescimento!#REF!-(CM20*0.64))/0.8)/1000)-Crescimento!#REF!</f>
        <v>#REF!</v>
      </c>
      <c r="CM21" s="22" t="e">
        <f>-53.07 + (304.89 * (CL21)) + (90.79 *(Crescimento!#REF!-Crescimento!#REF!)) - (3.13 * (Crescimento!#REF!-Crescimento!#REF!)^2)</f>
        <v>#REF!</v>
      </c>
      <c r="CN21" s="23"/>
      <c r="CO21" s="21" t="e">
        <f>((CP20+(Crescimento!#REF!-(CP20*0.64))/0.8)/1000)-Crescimento!#REF!</f>
        <v>#REF!</v>
      </c>
      <c r="CP21" s="22" t="e">
        <f>-53.07 + (304.89 * (CO21)) + (90.79 *(Crescimento!#REF!-Crescimento!#REF!)) - (3.13 * (Crescimento!#REF!-Crescimento!#REF!)^2)</f>
        <v>#REF!</v>
      </c>
      <c r="CQ21" s="23"/>
      <c r="CR21" s="21" t="e">
        <f>((CS20+(Crescimento!#REF!-(CS20*0.64))/0.8)/1000)-Crescimento!#REF!</f>
        <v>#REF!</v>
      </c>
      <c r="CS21" s="22" t="e">
        <f>-53.07 + (304.89 * (CR21)) + (90.79 *(Crescimento!#REF!-Crescimento!#REF!)) - (3.13 * (Crescimento!#REF!-Crescimento!#REF!)^2)</f>
        <v>#REF!</v>
      </c>
      <c r="CX21" s="16" t="e">
        <f>((CY20+(Crescimento!#REF!-(CY20*0.64))/0.8)/1000)-Crescimento!#REF!</f>
        <v>#REF!</v>
      </c>
      <c r="CY21" s="17" t="e">
        <f>-53.07 + (304.89 * (CX21)) + (90.79 *(Crescimento!#REF!-Crescimento!#REF!)) - (3.13 * (Crescimento!#REF!-Crescimento!#REF!)^2)</f>
        <v>#REF!</v>
      </c>
      <c r="DA21" s="16" t="e">
        <f>((DB20+(Crescimento!#REF!-(DB20*0.64))/0.8)/1000)-Crescimento!#REF!</f>
        <v>#REF!</v>
      </c>
      <c r="DB21" s="17" t="e">
        <f>-53.07 + (304.89 * (DA21)) + (90.79 *(Crescimento!#REF!-Crescimento!#REF!)) - (3.13 * (Crescimento!#REF!-Crescimento!#REF!)^2)</f>
        <v>#REF!</v>
      </c>
      <c r="DD21" s="16" t="e">
        <f>(DE20+(Crescimento!#REF!-(DE20*0.64))/0.8)/1000</f>
        <v>#REF!</v>
      </c>
      <c r="DE21" s="17" t="e">
        <f>-53.07 + (304.89 * (DD21)) + (90.79 *Crescimento!#REF!) - (3.13 * Crescimento!#REF!*Crescimento!#REF!)</f>
        <v>#REF!</v>
      </c>
      <c r="DG21" s="16" t="e">
        <f>((DH20+(Crescimento!#REF!-(DH20*0.64))/0.8)/1000)-Crescimento!#REF!</f>
        <v>#REF!</v>
      </c>
      <c r="DH21" s="17" t="e">
        <f>-53.07 + (304.89 * (DG21)) + (90.79 *(Crescimento!#REF!-Crescimento!#REF!)) - (3.13 * (Crescimento!#REF!-Crescimento!#REF!)^2)</f>
        <v>#REF!</v>
      </c>
      <c r="DJ21" s="16" t="e">
        <f>((DK20+(Crescimento!#REF!-(DK20*0.64))/0.8)/1000)-Crescimento!#REF!</f>
        <v>#REF!</v>
      </c>
      <c r="DK21" s="17" t="e">
        <f>-53.07 + (304.89 * (DJ21)) + (90.79 *(Crescimento!#REF!-Crescimento!#REF!)) - (3.13 * (Crescimento!#REF!-Crescimento!#REF!)^2)</f>
        <v>#REF!</v>
      </c>
      <c r="DM21" s="16" t="e">
        <f>((DN20+(Crescimento!#REF!-(DN20*0.64))/0.8)/1000)-Crescimento!#REF!</f>
        <v>#REF!</v>
      </c>
      <c r="DN21" s="17" t="e">
        <f>-53.07 + (304.89 * (DM21)) + (90.79 *(Crescimento!#REF!-Crescimento!#REF!)) - (3.13 * (Crescimento!#REF!-Crescimento!#REF!)^2)</f>
        <v>#REF!</v>
      </c>
      <c r="DP21" s="16" t="e">
        <f>(DQ20+(Crescimento!#REF!-(DQ20*0.64))/0.8)/1000</f>
        <v>#REF!</v>
      </c>
      <c r="DQ21" s="17" t="e">
        <f>-53.07 + (304.89 * (DP21)) + (90.79 *(Crescimento!#REF!-Crescimento!#REF!)) - (3.13 * (Crescimento!#REF!-Crescimento!#REF!)^2)</f>
        <v>#REF!</v>
      </c>
      <c r="DS21" s="16" t="e">
        <f>((DT20+(Crescimento!#REF!-(DT20*0.64))/0.8)/1000)-Crescimento!#REF!</f>
        <v>#REF!</v>
      </c>
      <c r="DT21" s="17" t="e">
        <f>-53.07 + (304.89 * (DS21)) + (90.79 *(Crescimento!#REF!-Crescimento!#REF!)) - (3.13 * (Crescimento!#REF!-Crescimento!#REF!)^2)</f>
        <v>#REF!</v>
      </c>
      <c r="DV21" s="16" t="e">
        <f>((DW20+(Crescimento!#REF!-(DW20*0.64))/0.8)/1000)-Crescimento!#REF!</f>
        <v>#REF!</v>
      </c>
      <c r="DW21" s="17" t="e">
        <f>-53.07 + (304.89 * (DV21)) + (90.79 *(Crescimento!#REF!-Crescimento!#REF!)) - (3.13 * (Crescimento!#REF!-Crescimento!#REF!)^2)</f>
        <v>#REF!</v>
      </c>
      <c r="DY21" s="16" t="e">
        <f>((DZ20+(Crescimento!#REF!-(DZ20*0.64))/0.8)/1000)-Crescimento!#REF!</f>
        <v>#REF!</v>
      </c>
      <c r="DZ21" s="17" t="e">
        <f>-53.07 + (304.89 * (DY21)) + (90.79 *(Crescimento!#REF!-Crescimento!#REF!)) - (3.13 * (Crescimento!#REF!-Crescimento!#REF!)^2)</f>
        <v>#REF!</v>
      </c>
      <c r="EB21" s="16" t="e">
        <f>((EC20+(Crescimento!#REF!-(EC20*0.64))/0.8)/1000)-Crescimento!#REF!</f>
        <v>#REF!</v>
      </c>
      <c r="EC21" s="17" t="e">
        <f>-53.07 + (304.89 * (EB21)) + (90.79 *(Crescimento!#REF!-Crescimento!#REF!)) - (3.13 * (Crescimento!#REF!-Crescimento!#REF!)^2)</f>
        <v>#REF!</v>
      </c>
      <c r="EE21" s="16" t="e">
        <f>((EF20+(Crescimento!#REF!-(EF20*0.64))/0.8)/1000)-Crescimento!#REF!</f>
        <v>#REF!</v>
      </c>
      <c r="EF21" s="17" t="e">
        <f>-53.07 + (304.89 * (EE21)) + (90.79 *(Crescimento!#REF!-Crescimento!#REF!)) - (3.13 * (Crescimento!#REF!-Crescimento!#REF!)^2)</f>
        <v>#REF!</v>
      </c>
      <c r="EH21" s="16" t="e">
        <f>((EI20+(Crescimento!#REF!-(EI20*0.64))/0.8)/1000)-Crescimento!#REF!</f>
        <v>#REF!</v>
      </c>
      <c r="EI21" s="17" t="e">
        <f>-53.07 + (304.89 * (EH21)) + (90.79 *(Crescimento!#REF!-Crescimento!#REF!)) - (3.13 * (Crescimento!#REF!-Crescimento!#REF!)^2)</f>
        <v>#REF!</v>
      </c>
      <c r="EK21" s="16" t="e">
        <f>((EL20+(Crescimento!#REF!-(EL20*0.64))/0.8)/1000)-Crescimento!#REF!</f>
        <v>#REF!</v>
      </c>
      <c r="EL21" s="17" t="e">
        <f>-53.07 + (304.89 * (EK21)) + (90.79 *(Crescimento!#REF!-Crescimento!#REF!)) - (3.13 * (Crescimento!#REF!-Crescimento!#REF!)^2)</f>
        <v>#REF!</v>
      </c>
      <c r="EN21" s="16" t="e">
        <f>((EO20+(Crescimento!#REF!-(EO20*0.64))/0.8)/1000)-Crescimento!#REF!</f>
        <v>#REF!</v>
      </c>
      <c r="EO21" s="17" t="e">
        <f>-53.07 + (304.89 * (EN21)) + (90.79 *(Crescimento!#REF!-Crescimento!#REF!)) - (3.13 * (Crescimento!#REF!-Crescimento!#REF!)^2)</f>
        <v>#REF!</v>
      </c>
      <c r="EQ21" s="16" t="e">
        <f>((ER20+(Crescimento!#REF!-(ER20*0.64))/0.8)/1000)-Crescimento!#REF!</f>
        <v>#REF!</v>
      </c>
      <c r="ER21" s="17" t="e">
        <f>-53.07 + (304.89 * (EQ21)) + (90.79 *(Crescimento!#REF!-Crescimento!#REF!)) - (3.13 * (Crescimento!#REF!-Crescimento!#REF!)^2)</f>
        <v>#REF!</v>
      </c>
      <c r="ET21" s="16" t="e">
        <f>((EU20+(Crescimento!#REF!-(EU20*0.64))/0.8)/1000)-Crescimento!#REF!</f>
        <v>#REF!</v>
      </c>
      <c r="EU21" s="17" t="e">
        <f>-53.07 + (304.89 * (ET21)) + (90.79 *(Crescimento!#REF!-Crescimento!#REF!)) - (3.13 * (Crescimento!#REF!-Crescimento!#REF!)^2)</f>
        <v>#REF!</v>
      </c>
      <c r="EW21" s="16" t="e">
        <f>((EX20+('Vacas e Bezerros'!#REF!-(EX20*0.64))/0.8)/1000)-'Vacas e Bezerros'!#REF!</f>
        <v>#REF!</v>
      </c>
      <c r="EX21" s="17" t="e">
        <f>-53.07 + (304.89 * (EW21)) + (90.79 *('Vacas e Bezerros'!#REF!-'Vacas e Bezerros'!#REF!)) - (3.13 * ('Vacas e Bezerros'!#REF!-'Vacas e Bezerros'!#REF!)^2)</f>
        <v>#REF!</v>
      </c>
      <c r="EZ21" s="16" t="e">
        <f>((FA20+('Vacas e Bezerros'!#REF!-(FA20*0.64))/0.8)/1000)-'Vacas e Bezerros'!#REF!</f>
        <v>#REF!</v>
      </c>
      <c r="FA21" s="17" t="e">
        <f>-53.07 + (304.89 * (EZ21)) + (90.79 *('Vacas e Bezerros'!#REF!-'Vacas e Bezerros'!#REF!)) - (3.13 * ('Vacas e Bezerros'!#REF!-'Vacas e Bezerros'!#REF!)^2)</f>
        <v>#REF!</v>
      </c>
      <c r="FC21" s="16" t="e">
        <f>((FD20+('Vacas e Bezerros'!#REF!-(FD20*0.64))/0.8)/1000)-'Vacas e Bezerros'!#REF!</f>
        <v>#REF!</v>
      </c>
      <c r="FD21" s="17" t="e">
        <f>-53.07 + (304.89 * (FC21)) + (90.79 *('Vacas e Bezerros'!#REF!-'Vacas e Bezerros'!#REF!)) - (3.13 * ('Vacas e Bezerros'!#REF!-'Vacas e Bezerros'!#REF!)^2)</f>
        <v>#REF!</v>
      </c>
      <c r="FF21" s="16" t="e">
        <f>((FG20+('Vacas e Bezerros'!#REF!-(FG20*0.64))/0.8)/1000)-'Vacas e Bezerros'!#REF!</f>
        <v>#REF!</v>
      </c>
      <c r="FG21" s="17" t="e">
        <f>-53.07 + (304.89 * (FF21)) + (90.79 *('Vacas e Bezerros'!#REF!-'Vacas e Bezerros'!#REF!)) - (3.13 * ('Vacas e Bezerros'!#REF!-'Vacas e Bezerros'!#REF!)^2)</f>
        <v>#REF!</v>
      </c>
      <c r="FI21" s="16" t="e">
        <f>((FJ20+('Vacas e Bezerros'!#REF!-(FJ20*0.64))/0.8)/1000)-'Vacas e Bezerros'!#REF!</f>
        <v>#REF!</v>
      </c>
      <c r="FJ21" s="17" t="e">
        <f>-53.07 + (304.89 * (FI21)) + (90.79 *('Vacas e Bezerros'!#REF!-'Vacas e Bezerros'!#REF!)) - (3.13 * ('Vacas e Bezerros'!#REF!-'Vacas e Bezerros'!#REF!)^2)</f>
        <v>#REF!</v>
      </c>
      <c r="FL21" s="16" t="e">
        <f>((FM20+('Vacas e Bezerros'!#REF!-(FM20*0.64))/0.8)/1000)-'Vacas e Bezerros'!#REF!</f>
        <v>#REF!</v>
      </c>
      <c r="FM21" s="17" t="e">
        <f>-53.07 + (304.89 * (FL21)) + (90.79 *('Vacas e Bezerros'!#REF!-'Vacas e Bezerros'!#REF!)) - (3.13 * ('Vacas e Bezerros'!#REF!-'Vacas e Bezerros'!#REF!)^2)</f>
        <v>#REF!</v>
      </c>
      <c r="FO21" s="16" t="e">
        <f>((FP20+('Vacas e Bezerros'!#REF!-(FP20*0.64))/0.8)/1000)-'Vacas e Bezerros'!#REF!</f>
        <v>#REF!</v>
      </c>
      <c r="FP21" s="17" t="e">
        <f>-53.07 + (304.89 * (FO21)) + (90.79 *('Vacas e Bezerros'!#REF!-'Vacas e Bezerros'!#REF!)) - (3.13 * ('Vacas e Bezerros'!#REF!-'Vacas e Bezerros'!#REF!)^2)</f>
        <v>#REF!</v>
      </c>
      <c r="FR21" s="16" t="e">
        <f>((FS20+('Vacas e Bezerros'!#REF!-(FS20*0.64))/0.8)/1000)-'Vacas e Bezerros'!#REF!</f>
        <v>#REF!</v>
      </c>
      <c r="FS21" s="17" t="e">
        <f>-53.07 + (304.89 * (FR21)) + (90.79 *('Vacas e Bezerros'!#REF!-'Vacas e Bezerros'!#REF!)) - (3.13 * ('Vacas e Bezerros'!#REF!-'Vacas e Bezerros'!#REF!)^2)</f>
        <v>#REF!</v>
      </c>
      <c r="FU21" s="16" t="e">
        <f>((FV20+('Vacas e Bezerros'!#REF!-(FV20*0.64))/0.8)/1000)-'Vacas e Bezerros'!#REF!</f>
        <v>#REF!</v>
      </c>
      <c r="FV21" s="17" t="e">
        <f>-53.07 + (304.89 * (FU21)) + (90.79 *('Vacas e Bezerros'!#REF!-'Vacas e Bezerros'!#REF!)) - (3.13 * ('Vacas e Bezerros'!#REF!-'Vacas e Bezerros'!#REF!)^2)</f>
        <v>#REF!</v>
      </c>
      <c r="FX21" s="16" t="e">
        <f>((FY20+('Vacas e Bezerros'!#REF!-(FY20*0.64))/0.8)/1000)-'Vacas e Bezerros'!#REF!</f>
        <v>#REF!</v>
      </c>
      <c r="FY21" s="17" t="e">
        <f>-53.07 + (304.89 * (FX21)) + (90.79 *('Vacas e Bezerros'!#REF!-'Vacas e Bezerros'!#REF!)) - (3.13 * ('Vacas e Bezerros'!#REF!-'Vacas e Bezerros'!#REF!)^2)</f>
        <v>#REF!</v>
      </c>
      <c r="GA21" s="16" t="e">
        <f>((GB20+('Vacas e Bezerros'!#REF!-(GB20*0.64))/0.8)/1000)-'Vacas e Bezerros'!#REF!</f>
        <v>#REF!</v>
      </c>
      <c r="GB21" s="17" t="e">
        <f>-53.07 + (304.89 * (GA21)) + (90.79 *('Vacas e Bezerros'!#REF!-'Vacas e Bezerros'!#REF!)) - (3.13 * ('Vacas e Bezerros'!#REF!-'Vacas e Bezerros'!#REF!)^2)</f>
        <v>#REF!</v>
      </c>
      <c r="GD21" s="16" t="e">
        <f>((GE20+('Vacas e Bezerros'!#REF!-(GE20*0.64))/0.8)/1000)-'Vacas e Bezerros'!#REF!</f>
        <v>#REF!</v>
      </c>
      <c r="GE21" s="17" t="e">
        <f>-53.07 + (304.89 * (GD21)) + (90.79 *('Vacas e Bezerros'!#REF!-'Vacas e Bezerros'!#REF!)) - (3.13 * ('Vacas e Bezerros'!#REF!-'Vacas e Bezerros'!#REF!)^2)</f>
        <v>#REF!</v>
      </c>
      <c r="GG21" s="16" t="e">
        <f>((GH20+('Vacas e Bezerros'!#REF!-(GH20*0.64))/0.8)/1000)-'Vacas e Bezerros'!#REF!</f>
        <v>#REF!</v>
      </c>
      <c r="GH21" s="17" t="e">
        <f>-53.07 + (304.89 * (GG21)) + (90.79 *('Vacas e Bezerros'!#REF!-'Vacas e Bezerros'!#REF!)) - (3.13 * ('Vacas e Bezerros'!#REF!-'Vacas e Bezerros'!#REF!)^2)</f>
        <v>#REF!</v>
      </c>
      <c r="GJ21" s="16" t="e">
        <f>((GK20+('Vacas e Bezerros'!#REF!-(GK20*0.64))/0.8)/1000)-'Vacas e Bezerros'!#REF!</f>
        <v>#REF!</v>
      </c>
      <c r="GK21" s="17" t="e">
        <f>-53.07 + (304.89 * (GJ21)) + (90.79 *('Vacas e Bezerros'!#REF!-'Vacas e Bezerros'!#REF!)) - (3.13 * ('Vacas e Bezerros'!#REF!-'Vacas e Bezerros'!#REF!)^2)</f>
        <v>#REF!</v>
      </c>
      <c r="GM21" s="16" t="e">
        <f>((GN20+('Vacas e Bezerros'!#REF!-(GN20*0.64))/0.8)/1000)-'Vacas e Bezerros'!#REF!</f>
        <v>#REF!</v>
      </c>
      <c r="GN21" s="17" t="e">
        <f>-53.07 + (304.89 * (GM21)) + (90.79 *('Vacas e Bezerros'!#REF!-'Vacas e Bezerros'!#REF!)) - (3.13 * ('Vacas e Bezerros'!#REF!-'Vacas e Bezerros'!#REF!)^2)</f>
        <v>#REF!</v>
      </c>
    </row>
    <row r="22" spans="3:196" x14ac:dyDescent="0.25">
      <c r="C22" s="16">
        <f>(D21+('Vacas e Bezerros'!$AA$28-(D21*0.64))/0.8)/1000</f>
        <v>0.35719668016155687</v>
      </c>
      <c r="D22" s="17">
        <f>-53.07 + (304.89 * (C22-'Vacas e Bezerros'!$C$206)) + (90.79 *('Vacas e Bezerros'!$AA$22)) - (3.13 *('Vacas e Bezerros'!$AA$22)^2)</f>
        <v>165.01876457544017</v>
      </c>
      <c r="F22" s="16" t="e">
        <f>(G21+(Crescimento!#REF!-(G21*0.64))/0.8)/1000</f>
        <v>#REF!</v>
      </c>
      <c r="G22" s="17" t="e">
        <f>-53.07 + (304.89 * (F22)) + (90.79 *Crescimento!#REF!) - (3.13 * Crescimento!#REF!*Crescimento!#REF!)</f>
        <v>#REF!</v>
      </c>
      <c r="H22" s="1"/>
      <c r="I22" s="16" t="e">
        <f>(J21+(Crescimento!#REF!-(J21*0.64))/0.8)/1000</f>
        <v>#REF!</v>
      </c>
      <c r="J22" s="17" t="e">
        <f>-53.07 + (304.89 * (I22)) + (90.79 *Crescimento!#REF!) - (3.13 * Crescimento!#REF!*Crescimento!#REF!)</f>
        <v>#REF!</v>
      </c>
      <c r="L22" s="16" t="e">
        <f>(M21+(Crescimento!#REF!-(M21*0.64))/0.8)/1000</f>
        <v>#REF!</v>
      </c>
      <c r="M22" s="17" t="e">
        <f>-53.07 + (304.89 * (L22)) + (90.79 *Crescimento!#REF!) - (3.13 * Crescimento!#REF!*Crescimento!#REF!)</f>
        <v>#REF!</v>
      </c>
      <c r="O22" s="16" t="e">
        <f>(P21+(Crescimento!#REF!-(P21*0.64))/0.8)/1000</f>
        <v>#REF!</v>
      </c>
      <c r="P22" s="17" t="e">
        <f>-53.07 + (304.89 * (O22)) + (90.79 *Crescimento!#REF!) - (3.13 * Crescimento!#REF!*Crescimento!#REF!)</f>
        <v>#REF!</v>
      </c>
      <c r="R22" s="16" t="e">
        <f>(S21+(Crescimento!#REF!-(S21*0.64))/0.8)/1000</f>
        <v>#REF!</v>
      </c>
      <c r="S22" s="17" t="e">
        <f>-53.07 + (304.89 * (R22)) + (90.79 *Crescimento!#REF!) - (3.13 * Crescimento!#REF!*Crescimento!#REF!)</f>
        <v>#REF!</v>
      </c>
      <c r="U22" s="16" t="e">
        <f>(V21+(Crescimento!#REF!-(V21*0.64))/0.8)/1000</f>
        <v>#REF!</v>
      </c>
      <c r="V22" s="17" t="e">
        <f>-53.07 + (304.89 * (U22)) + (90.79 *Crescimento!#REF!) - (3.13 * Crescimento!#REF!*Crescimento!#REF!)</f>
        <v>#REF!</v>
      </c>
      <c r="X22" s="16" t="e">
        <f>(Y21+(Crescimento!#REF!-(Y21*0.64))/0.8)/1000</f>
        <v>#REF!</v>
      </c>
      <c r="Y22" s="17" t="e">
        <f>-53.07 + (304.89 * (X22)) + (90.79 *Crescimento!#REF!) - (3.13 * Crescimento!#REF!*Crescimento!#REF!)</f>
        <v>#REF!</v>
      </c>
      <c r="Z22" s="6"/>
      <c r="AA22" s="16" t="e">
        <f>(AB21+(Crescimento!#REF!-(AB21*0.64))/0.8)/1000</f>
        <v>#REF!</v>
      </c>
      <c r="AB22" s="17" t="e">
        <f>-53.07 + (304.89 * (AA22)) + (90.79 *Crescimento!#REF!) - (3.13 * Crescimento!#REF!*Crescimento!#REF!)</f>
        <v>#REF!</v>
      </c>
      <c r="AC22" s="6"/>
      <c r="AD22" s="16" t="e">
        <f>(AE21+(Crescimento!#REF!-(AE21*0.64))/0.8)/1000</f>
        <v>#REF!</v>
      </c>
      <c r="AE22" s="17" t="e">
        <f>-53.07 + (304.89 * (AD22)) + (90.79 *Crescimento!#REF!) - (3.13 * Crescimento!#REF!*Crescimento!#REF!)</f>
        <v>#REF!</v>
      </c>
      <c r="AF22" s="17"/>
      <c r="AG22" s="16" t="e">
        <f>(AH21+(Crescimento!#REF!-(AH21*0.64))/0.8)/1000</f>
        <v>#REF!</v>
      </c>
      <c r="AH22" s="17" t="e">
        <f>-53.07 + (304.89 * (AG22)) + (90.79 *Crescimento!#REF!) - (3.13 * Crescimento!#REF!*Crescimento!#REF!)</f>
        <v>#REF!</v>
      </c>
      <c r="AJ22" s="16" t="e">
        <f>(AK21+(Crescimento!#REF!-(AK21*0.64))/0.8)/1000</f>
        <v>#REF!</v>
      </c>
      <c r="AK22" s="17" t="e">
        <f>-53.07 + (304.89 * (AJ22)) + (90.79 *Crescimento!#REF!) - (3.13 * Crescimento!#REF!*Crescimento!#REF!)</f>
        <v>#REF!</v>
      </c>
      <c r="AM22" s="16" t="e">
        <f>(AN21+(Crescimento!#REF!-(AN21*0.64))/0.8)/1000</f>
        <v>#REF!</v>
      </c>
      <c r="AN22" s="17" t="e">
        <f>-53.07 + (304.89 * (AM22)) + (90.79 *Crescimento!#REF!) - (3.13 * Crescimento!#REF!*Crescimento!#REF!)</f>
        <v>#REF!</v>
      </c>
      <c r="AP22" s="16" t="e">
        <f>(AQ21+(Crescimento!#REF!-(AQ21*0.64))/0.8)/1000</f>
        <v>#REF!</v>
      </c>
      <c r="AQ22" s="17" t="e">
        <f>-53.07 + (304.89 * (AP22)) + (90.79 *Crescimento!#REF!) - (3.13 * Crescimento!#REF!*Crescimento!#REF!)</f>
        <v>#REF!</v>
      </c>
      <c r="AS22" s="16" t="e">
        <f>(AT21+(Crescimento!#REF!-(AT21*0.64))/0.8)/1000</f>
        <v>#REF!</v>
      </c>
      <c r="AT22" s="17" t="e">
        <f>-53.07 + (304.89 * (AS22)) + (90.79 *Crescimento!#REF!) - (3.13 * Crescimento!#REF!*Crescimento!#REF!)</f>
        <v>#REF!</v>
      </c>
      <c r="AV22" s="16" t="e">
        <f>(AW21+(Crescimento!#REF!-(AW21*0.64))/0.8)/1000</f>
        <v>#REF!</v>
      </c>
      <c r="AW22" s="17" t="e">
        <f>-53.07 + (304.89 * (AV22)) + (90.79 *Crescimento!#REF!) - (3.13 * Crescimento!#REF!*Crescimento!#REF!)</f>
        <v>#REF!</v>
      </c>
      <c r="AY22" s="21" t="e">
        <f>((AZ21+(Crescimento!#REF!-(AZ21*0.64))/0.8)/1000)-Crescimento!#REF!</f>
        <v>#REF!</v>
      </c>
      <c r="AZ22" s="22" t="e">
        <f>-53.07 + (304.89 * (AY22)) + (90.79 *(Crescimento!#REF!-Crescimento!#REF!)) - (3.13 * (Crescimento!#REF!-Crescimento!#REF!)^2)</f>
        <v>#REF!</v>
      </c>
      <c r="BA22" s="23"/>
      <c r="BB22" s="21" t="e">
        <f>((BC21+(Crescimento!#REF!-(BC21*0.64))/0.8)/1000)-Crescimento!#REF!</f>
        <v>#REF!</v>
      </c>
      <c r="BC22" s="22" t="e">
        <f>-53.07 + (304.89 * (BB22)) + (90.79 *(Crescimento!#REF!-Crescimento!#REF!)) - (3.13 * (Crescimento!#REF!-Crescimento!#REF!)^2)</f>
        <v>#REF!</v>
      </c>
      <c r="BD22" s="23"/>
      <c r="BE22" s="21" t="e">
        <f>((BF21+(Crescimento!#REF!-(BF21*0.64))/0.8)/1000)-Crescimento!#REF!</f>
        <v>#REF!</v>
      </c>
      <c r="BF22" s="22" t="e">
        <f>-53.07 + (304.89 * (BE22)) + (90.79 *(Crescimento!#REF!-Crescimento!#REF!)) - (3.13 * (Crescimento!#REF!-Crescimento!#REF!)^2)</f>
        <v>#REF!</v>
      </c>
      <c r="BG22" s="23"/>
      <c r="BH22" s="21" t="e">
        <f>((BI21+(Crescimento!#REF!-(BI21*0.64))/0.8)/1000)-Crescimento!#REF!</f>
        <v>#REF!</v>
      </c>
      <c r="BI22" s="22" t="e">
        <f>-53.07 + (304.89 * (BH22)) + (90.79 *(Crescimento!#REF!-Crescimento!#REF!)) - (3.13 * (Crescimento!#REF!-Crescimento!#REF!)^2)</f>
        <v>#REF!</v>
      </c>
      <c r="BJ22" s="23"/>
      <c r="BK22" s="21" t="e">
        <f>((BL21+(Crescimento!#REF!-(BL21*0.64))/0.8)/1000)-Crescimento!#REF!</f>
        <v>#REF!</v>
      </c>
      <c r="BL22" s="22" t="e">
        <f>-53.07 + (304.89 * (BK22)) + (90.79 *(Crescimento!#REF!-Crescimento!#REF!)) - (3.13 * (Crescimento!#REF!-Crescimento!#REF!)^2)</f>
        <v>#REF!</v>
      </c>
      <c r="BM22" s="23"/>
      <c r="BN22" s="21" t="e">
        <f>((BO21+(Crescimento!#REF!-(BO21*0.64))/0.8)/1000)-Crescimento!#REF!</f>
        <v>#REF!</v>
      </c>
      <c r="BO22" s="22" t="e">
        <f>-53.07 + (304.89 * (BN22)) + (90.79 *(Crescimento!#REF!-Crescimento!#REF!)) - (3.13 * (Crescimento!#REF!-Crescimento!#REF!)^2)</f>
        <v>#REF!</v>
      </c>
      <c r="BP22" s="23"/>
      <c r="BQ22" s="21" t="e">
        <f>((BR21+(Crescimento!#REF!-(BR21*0.64))/0.8)/1000)-Crescimento!#REF!</f>
        <v>#REF!</v>
      </c>
      <c r="BR22" s="22" t="e">
        <f>-53.07 + (304.89 * (BQ22)) + (90.79 *(Crescimento!#REF!-Crescimento!#REF!)) - (3.13 * (Crescimento!#REF!-Crescimento!#REF!)^2)</f>
        <v>#REF!</v>
      </c>
      <c r="BS22" s="23"/>
      <c r="BT22" s="21" t="e">
        <f>((BU21+(Crescimento!#REF!-(BU21*0.64))/0.8)/1000)-Crescimento!#REF!</f>
        <v>#REF!</v>
      </c>
      <c r="BU22" s="22" t="e">
        <f>-53.07 + (304.89 * (BT22)) + (90.79 *(Crescimento!#REF!-Crescimento!#REF!)) - (3.13 * (Crescimento!#REF!-Crescimento!#REF!)^2)</f>
        <v>#REF!</v>
      </c>
      <c r="BV22" s="23"/>
      <c r="BW22" s="21" t="e">
        <f>((BX21+(Crescimento!#REF!-(BX21*0.64))/0.8)/1000)-Crescimento!#REF!</f>
        <v>#REF!</v>
      </c>
      <c r="BX22" s="22" t="e">
        <f>-53.07 + (304.89 * (BW22)) + (90.79 *(Crescimento!#REF!-Crescimento!#REF!)) - (3.13 * (Crescimento!#REF!-Crescimento!#REF!)^2)</f>
        <v>#REF!</v>
      </c>
      <c r="BY22" s="23"/>
      <c r="BZ22" s="21" t="e">
        <f>((CA21+(Crescimento!#REF!-(CA21*0.64))/0.8)/1000)-Crescimento!#REF!</f>
        <v>#REF!</v>
      </c>
      <c r="CA22" s="22" t="e">
        <f>-53.07 + (304.89 * (BZ22)) + (90.79 *(Crescimento!#REF!-Crescimento!#REF!)) - (3.13 * (Crescimento!#REF!-Crescimento!#REF!)^2)</f>
        <v>#REF!</v>
      </c>
      <c r="CB22" s="23"/>
      <c r="CC22" s="21" t="e">
        <f>((CD21+(Crescimento!#REF!-(CD21*0.64))/0.8)/1000)-Crescimento!#REF!</f>
        <v>#REF!</v>
      </c>
      <c r="CD22" s="22" t="e">
        <f>-53.07 + (304.89 * (CC22)) + (90.79 *(Crescimento!#REF!-Crescimento!#REF!)) - (3.13 * (Crescimento!#REF!-Crescimento!#REF!)^2)</f>
        <v>#REF!</v>
      </c>
      <c r="CE22" s="23"/>
      <c r="CF22" s="21" t="e">
        <f>((CG21+(Crescimento!#REF!-(CG21*0.64))/0.8)/1000)-Crescimento!#REF!</f>
        <v>#REF!</v>
      </c>
      <c r="CG22" s="22" t="e">
        <f>-53.07 + (304.89 * (CF22)) + (90.79 *(Crescimento!#REF!-Crescimento!#REF!)) - (3.13 * (Crescimento!#REF!-Crescimento!#REF!)^2)</f>
        <v>#REF!</v>
      </c>
      <c r="CH22" s="23"/>
      <c r="CI22" s="21" t="e">
        <f>((CJ21+(Crescimento!#REF!-(CJ21*0.64))/0.8)/1000)-Crescimento!#REF!</f>
        <v>#REF!</v>
      </c>
      <c r="CJ22" s="22" t="e">
        <f>-53.07 + (304.89 * (CI22)) + (90.79 *(Crescimento!#REF!-Crescimento!#REF!)) - (3.13 * (Crescimento!#REF!-Crescimento!#REF!)^2)</f>
        <v>#REF!</v>
      </c>
      <c r="CK22" s="23"/>
      <c r="CL22" s="21" t="e">
        <f>((CM21+(Crescimento!#REF!-(CM21*0.64))/0.8)/1000)-Crescimento!#REF!</f>
        <v>#REF!</v>
      </c>
      <c r="CM22" s="22" t="e">
        <f>-53.07 + (304.89 * (CL22)) + (90.79 *(Crescimento!#REF!-Crescimento!#REF!)) - (3.13 * (Crescimento!#REF!-Crescimento!#REF!)^2)</f>
        <v>#REF!</v>
      </c>
      <c r="CN22" s="23"/>
      <c r="CO22" s="21" t="e">
        <f>((CP21+(Crescimento!#REF!-(CP21*0.64))/0.8)/1000)-Crescimento!#REF!</f>
        <v>#REF!</v>
      </c>
      <c r="CP22" s="22" t="e">
        <f>-53.07 + (304.89 * (CO22)) + (90.79 *(Crescimento!#REF!-Crescimento!#REF!)) - (3.13 * (Crescimento!#REF!-Crescimento!#REF!)^2)</f>
        <v>#REF!</v>
      </c>
      <c r="CQ22" s="23"/>
      <c r="CR22" s="21" t="e">
        <f>((CS21+(Crescimento!#REF!-(CS21*0.64))/0.8)/1000)-Crescimento!#REF!</f>
        <v>#REF!</v>
      </c>
      <c r="CS22" s="22" t="e">
        <f>-53.07 + (304.89 * (CR22)) + (90.79 *(Crescimento!#REF!-Crescimento!#REF!)) - (3.13 * (Crescimento!#REF!-Crescimento!#REF!)^2)</f>
        <v>#REF!</v>
      </c>
      <c r="CX22" s="16" t="e">
        <f>((CY21+(Crescimento!#REF!-(CY21*0.64))/0.8)/1000)-Crescimento!#REF!</f>
        <v>#REF!</v>
      </c>
      <c r="CY22" s="17" t="e">
        <f>-53.07 + (304.89 * (CX22)) + (90.79 *(Crescimento!#REF!-Crescimento!#REF!)) - (3.13 * (Crescimento!#REF!-Crescimento!#REF!)^2)</f>
        <v>#REF!</v>
      </c>
      <c r="DA22" s="16" t="e">
        <f>((DB21+(Crescimento!#REF!-(DB21*0.64))/0.8)/1000)-Crescimento!#REF!</f>
        <v>#REF!</v>
      </c>
      <c r="DB22" s="17" t="e">
        <f>-53.07 + (304.89 * (DA22)) + (90.79 *(Crescimento!#REF!-Crescimento!#REF!)) - (3.13 * (Crescimento!#REF!-Crescimento!#REF!)^2)</f>
        <v>#REF!</v>
      </c>
      <c r="DD22" s="16" t="e">
        <f>(DE21+(Crescimento!#REF!-(DE21*0.64))/0.8)/1000</f>
        <v>#REF!</v>
      </c>
      <c r="DE22" s="17" t="e">
        <f>-53.07 + (304.89 * (DD22)) + (90.79 *Crescimento!#REF!) - (3.13 * Crescimento!#REF!*Crescimento!#REF!)</f>
        <v>#REF!</v>
      </c>
      <c r="DG22" s="16" t="e">
        <f>((DH21+(Crescimento!#REF!-(DH21*0.64))/0.8)/1000)-Crescimento!#REF!</f>
        <v>#REF!</v>
      </c>
      <c r="DH22" s="17" t="e">
        <f>-53.07 + (304.89 * (DG22)) + (90.79 *(Crescimento!#REF!-Crescimento!#REF!)) - (3.13 * (Crescimento!#REF!-Crescimento!#REF!)^2)</f>
        <v>#REF!</v>
      </c>
      <c r="DJ22" s="16" t="e">
        <f>((DK21+(Crescimento!#REF!-(DK21*0.64))/0.8)/1000)-Crescimento!#REF!</f>
        <v>#REF!</v>
      </c>
      <c r="DK22" s="17" t="e">
        <f>-53.07 + (304.89 * (DJ22)) + (90.79 *(Crescimento!#REF!-Crescimento!#REF!)) - (3.13 * (Crescimento!#REF!-Crescimento!#REF!)^2)</f>
        <v>#REF!</v>
      </c>
      <c r="DM22" s="16" t="e">
        <f>((DN21+(Crescimento!#REF!-(DN21*0.64))/0.8)/1000)-Crescimento!#REF!</f>
        <v>#REF!</v>
      </c>
      <c r="DN22" s="17" t="e">
        <f>-53.07 + (304.89 * (DM22)) + (90.79 *(Crescimento!#REF!-Crescimento!#REF!)) - (3.13 * (Crescimento!#REF!-Crescimento!#REF!)^2)</f>
        <v>#REF!</v>
      </c>
      <c r="DP22" s="16" t="e">
        <f>(DQ21+(Crescimento!#REF!-(DQ21*0.64))/0.8)/1000</f>
        <v>#REF!</v>
      </c>
      <c r="DQ22" s="17" t="e">
        <f>-53.07 + (304.89 * (DP22)) + (90.79 *(Crescimento!#REF!-Crescimento!#REF!)) - (3.13 * (Crescimento!#REF!-Crescimento!#REF!)^2)</f>
        <v>#REF!</v>
      </c>
      <c r="DS22" s="16" t="e">
        <f>((DT21+(Crescimento!#REF!-(DT21*0.64))/0.8)/1000)-Crescimento!#REF!</f>
        <v>#REF!</v>
      </c>
      <c r="DT22" s="17" t="e">
        <f>-53.07 + (304.89 * (DS22)) + (90.79 *(Crescimento!#REF!-Crescimento!#REF!)) - (3.13 * (Crescimento!#REF!-Crescimento!#REF!)^2)</f>
        <v>#REF!</v>
      </c>
      <c r="DV22" s="16" t="e">
        <f>((DW21+(Crescimento!#REF!-(DW21*0.64))/0.8)/1000)-Crescimento!#REF!</f>
        <v>#REF!</v>
      </c>
      <c r="DW22" s="17" t="e">
        <f>-53.07 + (304.89 * (DV22)) + (90.79 *(Crescimento!#REF!-Crescimento!#REF!)) - (3.13 * (Crescimento!#REF!-Crescimento!#REF!)^2)</f>
        <v>#REF!</v>
      </c>
      <c r="DY22" s="16" t="e">
        <f>((DZ21+(Crescimento!#REF!-(DZ21*0.64))/0.8)/1000)-Crescimento!#REF!</f>
        <v>#REF!</v>
      </c>
      <c r="DZ22" s="17" t="e">
        <f>-53.07 + (304.89 * (DY22)) + (90.79 *(Crescimento!#REF!-Crescimento!#REF!)) - (3.13 * (Crescimento!#REF!-Crescimento!#REF!)^2)</f>
        <v>#REF!</v>
      </c>
      <c r="EB22" s="16" t="e">
        <f>((EC21+(Crescimento!#REF!-(EC21*0.64))/0.8)/1000)-Crescimento!#REF!</f>
        <v>#REF!</v>
      </c>
      <c r="EC22" s="17" t="e">
        <f>-53.07 + (304.89 * (EB22)) + (90.79 *(Crescimento!#REF!-Crescimento!#REF!)) - (3.13 * (Crescimento!#REF!-Crescimento!#REF!)^2)</f>
        <v>#REF!</v>
      </c>
      <c r="EE22" s="16" t="e">
        <f>((EF21+(Crescimento!#REF!-(EF21*0.64))/0.8)/1000)-Crescimento!#REF!</f>
        <v>#REF!</v>
      </c>
      <c r="EF22" s="17" t="e">
        <f>-53.07 + (304.89 * (EE22)) + (90.79 *(Crescimento!#REF!-Crescimento!#REF!)) - (3.13 * (Crescimento!#REF!-Crescimento!#REF!)^2)</f>
        <v>#REF!</v>
      </c>
      <c r="EH22" s="16" t="e">
        <f>((EI21+(Crescimento!#REF!-(EI21*0.64))/0.8)/1000)-Crescimento!#REF!</f>
        <v>#REF!</v>
      </c>
      <c r="EI22" s="17" t="e">
        <f>-53.07 + (304.89 * (EH22)) + (90.79 *(Crescimento!#REF!-Crescimento!#REF!)) - (3.13 * (Crescimento!#REF!-Crescimento!#REF!)^2)</f>
        <v>#REF!</v>
      </c>
      <c r="EK22" s="16" t="e">
        <f>((EL21+(Crescimento!#REF!-(EL21*0.64))/0.8)/1000)-Crescimento!#REF!</f>
        <v>#REF!</v>
      </c>
      <c r="EL22" s="17" t="e">
        <f>-53.07 + (304.89 * (EK22)) + (90.79 *(Crescimento!#REF!-Crescimento!#REF!)) - (3.13 * (Crescimento!#REF!-Crescimento!#REF!)^2)</f>
        <v>#REF!</v>
      </c>
      <c r="EN22" s="16" t="e">
        <f>((EO21+(Crescimento!#REF!-(EO21*0.64))/0.8)/1000)-Crescimento!#REF!</f>
        <v>#REF!</v>
      </c>
      <c r="EO22" s="17" t="e">
        <f>-53.07 + (304.89 * (EN22)) + (90.79 *(Crescimento!#REF!-Crescimento!#REF!)) - (3.13 * (Crescimento!#REF!-Crescimento!#REF!)^2)</f>
        <v>#REF!</v>
      </c>
      <c r="EQ22" s="16" t="e">
        <f>((ER21+(Crescimento!#REF!-(ER21*0.64))/0.8)/1000)-Crescimento!#REF!</f>
        <v>#REF!</v>
      </c>
      <c r="ER22" s="17" t="e">
        <f>-53.07 + (304.89 * (EQ22)) + (90.79 *(Crescimento!#REF!-Crescimento!#REF!)) - (3.13 * (Crescimento!#REF!-Crescimento!#REF!)^2)</f>
        <v>#REF!</v>
      </c>
      <c r="ET22" s="16" t="e">
        <f>((EU21+(Crescimento!#REF!-(EU21*0.64))/0.8)/1000)-Crescimento!#REF!</f>
        <v>#REF!</v>
      </c>
      <c r="EU22" s="17" t="e">
        <f>-53.07 + (304.89 * (ET22)) + (90.79 *(Crescimento!#REF!-Crescimento!#REF!)) - (3.13 * (Crescimento!#REF!-Crescimento!#REF!)^2)</f>
        <v>#REF!</v>
      </c>
      <c r="EW22" s="16" t="e">
        <f>((EX21+('Vacas e Bezerros'!#REF!-(EX21*0.64))/0.8)/1000)-'Vacas e Bezerros'!#REF!</f>
        <v>#REF!</v>
      </c>
      <c r="EX22" s="17" t="e">
        <f>-53.07 + (304.89 * (EW22)) + (90.79 *('Vacas e Bezerros'!#REF!-'Vacas e Bezerros'!#REF!)) - (3.13 * ('Vacas e Bezerros'!#REF!-'Vacas e Bezerros'!#REF!)^2)</f>
        <v>#REF!</v>
      </c>
      <c r="EZ22" s="16" t="e">
        <f>((FA21+('Vacas e Bezerros'!#REF!-(FA21*0.64))/0.8)/1000)-'Vacas e Bezerros'!#REF!</f>
        <v>#REF!</v>
      </c>
      <c r="FA22" s="17" t="e">
        <f>-53.07 + (304.89 * (EZ22)) + (90.79 *('Vacas e Bezerros'!#REF!-'Vacas e Bezerros'!#REF!)) - (3.13 * ('Vacas e Bezerros'!#REF!-'Vacas e Bezerros'!#REF!)^2)</f>
        <v>#REF!</v>
      </c>
      <c r="FC22" s="16" t="e">
        <f>((FD21+('Vacas e Bezerros'!#REF!-(FD21*0.64))/0.8)/1000)-'Vacas e Bezerros'!#REF!</f>
        <v>#REF!</v>
      </c>
      <c r="FD22" s="17" t="e">
        <f>-53.07 + (304.89 * (FC22)) + (90.79 *('Vacas e Bezerros'!#REF!-'Vacas e Bezerros'!#REF!)) - (3.13 * ('Vacas e Bezerros'!#REF!-'Vacas e Bezerros'!#REF!)^2)</f>
        <v>#REF!</v>
      </c>
      <c r="FF22" s="16" t="e">
        <f>((FG21+('Vacas e Bezerros'!#REF!-(FG21*0.64))/0.8)/1000)-'Vacas e Bezerros'!#REF!</f>
        <v>#REF!</v>
      </c>
      <c r="FG22" s="17" t="e">
        <f>-53.07 + (304.89 * (FF22)) + (90.79 *('Vacas e Bezerros'!#REF!-'Vacas e Bezerros'!#REF!)) - (3.13 * ('Vacas e Bezerros'!#REF!-'Vacas e Bezerros'!#REF!)^2)</f>
        <v>#REF!</v>
      </c>
      <c r="FI22" s="16" t="e">
        <f>((FJ21+('Vacas e Bezerros'!#REF!-(FJ21*0.64))/0.8)/1000)-'Vacas e Bezerros'!#REF!</f>
        <v>#REF!</v>
      </c>
      <c r="FJ22" s="17" t="e">
        <f>-53.07 + (304.89 * (FI22)) + (90.79 *('Vacas e Bezerros'!#REF!-'Vacas e Bezerros'!#REF!)) - (3.13 * ('Vacas e Bezerros'!#REF!-'Vacas e Bezerros'!#REF!)^2)</f>
        <v>#REF!</v>
      </c>
      <c r="FL22" s="16" t="e">
        <f>((FM21+('Vacas e Bezerros'!#REF!-(FM21*0.64))/0.8)/1000)-'Vacas e Bezerros'!#REF!</f>
        <v>#REF!</v>
      </c>
      <c r="FM22" s="17" t="e">
        <f>-53.07 + (304.89 * (FL22)) + (90.79 *('Vacas e Bezerros'!#REF!-'Vacas e Bezerros'!#REF!)) - (3.13 * ('Vacas e Bezerros'!#REF!-'Vacas e Bezerros'!#REF!)^2)</f>
        <v>#REF!</v>
      </c>
      <c r="FO22" s="16" t="e">
        <f>((FP21+('Vacas e Bezerros'!#REF!-(FP21*0.64))/0.8)/1000)-'Vacas e Bezerros'!#REF!</f>
        <v>#REF!</v>
      </c>
      <c r="FP22" s="17" t="e">
        <f>-53.07 + (304.89 * (FO22)) + (90.79 *('Vacas e Bezerros'!#REF!-'Vacas e Bezerros'!#REF!)) - (3.13 * ('Vacas e Bezerros'!#REF!-'Vacas e Bezerros'!#REF!)^2)</f>
        <v>#REF!</v>
      </c>
      <c r="FR22" s="16" t="e">
        <f>((FS21+('Vacas e Bezerros'!#REF!-(FS21*0.64))/0.8)/1000)-'Vacas e Bezerros'!#REF!</f>
        <v>#REF!</v>
      </c>
      <c r="FS22" s="17" t="e">
        <f>-53.07 + (304.89 * (FR22)) + (90.79 *('Vacas e Bezerros'!#REF!-'Vacas e Bezerros'!#REF!)) - (3.13 * ('Vacas e Bezerros'!#REF!-'Vacas e Bezerros'!#REF!)^2)</f>
        <v>#REF!</v>
      </c>
      <c r="FU22" s="16" t="e">
        <f>((FV21+('Vacas e Bezerros'!#REF!-(FV21*0.64))/0.8)/1000)-'Vacas e Bezerros'!#REF!</f>
        <v>#REF!</v>
      </c>
      <c r="FV22" s="17" t="e">
        <f>-53.07 + (304.89 * (FU22)) + (90.79 *('Vacas e Bezerros'!#REF!-'Vacas e Bezerros'!#REF!)) - (3.13 * ('Vacas e Bezerros'!#REF!-'Vacas e Bezerros'!#REF!)^2)</f>
        <v>#REF!</v>
      </c>
      <c r="FX22" s="16" t="e">
        <f>((FY21+('Vacas e Bezerros'!#REF!-(FY21*0.64))/0.8)/1000)-'Vacas e Bezerros'!#REF!</f>
        <v>#REF!</v>
      </c>
      <c r="FY22" s="17" t="e">
        <f>-53.07 + (304.89 * (FX22)) + (90.79 *('Vacas e Bezerros'!#REF!-'Vacas e Bezerros'!#REF!)) - (3.13 * ('Vacas e Bezerros'!#REF!-'Vacas e Bezerros'!#REF!)^2)</f>
        <v>#REF!</v>
      </c>
      <c r="GA22" s="16" t="e">
        <f>((GB21+('Vacas e Bezerros'!#REF!-(GB21*0.64))/0.8)/1000)-'Vacas e Bezerros'!#REF!</f>
        <v>#REF!</v>
      </c>
      <c r="GB22" s="17" t="e">
        <f>-53.07 + (304.89 * (GA22)) + (90.79 *('Vacas e Bezerros'!#REF!-'Vacas e Bezerros'!#REF!)) - (3.13 * ('Vacas e Bezerros'!#REF!-'Vacas e Bezerros'!#REF!)^2)</f>
        <v>#REF!</v>
      </c>
      <c r="GD22" s="16" t="e">
        <f>((GE21+('Vacas e Bezerros'!#REF!-(GE21*0.64))/0.8)/1000)-'Vacas e Bezerros'!#REF!</f>
        <v>#REF!</v>
      </c>
      <c r="GE22" s="17" t="e">
        <f>-53.07 + (304.89 * (GD22)) + (90.79 *('Vacas e Bezerros'!#REF!-'Vacas e Bezerros'!#REF!)) - (3.13 * ('Vacas e Bezerros'!#REF!-'Vacas e Bezerros'!#REF!)^2)</f>
        <v>#REF!</v>
      </c>
      <c r="GG22" s="16" t="e">
        <f>((GH21+('Vacas e Bezerros'!#REF!-(GH21*0.64))/0.8)/1000)-'Vacas e Bezerros'!#REF!</f>
        <v>#REF!</v>
      </c>
      <c r="GH22" s="17" t="e">
        <f>-53.07 + (304.89 * (GG22)) + (90.79 *('Vacas e Bezerros'!#REF!-'Vacas e Bezerros'!#REF!)) - (3.13 * ('Vacas e Bezerros'!#REF!-'Vacas e Bezerros'!#REF!)^2)</f>
        <v>#REF!</v>
      </c>
      <c r="GJ22" s="16" t="e">
        <f>((GK21+('Vacas e Bezerros'!#REF!-(GK21*0.64))/0.8)/1000)-'Vacas e Bezerros'!#REF!</f>
        <v>#REF!</v>
      </c>
      <c r="GK22" s="17" t="e">
        <f>-53.07 + (304.89 * (GJ22)) + (90.79 *('Vacas e Bezerros'!#REF!-'Vacas e Bezerros'!#REF!)) - (3.13 * ('Vacas e Bezerros'!#REF!-'Vacas e Bezerros'!#REF!)^2)</f>
        <v>#REF!</v>
      </c>
      <c r="GM22" s="16" t="e">
        <f>((GN21+('Vacas e Bezerros'!#REF!-(GN21*0.64))/0.8)/1000)-'Vacas e Bezerros'!#REF!</f>
        <v>#REF!</v>
      </c>
      <c r="GN22" s="17" t="e">
        <f>-53.07 + (304.89 * (GM22)) + (90.79 *('Vacas e Bezerros'!#REF!-'Vacas e Bezerros'!#REF!)) - (3.13 * ('Vacas e Bezerros'!#REF!-'Vacas e Bezerros'!#REF!)^2)</f>
        <v>#REF!</v>
      </c>
    </row>
    <row r="23" spans="3:196" x14ac:dyDescent="0.25">
      <c r="C23" s="16">
        <f>(D22+('Vacas e Bezerros'!$AA$28-(D22*0.64))/0.8)/1000</f>
        <v>0.35719668016155687</v>
      </c>
      <c r="D23" s="17">
        <f>-53.07 + (304.89 * (C23-'Vacas e Bezerros'!$C$206)) + (90.79 *('Vacas e Bezerros'!$AA$22)) - (3.13 *('Vacas e Bezerros'!$AA$22)^2)</f>
        <v>165.01876457544017</v>
      </c>
      <c r="F23" s="16" t="e">
        <f>(G22+(Crescimento!#REF!-(G22*0.64))/0.8)/1000</f>
        <v>#REF!</v>
      </c>
      <c r="G23" s="17" t="e">
        <f>-53.07 + (304.89 * (F23)) + (90.79 *Crescimento!#REF!) - (3.13 * Crescimento!#REF!*Crescimento!#REF!)</f>
        <v>#REF!</v>
      </c>
      <c r="H23" s="1"/>
      <c r="I23" s="16" t="e">
        <f>(J22+(Crescimento!#REF!-(J22*0.64))/0.8)/1000</f>
        <v>#REF!</v>
      </c>
      <c r="J23" s="17" t="e">
        <f>-53.07 + (304.89 * (I23)) + (90.79 *Crescimento!#REF!) - (3.13 * Crescimento!#REF!*Crescimento!#REF!)</f>
        <v>#REF!</v>
      </c>
      <c r="L23" s="16" t="e">
        <f>(M22+(Crescimento!#REF!-(M22*0.64))/0.8)/1000</f>
        <v>#REF!</v>
      </c>
      <c r="M23" s="17" t="e">
        <f>-53.07 + (304.89 * (L23)) + (90.79 *Crescimento!#REF!) - (3.13 * Crescimento!#REF!*Crescimento!#REF!)</f>
        <v>#REF!</v>
      </c>
      <c r="O23" s="16" t="e">
        <f>(P22+(Crescimento!#REF!-(P22*0.64))/0.8)/1000</f>
        <v>#REF!</v>
      </c>
      <c r="P23" s="17" t="e">
        <f>-53.07 + (304.89 * (O23)) + (90.79 *Crescimento!#REF!) - (3.13 * Crescimento!#REF!*Crescimento!#REF!)</f>
        <v>#REF!</v>
      </c>
      <c r="R23" s="16" t="e">
        <f>(S22+(Crescimento!#REF!-(S22*0.64))/0.8)/1000</f>
        <v>#REF!</v>
      </c>
      <c r="S23" s="17" t="e">
        <f>-53.07 + (304.89 * (R23)) + (90.79 *Crescimento!#REF!) - (3.13 * Crescimento!#REF!*Crescimento!#REF!)</f>
        <v>#REF!</v>
      </c>
      <c r="U23" s="16" t="e">
        <f>(V22+(Crescimento!#REF!-(V22*0.64))/0.8)/1000</f>
        <v>#REF!</v>
      </c>
      <c r="V23" s="17" t="e">
        <f>-53.07 + (304.89 * (U23)) + (90.79 *Crescimento!#REF!) - (3.13 * Crescimento!#REF!*Crescimento!#REF!)</f>
        <v>#REF!</v>
      </c>
      <c r="X23" s="16" t="e">
        <f>(Y22+(Crescimento!#REF!-(Y22*0.64))/0.8)/1000</f>
        <v>#REF!</v>
      </c>
      <c r="Y23" s="17" t="e">
        <f>-53.07 + (304.89 * (X23)) + (90.79 *Crescimento!#REF!) - (3.13 * Crescimento!#REF!*Crescimento!#REF!)</f>
        <v>#REF!</v>
      </c>
      <c r="Z23" s="6"/>
      <c r="AA23" s="16" t="e">
        <f>(AB22+(Crescimento!#REF!-(AB22*0.64))/0.8)/1000</f>
        <v>#REF!</v>
      </c>
      <c r="AB23" s="17" t="e">
        <f>-53.07 + (304.89 * (AA23)) + (90.79 *Crescimento!#REF!) - (3.13 * Crescimento!#REF!*Crescimento!#REF!)</f>
        <v>#REF!</v>
      </c>
      <c r="AC23" s="6"/>
      <c r="AD23" s="16" t="e">
        <f>(AE22+(Crescimento!#REF!-(AE22*0.64))/0.8)/1000</f>
        <v>#REF!</v>
      </c>
      <c r="AE23" s="17" t="e">
        <f>-53.07 + (304.89 * (AD23)) + (90.79 *Crescimento!#REF!) - (3.13 * Crescimento!#REF!*Crescimento!#REF!)</f>
        <v>#REF!</v>
      </c>
      <c r="AF23" s="17"/>
      <c r="AG23" s="16" t="e">
        <f>(AH22+(Crescimento!#REF!-(AH22*0.64))/0.8)/1000</f>
        <v>#REF!</v>
      </c>
      <c r="AH23" s="17" t="e">
        <f>-53.07 + (304.89 * (AG23)) + (90.79 *Crescimento!#REF!) - (3.13 * Crescimento!#REF!*Crescimento!#REF!)</f>
        <v>#REF!</v>
      </c>
      <c r="AJ23" s="16" t="e">
        <f>(AK22+(Crescimento!#REF!-(AK22*0.64))/0.8)/1000</f>
        <v>#REF!</v>
      </c>
      <c r="AK23" s="17" t="e">
        <f>-53.07 + (304.89 * (AJ23)) + (90.79 *Crescimento!#REF!) - (3.13 * Crescimento!#REF!*Crescimento!#REF!)</f>
        <v>#REF!</v>
      </c>
      <c r="AM23" s="16" t="e">
        <f>(AN22+(Crescimento!#REF!-(AN22*0.64))/0.8)/1000</f>
        <v>#REF!</v>
      </c>
      <c r="AN23" s="17" t="e">
        <f>-53.07 + (304.89 * (AM23)) + (90.79 *Crescimento!#REF!) - (3.13 * Crescimento!#REF!*Crescimento!#REF!)</f>
        <v>#REF!</v>
      </c>
      <c r="AP23" s="16" t="e">
        <f>(AQ22+(Crescimento!#REF!-(AQ22*0.64))/0.8)/1000</f>
        <v>#REF!</v>
      </c>
      <c r="AQ23" s="17" t="e">
        <f>-53.07 + (304.89 * (AP23)) + (90.79 *Crescimento!#REF!) - (3.13 * Crescimento!#REF!*Crescimento!#REF!)</f>
        <v>#REF!</v>
      </c>
      <c r="AS23" s="16" t="e">
        <f>(AT22+(Crescimento!#REF!-(AT22*0.64))/0.8)/1000</f>
        <v>#REF!</v>
      </c>
      <c r="AT23" s="17" t="e">
        <f>-53.07 + (304.89 * (AS23)) + (90.79 *Crescimento!#REF!) - (3.13 * Crescimento!#REF!*Crescimento!#REF!)</f>
        <v>#REF!</v>
      </c>
      <c r="AV23" s="16" t="e">
        <f>(AW22+(Crescimento!#REF!-(AW22*0.64))/0.8)/1000</f>
        <v>#REF!</v>
      </c>
      <c r="AW23" s="17" t="e">
        <f>-53.07 + (304.89 * (AV23)) + (90.79 *Crescimento!#REF!) - (3.13 * Crescimento!#REF!*Crescimento!#REF!)</f>
        <v>#REF!</v>
      </c>
      <c r="AY23" s="21" t="e">
        <f>((AZ22+(Crescimento!#REF!-(AZ22*0.64))/0.8)/1000)-Crescimento!#REF!</f>
        <v>#REF!</v>
      </c>
      <c r="AZ23" s="22" t="e">
        <f>-53.07 + (304.89 * (AY23)) + (90.79 *(Crescimento!#REF!-Crescimento!#REF!)) - (3.13 * (Crescimento!#REF!-Crescimento!#REF!)^2)</f>
        <v>#REF!</v>
      </c>
      <c r="BA23" s="23"/>
      <c r="BB23" s="21" t="e">
        <f>((BC22+(Crescimento!#REF!-(BC22*0.64))/0.8)/1000)-Crescimento!#REF!</f>
        <v>#REF!</v>
      </c>
      <c r="BC23" s="22" t="e">
        <f>-53.07 + (304.89 * (BB23)) + (90.79 *(Crescimento!#REF!-Crescimento!#REF!)) - (3.13 * (Crescimento!#REF!-Crescimento!#REF!)^2)</f>
        <v>#REF!</v>
      </c>
      <c r="BD23" s="23"/>
      <c r="BE23" s="21" t="e">
        <f>((BF22+(Crescimento!#REF!-(BF22*0.64))/0.8)/1000)-Crescimento!#REF!</f>
        <v>#REF!</v>
      </c>
      <c r="BF23" s="22" t="e">
        <f>-53.07 + (304.89 * (BE23)) + (90.79 *(Crescimento!#REF!-Crescimento!#REF!)) - (3.13 * (Crescimento!#REF!-Crescimento!#REF!)^2)</f>
        <v>#REF!</v>
      </c>
      <c r="BG23" s="23"/>
      <c r="BH23" s="21" t="e">
        <f>((BI22+(Crescimento!#REF!-(BI22*0.64))/0.8)/1000)-Crescimento!#REF!</f>
        <v>#REF!</v>
      </c>
      <c r="BI23" s="22" t="e">
        <f>-53.07 + (304.89 * (BH23)) + (90.79 *(Crescimento!#REF!-Crescimento!#REF!)) - (3.13 * (Crescimento!#REF!-Crescimento!#REF!)^2)</f>
        <v>#REF!</v>
      </c>
      <c r="BJ23" s="23"/>
      <c r="BK23" s="21" t="e">
        <f>((BL22+(Crescimento!#REF!-(BL22*0.64))/0.8)/1000)-Crescimento!#REF!</f>
        <v>#REF!</v>
      </c>
      <c r="BL23" s="22" t="e">
        <f>-53.07 + (304.89 * (BK23)) + (90.79 *(Crescimento!#REF!-Crescimento!#REF!)) - (3.13 * (Crescimento!#REF!-Crescimento!#REF!)^2)</f>
        <v>#REF!</v>
      </c>
      <c r="BM23" s="23"/>
      <c r="BN23" s="21" t="e">
        <f>((BO22+(Crescimento!#REF!-(BO22*0.64))/0.8)/1000)-Crescimento!#REF!</f>
        <v>#REF!</v>
      </c>
      <c r="BO23" s="22" t="e">
        <f>-53.07 + (304.89 * (BN23)) + (90.79 *(Crescimento!#REF!-Crescimento!#REF!)) - (3.13 * (Crescimento!#REF!-Crescimento!#REF!)^2)</f>
        <v>#REF!</v>
      </c>
      <c r="BP23" s="23"/>
      <c r="BQ23" s="21" t="e">
        <f>((BR22+(Crescimento!#REF!-(BR22*0.64))/0.8)/1000)-Crescimento!#REF!</f>
        <v>#REF!</v>
      </c>
      <c r="BR23" s="22" t="e">
        <f>-53.07 + (304.89 * (BQ23)) + (90.79 *(Crescimento!#REF!-Crescimento!#REF!)) - (3.13 * (Crescimento!#REF!-Crescimento!#REF!)^2)</f>
        <v>#REF!</v>
      </c>
      <c r="BS23" s="23"/>
      <c r="BT23" s="21" t="e">
        <f>((BU22+(Crescimento!#REF!-(BU22*0.64))/0.8)/1000)-Crescimento!#REF!</f>
        <v>#REF!</v>
      </c>
      <c r="BU23" s="22" t="e">
        <f>-53.07 + (304.89 * (BT23)) + (90.79 *(Crescimento!#REF!-Crescimento!#REF!)) - (3.13 * (Crescimento!#REF!-Crescimento!#REF!)^2)</f>
        <v>#REF!</v>
      </c>
      <c r="BV23" s="23"/>
      <c r="BW23" s="21" t="e">
        <f>((BX22+(Crescimento!#REF!-(BX22*0.64))/0.8)/1000)-Crescimento!#REF!</f>
        <v>#REF!</v>
      </c>
      <c r="BX23" s="22" t="e">
        <f>-53.07 + (304.89 * (BW23)) + (90.79 *(Crescimento!#REF!-Crescimento!#REF!)) - (3.13 * (Crescimento!#REF!-Crescimento!#REF!)^2)</f>
        <v>#REF!</v>
      </c>
      <c r="BY23" s="23"/>
      <c r="BZ23" s="21" t="e">
        <f>((CA22+(Crescimento!#REF!-(CA22*0.64))/0.8)/1000)-Crescimento!#REF!</f>
        <v>#REF!</v>
      </c>
      <c r="CA23" s="22" t="e">
        <f>-53.07 + (304.89 * (BZ23)) + (90.79 *(Crescimento!#REF!-Crescimento!#REF!)) - (3.13 * (Crescimento!#REF!-Crescimento!#REF!)^2)</f>
        <v>#REF!</v>
      </c>
      <c r="CB23" s="23"/>
      <c r="CC23" s="21" t="e">
        <f>((CD22+(Crescimento!#REF!-(CD22*0.64))/0.8)/1000)-Crescimento!#REF!</f>
        <v>#REF!</v>
      </c>
      <c r="CD23" s="22" t="e">
        <f>-53.07 + (304.89 * (CC23)) + (90.79 *(Crescimento!#REF!-Crescimento!#REF!)) - (3.13 * (Crescimento!#REF!-Crescimento!#REF!)^2)</f>
        <v>#REF!</v>
      </c>
      <c r="CE23" s="23"/>
      <c r="CF23" s="21" t="e">
        <f>((CG22+(Crescimento!#REF!-(CG22*0.64))/0.8)/1000)-Crescimento!#REF!</f>
        <v>#REF!</v>
      </c>
      <c r="CG23" s="22" t="e">
        <f>-53.07 + (304.89 * (CF23)) + (90.79 *(Crescimento!#REF!-Crescimento!#REF!)) - (3.13 * (Crescimento!#REF!-Crescimento!#REF!)^2)</f>
        <v>#REF!</v>
      </c>
      <c r="CH23" s="23"/>
      <c r="CI23" s="21" t="e">
        <f>((CJ22+(Crescimento!#REF!-(CJ22*0.64))/0.8)/1000)-Crescimento!#REF!</f>
        <v>#REF!</v>
      </c>
      <c r="CJ23" s="22" t="e">
        <f>-53.07 + (304.89 * (CI23)) + (90.79 *(Crescimento!#REF!-Crescimento!#REF!)) - (3.13 * (Crescimento!#REF!-Crescimento!#REF!)^2)</f>
        <v>#REF!</v>
      </c>
      <c r="CK23" s="23"/>
      <c r="CL23" s="21" t="e">
        <f>((CM22+(Crescimento!#REF!-(CM22*0.64))/0.8)/1000)-Crescimento!#REF!</f>
        <v>#REF!</v>
      </c>
      <c r="CM23" s="22" t="e">
        <f>-53.07 + (304.89 * (CL23)) + (90.79 *(Crescimento!#REF!-Crescimento!#REF!)) - (3.13 * (Crescimento!#REF!-Crescimento!#REF!)^2)</f>
        <v>#REF!</v>
      </c>
      <c r="CN23" s="23"/>
      <c r="CO23" s="21" t="e">
        <f>((CP22+(Crescimento!#REF!-(CP22*0.64))/0.8)/1000)-Crescimento!#REF!</f>
        <v>#REF!</v>
      </c>
      <c r="CP23" s="22" t="e">
        <f>-53.07 + (304.89 * (CO23)) + (90.79 *(Crescimento!#REF!-Crescimento!#REF!)) - (3.13 * (Crescimento!#REF!-Crescimento!#REF!)^2)</f>
        <v>#REF!</v>
      </c>
      <c r="CQ23" s="23"/>
      <c r="CR23" s="21" t="e">
        <f>((CS22+(Crescimento!#REF!-(CS22*0.64))/0.8)/1000)-Crescimento!#REF!</f>
        <v>#REF!</v>
      </c>
      <c r="CS23" s="22" t="e">
        <f>-53.07 + (304.89 * (CR23)) + (90.79 *(Crescimento!#REF!-Crescimento!#REF!)) - (3.13 * (Crescimento!#REF!-Crescimento!#REF!)^2)</f>
        <v>#REF!</v>
      </c>
      <c r="CX23" s="16" t="e">
        <f>((CY22+(Crescimento!#REF!-(CY22*0.64))/0.8)/1000)-Crescimento!#REF!</f>
        <v>#REF!</v>
      </c>
      <c r="CY23" s="17" t="e">
        <f>-53.07 + (304.89 * (CX23)) + (90.79 *(Crescimento!#REF!-Crescimento!#REF!)) - (3.13 * (Crescimento!#REF!-Crescimento!#REF!)^2)</f>
        <v>#REF!</v>
      </c>
      <c r="DA23" s="16" t="e">
        <f>((DB22+(Crescimento!#REF!-(DB22*0.64))/0.8)/1000)-Crescimento!#REF!</f>
        <v>#REF!</v>
      </c>
      <c r="DB23" s="17" t="e">
        <f>-53.07 + (304.89 * (DA23)) + (90.79 *(Crescimento!#REF!-Crescimento!#REF!)) - (3.13 * (Crescimento!#REF!-Crescimento!#REF!)^2)</f>
        <v>#REF!</v>
      </c>
      <c r="DD23" s="16" t="e">
        <f>(DE22+(Crescimento!#REF!-(DE22*0.64))/0.8)/1000</f>
        <v>#REF!</v>
      </c>
      <c r="DE23" s="17" t="e">
        <f>-53.07 + (304.89 * (DD23)) + (90.79 *Crescimento!#REF!) - (3.13 * Crescimento!#REF!*Crescimento!#REF!)</f>
        <v>#REF!</v>
      </c>
      <c r="DG23" s="16" t="e">
        <f>((DH22+(Crescimento!#REF!-(DH22*0.64))/0.8)/1000)-Crescimento!#REF!</f>
        <v>#REF!</v>
      </c>
      <c r="DH23" s="17" t="e">
        <f>-53.07 + (304.89 * (DG23)) + (90.79 *(Crescimento!#REF!-Crescimento!#REF!)) - (3.13 * (Crescimento!#REF!-Crescimento!#REF!)^2)</f>
        <v>#REF!</v>
      </c>
      <c r="DJ23" s="16" t="e">
        <f>((DK22+(Crescimento!#REF!-(DK22*0.64))/0.8)/1000)-Crescimento!#REF!</f>
        <v>#REF!</v>
      </c>
      <c r="DK23" s="17" t="e">
        <f>-53.07 + (304.89 * (DJ23)) + (90.79 *(Crescimento!#REF!-Crescimento!#REF!)) - (3.13 * (Crescimento!#REF!-Crescimento!#REF!)^2)</f>
        <v>#REF!</v>
      </c>
      <c r="DM23" s="16" t="e">
        <f>((DN22+(Crescimento!#REF!-(DN22*0.64))/0.8)/1000)-Crescimento!#REF!</f>
        <v>#REF!</v>
      </c>
      <c r="DN23" s="17" t="e">
        <f>-53.07 + (304.89 * (DM23)) + (90.79 *(Crescimento!#REF!-Crescimento!#REF!)) - (3.13 * (Crescimento!#REF!-Crescimento!#REF!)^2)</f>
        <v>#REF!</v>
      </c>
      <c r="DP23" s="16" t="e">
        <f>(DQ22+(Crescimento!#REF!-(DQ22*0.64))/0.8)/1000</f>
        <v>#REF!</v>
      </c>
      <c r="DQ23" s="17" t="e">
        <f>-53.07 + (304.89 * (DP23)) + (90.79 *(Crescimento!#REF!-Crescimento!#REF!)) - (3.13 * (Crescimento!#REF!-Crescimento!#REF!)^2)</f>
        <v>#REF!</v>
      </c>
      <c r="DS23" s="16" t="e">
        <f>((DT22+(Crescimento!#REF!-(DT22*0.64))/0.8)/1000)-Crescimento!#REF!</f>
        <v>#REF!</v>
      </c>
      <c r="DT23" s="17" t="e">
        <f>-53.07 + (304.89 * (DS23)) + (90.79 *(Crescimento!#REF!-Crescimento!#REF!)) - (3.13 * (Crescimento!#REF!-Crescimento!#REF!)^2)</f>
        <v>#REF!</v>
      </c>
      <c r="DV23" s="16" t="e">
        <f>((DW22+(Crescimento!#REF!-(DW22*0.64))/0.8)/1000)-Crescimento!#REF!</f>
        <v>#REF!</v>
      </c>
      <c r="DW23" s="17" t="e">
        <f>-53.07 + (304.89 * (DV23)) + (90.79 *(Crescimento!#REF!-Crescimento!#REF!)) - (3.13 * (Crescimento!#REF!-Crescimento!#REF!)^2)</f>
        <v>#REF!</v>
      </c>
      <c r="DY23" s="16" t="e">
        <f>((DZ22+(Crescimento!#REF!-(DZ22*0.64))/0.8)/1000)-Crescimento!#REF!</f>
        <v>#REF!</v>
      </c>
      <c r="DZ23" s="17" t="e">
        <f>-53.07 + (304.89 * (DY23)) + (90.79 *(Crescimento!#REF!-Crescimento!#REF!)) - (3.13 * (Crescimento!#REF!-Crescimento!#REF!)^2)</f>
        <v>#REF!</v>
      </c>
      <c r="EB23" s="16" t="e">
        <f>((EC22+(Crescimento!#REF!-(EC22*0.64))/0.8)/1000)-Crescimento!#REF!</f>
        <v>#REF!</v>
      </c>
      <c r="EC23" s="17" t="e">
        <f>-53.07 + (304.89 * (EB23)) + (90.79 *(Crescimento!#REF!-Crescimento!#REF!)) - (3.13 * (Crescimento!#REF!-Crescimento!#REF!)^2)</f>
        <v>#REF!</v>
      </c>
      <c r="EE23" s="16" t="e">
        <f>((EF22+(Crescimento!#REF!-(EF22*0.64))/0.8)/1000)-Crescimento!#REF!</f>
        <v>#REF!</v>
      </c>
      <c r="EF23" s="17" t="e">
        <f>-53.07 + (304.89 * (EE23)) + (90.79 *(Crescimento!#REF!-Crescimento!#REF!)) - (3.13 * (Crescimento!#REF!-Crescimento!#REF!)^2)</f>
        <v>#REF!</v>
      </c>
      <c r="EH23" s="16" t="e">
        <f>((EI22+(Crescimento!#REF!-(EI22*0.64))/0.8)/1000)-Crescimento!#REF!</f>
        <v>#REF!</v>
      </c>
      <c r="EI23" s="17" t="e">
        <f>-53.07 + (304.89 * (EH23)) + (90.79 *(Crescimento!#REF!-Crescimento!#REF!)) - (3.13 * (Crescimento!#REF!-Crescimento!#REF!)^2)</f>
        <v>#REF!</v>
      </c>
      <c r="EK23" s="16" t="e">
        <f>((EL22+(Crescimento!#REF!-(EL22*0.64))/0.8)/1000)-Crescimento!#REF!</f>
        <v>#REF!</v>
      </c>
      <c r="EL23" s="17" t="e">
        <f>-53.07 + (304.89 * (EK23)) + (90.79 *(Crescimento!#REF!-Crescimento!#REF!)) - (3.13 * (Crescimento!#REF!-Crescimento!#REF!)^2)</f>
        <v>#REF!</v>
      </c>
      <c r="EN23" s="16" t="e">
        <f>((EO22+(Crescimento!#REF!-(EO22*0.64))/0.8)/1000)-Crescimento!#REF!</f>
        <v>#REF!</v>
      </c>
      <c r="EO23" s="17" t="e">
        <f>-53.07 + (304.89 * (EN23)) + (90.79 *(Crescimento!#REF!-Crescimento!#REF!)) - (3.13 * (Crescimento!#REF!-Crescimento!#REF!)^2)</f>
        <v>#REF!</v>
      </c>
      <c r="EQ23" s="16" t="e">
        <f>((ER22+(Crescimento!#REF!-(ER22*0.64))/0.8)/1000)-Crescimento!#REF!</f>
        <v>#REF!</v>
      </c>
      <c r="ER23" s="17" t="e">
        <f>-53.07 + (304.89 * (EQ23)) + (90.79 *(Crescimento!#REF!-Crescimento!#REF!)) - (3.13 * (Crescimento!#REF!-Crescimento!#REF!)^2)</f>
        <v>#REF!</v>
      </c>
      <c r="ET23" s="16" t="e">
        <f>((EU22+(Crescimento!#REF!-(EU22*0.64))/0.8)/1000)-Crescimento!#REF!</f>
        <v>#REF!</v>
      </c>
      <c r="EU23" s="17" t="e">
        <f>-53.07 + (304.89 * (ET23)) + (90.79 *(Crescimento!#REF!-Crescimento!#REF!)) - (3.13 * (Crescimento!#REF!-Crescimento!#REF!)^2)</f>
        <v>#REF!</v>
      </c>
      <c r="EW23" s="16" t="e">
        <f>((EX22+('Vacas e Bezerros'!#REF!-(EX22*0.64))/0.8)/1000)-'Vacas e Bezerros'!#REF!</f>
        <v>#REF!</v>
      </c>
      <c r="EX23" s="17" t="e">
        <f>-53.07 + (304.89 * (EW23)) + (90.79 *('Vacas e Bezerros'!#REF!-'Vacas e Bezerros'!#REF!)) - (3.13 * ('Vacas e Bezerros'!#REF!-'Vacas e Bezerros'!#REF!)^2)</f>
        <v>#REF!</v>
      </c>
      <c r="EZ23" s="16" t="e">
        <f>((FA22+('Vacas e Bezerros'!#REF!-(FA22*0.64))/0.8)/1000)-'Vacas e Bezerros'!#REF!</f>
        <v>#REF!</v>
      </c>
      <c r="FA23" s="17" t="e">
        <f>-53.07 + (304.89 * (EZ23)) + (90.79 *('Vacas e Bezerros'!#REF!-'Vacas e Bezerros'!#REF!)) - (3.13 * ('Vacas e Bezerros'!#REF!-'Vacas e Bezerros'!#REF!)^2)</f>
        <v>#REF!</v>
      </c>
      <c r="FC23" s="16" t="e">
        <f>((FD22+('Vacas e Bezerros'!#REF!-(FD22*0.64))/0.8)/1000)-'Vacas e Bezerros'!#REF!</f>
        <v>#REF!</v>
      </c>
      <c r="FD23" s="17" t="e">
        <f>-53.07 + (304.89 * (FC23)) + (90.79 *('Vacas e Bezerros'!#REF!-'Vacas e Bezerros'!#REF!)) - (3.13 * ('Vacas e Bezerros'!#REF!-'Vacas e Bezerros'!#REF!)^2)</f>
        <v>#REF!</v>
      </c>
      <c r="FF23" s="16" t="e">
        <f>((FG22+('Vacas e Bezerros'!#REF!-(FG22*0.64))/0.8)/1000)-'Vacas e Bezerros'!#REF!</f>
        <v>#REF!</v>
      </c>
      <c r="FG23" s="17" t="e">
        <f>-53.07 + (304.89 * (FF23)) + (90.79 *('Vacas e Bezerros'!#REF!-'Vacas e Bezerros'!#REF!)) - (3.13 * ('Vacas e Bezerros'!#REF!-'Vacas e Bezerros'!#REF!)^2)</f>
        <v>#REF!</v>
      </c>
      <c r="FI23" s="16" t="e">
        <f>((FJ22+('Vacas e Bezerros'!#REF!-(FJ22*0.64))/0.8)/1000)-'Vacas e Bezerros'!#REF!</f>
        <v>#REF!</v>
      </c>
      <c r="FJ23" s="17" t="e">
        <f>-53.07 + (304.89 * (FI23)) + (90.79 *('Vacas e Bezerros'!#REF!-'Vacas e Bezerros'!#REF!)) - (3.13 * ('Vacas e Bezerros'!#REF!-'Vacas e Bezerros'!#REF!)^2)</f>
        <v>#REF!</v>
      </c>
      <c r="FL23" s="16" t="e">
        <f>((FM22+('Vacas e Bezerros'!#REF!-(FM22*0.64))/0.8)/1000)-'Vacas e Bezerros'!#REF!</f>
        <v>#REF!</v>
      </c>
      <c r="FM23" s="17" t="e">
        <f>-53.07 + (304.89 * (FL23)) + (90.79 *('Vacas e Bezerros'!#REF!-'Vacas e Bezerros'!#REF!)) - (3.13 * ('Vacas e Bezerros'!#REF!-'Vacas e Bezerros'!#REF!)^2)</f>
        <v>#REF!</v>
      </c>
      <c r="FO23" s="16" t="e">
        <f>((FP22+('Vacas e Bezerros'!#REF!-(FP22*0.64))/0.8)/1000)-'Vacas e Bezerros'!#REF!</f>
        <v>#REF!</v>
      </c>
      <c r="FP23" s="17" t="e">
        <f>-53.07 + (304.89 * (FO23)) + (90.79 *('Vacas e Bezerros'!#REF!-'Vacas e Bezerros'!#REF!)) - (3.13 * ('Vacas e Bezerros'!#REF!-'Vacas e Bezerros'!#REF!)^2)</f>
        <v>#REF!</v>
      </c>
      <c r="FR23" s="16" t="e">
        <f>((FS22+('Vacas e Bezerros'!#REF!-(FS22*0.64))/0.8)/1000)-'Vacas e Bezerros'!#REF!</f>
        <v>#REF!</v>
      </c>
      <c r="FS23" s="17" t="e">
        <f>-53.07 + (304.89 * (FR23)) + (90.79 *('Vacas e Bezerros'!#REF!-'Vacas e Bezerros'!#REF!)) - (3.13 * ('Vacas e Bezerros'!#REF!-'Vacas e Bezerros'!#REF!)^2)</f>
        <v>#REF!</v>
      </c>
      <c r="FU23" s="16" t="e">
        <f>((FV22+('Vacas e Bezerros'!#REF!-(FV22*0.64))/0.8)/1000)-'Vacas e Bezerros'!#REF!</f>
        <v>#REF!</v>
      </c>
      <c r="FV23" s="17" t="e">
        <f>-53.07 + (304.89 * (FU23)) + (90.79 *('Vacas e Bezerros'!#REF!-'Vacas e Bezerros'!#REF!)) - (3.13 * ('Vacas e Bezerros'!#REF!-'Vacas e Bezerros'!#REF!)^2)</f>
        <v>#REF!</v>
      </c>
      <c r="FX23" s="16" t="e">
        <f>((FY22+('Vacas e Bezerros'!#REF!-(FY22*0.64))/0.8)/1000)-'Vacas e Bezerros'!#REF!</f>
        <v>#REF!</v>
      </c>
      <c r="FY23" s="17" t="e">
        <f>-53.07 + (304.89 * (FX23)) + (90.79 *('Vacas e Bezerros'!#REF!-'Vacas e Bezerros'!#REF!)) - (3.13 * ('Vacas e Bezerros'!#REF!-'Vacas e Bezerros'!#REF!)^2)</f>
        <v>#REF!</v>
      </c>
      <c r="GA23" s="16" t="e">
        <f>((GB22+('Vacas e Bezerros'!#REF!-(GB22*0.64))/0.8)/1000)-'Vacas e Bezerros'!#REF!</f>
        <v>#REF!</v>
      </c>
      <c r="GB23" s="17" t="e">
        <f>-53.07 + (304.89 * (GA23)) + (90.79 *('Vacas e Bezerros'!#REF!-'Vacas e Bezerros'!#REF!)) - (3.13 * ('Vacas e Bezerros'!#REF!-'Vacas e Bezerros'!#REF!)^2)</f>
        <v>#REF!</v>
      </c>
      <c r="GD23" s="16" t="e">
        <f>((GE22+('Vacas e Bezerros'!#REF!-(GE22*0.64))/0.8)/1000)-'Vacas e Bezerros'!#REF!</f>
        <v>#REF!</v>
      </c>
      <c r="GE23" s="17" t="e">
        <f>-53.07 + (304.89 * (GD23)) + (90.79 *('Vacas e Bezerros'!#REF!-'Vacas e Bezerros'!#REF!)) - (3.13 * ('Vacas e Bezerros'!#REF!-'Vacas e Bezerros'!#REF!)^2)</f>
        <v>#REF!</v>
      </c>
      <c r="GG23" s="16" t="e">
        <f>((GH22+('Vacas e Bezerros'!#REF!-(GH22*0.64))/0.8)/1000)-'Vacas e Bezerros'!#REF!</f>
        <v>#REF!</v>
      </c>
      <c r="GH23" s="17" t="e">
        <f>-53.07 + (304.89 * (GG23)) + (90.79 *('Vacas e Bezerros'!#REF!-'Vacas e Bezerros'!#REF!)) - (3.13 * ('Vacas e Bezerros'!#REF!-'Vacas e Bezerros'!#REF!)^2)</f>
        <v>#REF!</v>
      </c>
      <c r="GJ23" s="16" t="e">
        <f>((GK22+('Vacas e Bezerros'!#REF!-(GK22*0.64))/0.8)/1000)-'Vacas e Bezerros'!#REF!</f>
        <v>#REF!</v>
      </c>
      <c r="GK23" s="17" t="e">
        <f>-53.07 + (304.89 * (GJ23)) + (90.79 *('Vacas e Bezerros'!#REF!-'Vacas e Bezerros'!#REF!)) - (3.13 * ('Vacas e Bezerros'!#REF!-'Vacas e Bezerros'!#REF!)^2)</f>
        <v>#REF!</v>
      </c>
      <c r="GM23" s="16" t="e">
        <f>((GN22+('Vacas e Bezerros'!#REF!-(GN22*0.64))/0.8)/1000)-'Vacas e Bezerros'!#REF!</f>
        <v>#REF!</v>
      </c>
      <c r="GN23" s="17" t="e">
        <f>-53.07 + (304.89 * (GM23)) + (90.79 *('Vacas e Bezerros'!#REF!-'Vacas e Bezerros'!#REF!)) - (3.13 * ('Vacas e Bezerros'!#REF!-'Vacas e Bezerros'!#REF!)^2)</f>
        <v>#REF!</v>
      </c>
    </row>
    <row r="24" spans="3:196" x14ac:dyDescent="0.25">
      <c r="C24" s="16">
        <f>(D23+('Vacas e Bezerros'!$AA$28-(D23*0.64))/0.8)/1000</f>
        <v>0.35719668016155687</v>
      </c>
      <c r="D24" s="17">
        <f>-53.07 + (304.89 * (C24-'Vacas e Bezerros'!$C$206)) + (90.79 *('Vacas e Bezerros'!$AA$22)) - (3.13 *('Vacas e Bezerros'!$AA$22)^2)</f>
        <v>165.01876457544017</v>
      </c>
      <c r="F24" s="16" t="e">
        <f>(G23+(Crescimento!#REF!-(G23*0.64))/0.8)/1000</f>
        <v>#REF!</v>
      </c>
      <c r="G24" s="17" t="e">
        <f>-53.07 + (304.89 * (F24)) + (90.79 *Crescimento!#REF!) - (3.13 * Crescimento!#REF!*Crescimento!#REF!)</f>
        <v>#REF!</v>
      </c>
      <c r="H24" s="1"/>
      <c r="I24" s="16" t="e">
        <f>(J23+(Crescimento!#REF!-(J23*0.64))/0.8)/1000</f>
        <v>#REF!</v>
      </c>
      <c r="J24" s="17" t="e">
        <f>-53.07 + (304.89 * (I24)) + (90.79 *Crescimento!#REF!) - (3.13 * Crescimento!#REF!*Crescimento!#REF!)</f>
        <v>#REF!</v>
      </c>
      <c r="L24" s="16" t="e">
        <f>(M23+(Crescimento!#REF!-(M23*0.64))/0.8)/1000</f>
        <v>#REF!</v>
      </c>
      <c r="M24" s="17" t="e">
        <f>-53.07 + (304.89 * (L24)) + (90.79 *Crescimento!#REF!) - (3.13 * Crescimento!#REF!*Crescimento!#REF!)</f>
        <v>#REF!</v>
      </c>
      <c r="O24" s="16" t="e">
        <f>(P23+(Crescimento!#REF!-(P23*0.64))/0.8)/1000</f>
        <v>#REF!</v>
      </c>
      <c r="P24" s="17" t="e">
        <f>-53.07 + (304.89 * (O24)) + (90.79 *Crescimento!#REF!) - (3.13 * Crescimento!#REF!*Crescimento!#REF!)</f>
        <v>#REF!</v>
      </c>
      <c r="R24" s="16" t="e">
        <f>(S23+(Crescimento!#REF!-(S23*0.64))/0.8)/1000</f>
        <v>#REF!</v>
      </c>
      <c r="S24" s="17" t="e">
        <f>-53.07 + (304.89 * (R24)) + (90.79 *Crescimento!#REF!) - (3.13 * Crescimento!#REF!*Crescimento!#REF!)</f>
        <v>#REF!</v>
      </c>
      <c r="U24" s="16" t="e">
        <f>(V23+(Crescimento!#REF!-(V23*0.64))/0.8)/1000</f>
        <v>#REF!</v>
      </c>
      <c r="V24" s="17" t="e">
        <f>-53.07 + (304.89 * (U24)) + (90.79 *Crescimento!#REF!) - (3.13 * Crescimento!#REF!*Crescimento!#REF!)</f>
        <v>#REF!</v>
      </c>
      <c r="X24" s="16" t="e">
        <f>(Y23+(Crescimento!#REF!-(Y23*0.64))/0.8)/1000</f>
        <v>#REF!</v>
      </c>
      <c r="Y24" s="17" t="e">
        <f>-53.07 + (304.89 * (X24)) + (90.79 *Crescimento!#REF!) - (3.13 * Crescimento!#REF!*Crescimento!#REF!)</f>
        <v>#REF!</v>
      </c>
      <c r="Z24" s="6"/>
      <c r="AA24" s="16" t="e">
        <f>(AB23+(Crescimento!#REF!-(AB23*0.64))/0.8)/1000</f>
        <v>#REF!</v>
      </c>
      <c r="AB24" s="17" t="e">
        <f>-53.07 + (304.89 * (AA24)) + (90.79 *Crescimento!#REF!) - (3.13 * Crescimento!#REF!*Crescimento!#REF!)</f>
        <v>#REF!</v>
      </c>
      <c r="AC24" s="6"/>
      <c r="AD24" s="16" t="e">
        <f>(AE23+(Crescimento!#REF!-(AE23*0.64))/0.8)/1000</f>
        <v>#REF!</v>
      </c>
      <c r="AE24" s="17" t="e">
        <f>-53.07 + (304.89 * (AD24)) + (90.79 *Crescimento!#REF!) - (3.13 * Crescimento!#REF!*Crescimento!#REF!)</f>
        <v>#REF!</v>
      </c>
      <c r="AF24" s="17"/>
      <c r="AG24" s="16" t="e">
        <f>(AH23+(Crescimento!#REF!-(AH23*0.64))/0.8)/1000</f>
        <v>#REF!</v>
      </c>
      <c r="AH24" s="17" t="e">
        <f>-53.07 + (304.89 * (AG24)) + (90.79 *Crescimento!#REF!) - (3.13 * Crescimento!#REF!*Crescimento!#REF!)</f>
        <v>#REF!</v>
      </c>
      <c r="AJ24" s="16" t="e">
        <f>(AK23+(Crescimento!#REF!-(AK23*0.64))/0.8)/1000</f>
        <v>#REF!</v>
      </c>
      <c r="AK24" s="17" t="e">
        <f>-53.07 + (304.89 * (AJ24)) + (90.79 *Crescimento!#REF!) - (3.13 * Crescimento!#REF!*Crescimento!#REF!)</f>
        <v>#REF!</v>
      </c>
      <c r="AM24" s="16" t="e">
        <f>(AN23+(Crescimento!#REF!-(AN23*0.64))/0.8)/1000</f>
        <v>#REF!</v>
      </c>
      <c r="AN24" s="17" t="e">
        <f>-53.07 + (304.89 * (AM24)) + (90.79 *Crescimento!#REF!) - (3.13 * Crescimento!#REF!*Crescimento!#REF!)</f>
        <v>#REF!</v>
      </c>
      <c r="AP24" s="16" t="e">
        <f>(AQ23+(Crescimento!#REF!-(AQ23*0.64))/0.8)/1000</f>
        <v>#REF!</v>
      </c>
      <c r="AQ24" s="17" t="e">
        <f>-53.07 + (304.89 * (AP24)) + (90.79 *Crescimento!#REF!) - (3.13 * Crescimento!#REF!*Crescimento!#REF!)</f>
        <v>#REF!</v>
      </c>
      <c r="AS24" s="16" t="e">
        <f>(AT23+(Crescimento!#REF!-(AT23*0.64))/0.8)/1000</f>
        <v>#REF!</v>
      </c>
      <c r="AT24" s="17" t="e">
        <f>-53.07 + (304.89 * (AS24)) + (90.79 *Crescimento!#REF!) - (3.13 * Crescimento!#REF!*Crescimento!#REF!)</f>
        <v>#REF!</v>
      </c>
      <c r="AV24" s="16" t="e">
        <f>(AW23+(Crescimento!#REF!-(AW23*0.64))/0.8)/1000</f>
        <v>#REF!</v>
      </c>
      <c r="AW24" s="17" t="e">
        <f>-53.07 + (304.89 * (AV24)) + (90.79 *Crescimento!#REF!) - (3.13 * Crescimento!#REF!*Crescimento!#REF!)</f>
        <v>#REF!</v>
      </c>
      <c r="AY24" s="21" t="e">
        <f>((AZ23+(Crescimento!#REF!-(AZ23*0.64))/0.8)/1000)-Crescimento!#REF!</f>
        <v>#REF!</v>
      </c>
      <c r="AZ24" s="22" t="e">
        <f>-53.07 + (304.89 * (AY24)) + (90.79 *(Crescimento!#REF!-Crescimento!#REF!)) - (3.13 * (Crescimento!#REF!-Crescimento!#REF!)^2)</f>
        <v>#REF!</v>
      </c>
      <c r="BA24" s="23"/>
      <c r="BB24" s="21" t="e">
        <f>((BC23+(Crescimento!#REF!-(BC23*0.64))/0.8)/1000)-Crescimento!#REF!</f>
        <v>#REF!</v>
      </c>
      <c r="BC24" s="22" t="e">
        <f>-53.07 + (304.89 * (BB24)) + (90.79 *(Crescimento!#REF!-Crescimento!#REF!)) - (3.13 * (Crescimento!#REF!-Crescimento!#REF!)^2)</f>
        <v>#REF!</v>
      </c>
      <c r="BD24" s="23"/>
      <c r="BE24" s="21" t="e">
        <f>((BF23+(Crescimento!#REF!-(BF23*0.64))/0.8)/1000)-Crescimento!#REF!</f>
        <v>#REF!</v>
      </c>
      <c r="BF24" s="22" t="e">
        <f>-53.07 + (304.89 * (BE24)) + (90.79 *(Crescimento!#REF!-Crescimento!#REF!)) - (3.13 * (Crescimento!#REF!-Crescimento!#REF!)^2)</f>
        <v>#REF!</v>
      </c>
      <c r="BG24" s="23"/>
      <c r="BH24" s="21" t="e">
        <f>((BI23+(Crescimento!#REF!-(BI23*0.64))/0.8)/1000)-Crescimento!#REF!</f>
        <v>#REF!</v>
      </c>
      <c r="BI24" s="22" t="e">
        <f>-53.07 + (304.89 * (BH24)) + (90.79 *(Crescimento!#REF!-Crescimento!#REF!)) - (3.13 * (Crescimento!#REF!-Crescimento!#REF!)^2)</f>
        <v>#REF!</v>
      </c>
      <c r="BJ24" s="23"/>
      <c r="BK24" s="21" t="e">
        <f>((BL23+(Crescimento!#REF!-(BL23*0.64))/0.8)/1000)-Crescimento!#REF!</f>
        <v>#REF!</v>
      </c>
      <c r="BL24" s="22" t="e">
        <f>-53.07 + (304.89 * (BK24)) + (90.79 *(Crescimento!#REF!-Crescimento!#REF!)) - (3.13 * (Crescimento!#REF!-Crescimento!#REF!)^2)</f>
        <v>#REF!</v>
      </c>
      <c r="BM24" s="23"/>
      <c r="BN24" s="21" t="e">
        <f>((BO23+(Crescimento!#REF!-(BO23*0.64))/0.8)/1000)-Crescimento!#REF!</f>
        <v>#REF!</v>
      </c>
      <c r="BO24" s="22" t="e">
        <f>-53.07 + (304.89 * (BN24)) + (90.79 *(Crescimento!#REF!-Crescimento!#REF!)) - (3.13 * (Crescimento!#REF!-Crescimento!#REF!)^2)</f>
        <v>#REF!</v>
      </c>
      <c r="BP24" s="23"/>
      <c r="BQ24" s="21" t="e">
        <f>((BR23+(Crescimento!#REF!-(BR23*0.64))/0.8)/1000)-Crescimento!#REF!</f>
        <v>#REF!</v>
      </c>
      <c r="BR24" s="22" t="e">
        <f>-53.07 + (304.89 * (BQ24)) + (90.79 *(Crescimento!#REF!-Crescimento!#REF!)) - (3.13 * (Crescimento!#REF!-Crescimento!#REF!)^2)</f>
        <v>#REF!</v>
      </c>
      <c r="BS24" s="23"/>
      <c r="BT24" s="21" t="e">
        <f>((BU23+(Crescimento!#REF!-(BU23*0.64))/0.8)/1000)-Crescimento!#REF!</f>
        <v>#REF!</v>
      </c>
      <c r="BU24" s="22" t="e">
        <f>-53.07 + (304.89 * (BT24)) + (90.79 *(Crescimento!#REF!-Crescimento!#REF!)) - (3.13 * (Crescimento!#REF!-Crescimento!#REF!)^2)</f>
        <v>#REF!</v>
      </c>
      <c r="BV24" s="23"/>
      <c r="BW24" s="21" t="e">
        <f>((BX23+(Crescimento!#REF!-(BX23*0.64))/0.8)/1000)-Crescimento!#REF!</f>
        <v>#REF!</v>
      </c>
      <c r="BX24" s="22" t="e">
        <f>-53.07 + (304.89 * (BW24)) + (90.79 *(Crescimento!#REF!-Crescimento!#REF!)) - (3.13 * (Crescimento!#REF!-Crescimento!#REF!)^2)</f>
        <v>#REF!</v>
      </c>
      <c r="BY24" s="23"/>
      <c r="BZ24" s="21" t="e">
        <f>((CA23+(Crescimento!#REF!-(CA23*0.64))/0.8)/1000)-Crescimento!#REF!</f>
        <v>#REF!</v>
      </c>
      <c r="CA24" s="22" t="e">
        <f>-53.07 + (304.89 * (BZ24)) + (90.79 *(Crescimento!#REF!-Crescimento!#REF!)) - (3.13 * (Crescimento!#REF!-Crescimento!#REF!)^2)</f>
        <v>#REF!</v>
      </c>
      <c r="CB24" s="23"/>
      <c r="CC24" s="21" t="e">
        <f>((CD23+(Crescimento!#REF!-(CD23*0.64))/0.8)/1000)-Crescimento!#REF!</f>
        <v>#REF!</v>
      </c>
      <c r="CD24" s="22" t="e">
        <f>-53.07 + (304.89 * (CC24)) + (90.79 *(Crescimento!#REF!-Crescimento!#REF!)) - (3.13 * (Crescimento!#REF!-Crescimento!#REF!)^2)</f>
        <v>#REF!</v>
      </c>
      <c r="CE24" s="23"/>
      <c r="CF24" s="21" t="e">
        <f>((CG23+(Crescimento!#REF!-(CG23*0.64))/0.8)/1000)-Crescimento!#REF!</f>
        <v>#REF!</v>
      </c>
      <c r="CG24" s="22" t="e">
        <f>-53.07 + (304.89 * (CF24)) + (90.79 *(Crescimento!#REF!-Crescimento!#REF!)) - (3.13 * (Crescimento!#REF!-Crescimento!#REF!)^2)</f>
        <v>#REF!</v>
      </c>
      <c r="CH24" s="23"/>
      <c r="CI24" s="21" t="e">
        <f>((CJ23+(Crescimento!#REF!-(CJ23*0.64))/0.8)/1000)-Crescimento!#REF!</f>
        <v>#REF!</v>
      </c>
      <c r="CJ24" s="22" t="e">
        <f>-53.07 + (304.89 * (CI24)) + (90.79 *(Crescimento!#REF!-Crescimento!#REF!)) - (3.13 * (Crescimento!#REF!-Crescimento!#REF!)^2)</f>
        <v>#REF!</v>
      </c>
      <c r="CK24" s="23"/>
      <c r="CL24" s="21" t="e">
        <f>((CM23+(Crescimento!#REF!-(CM23*0.64))/0.8)/1000)-Crescimento!#REF!</f>
        <v>#REF!</v>
      </c>
      <c r="CM24" s="22" t="e">
        <f>-53.07 + (304.89 * (CL24)) + (90.79 *(Crescimento!#REF!-Crescimento!#REF!)) - (3.13 * (Crescimento!#REF!-Crescimento!#REF!)^2)</f>
        <v>#REF!</v>
      </c>
      <c r="CN24" s="23"/>
      <c r="CO24" s="21" t="e">
        <f>((CP23+(Crescimento!#REF!-(CP23*0.64))/0.8)/1000)-Crescimento!#REF!</f>
        <v>#REF!</v>
      </c>
      <c r="CP24" s="22" t="e">
        <f>-53.07 + (304.89 * (CO24)) + (90.79 *(Crescimento!#REF!-Crescimento!#REF!)) - (3.13 * (Crescimento!#REF!-Crescimento!#REF!)^2)</f>
        <v>#REF!</v>
      </c>
      <c r="CQ24" s="23"/>
      <c r="CR24" s="21" t="e">
        <f>((CS23+(Crescimento!#REF!-(CS23*0.64))/0.8)/1000)-Crescimento!#REF!</f>
        <v>#REF!</v>
      </c>
      <c r="CS24" s="22" t="e">
        <f>-53.07 + (304.89 * (CR24)) + (90.79 *(Crescimento!#REF!-Crescimento!#REF!)) - (3.13 * (Crescimento!#REF!-Crescimento!#REF!)^2)</f>
        <v>#REF!</v>
      </c>
      <c r="CX24" s="16" t="e">
        <f>((CY23+(Crescimento!#REF!-(CY23*0.64))/0.8)/1000)-Crescimento!#REF!</f>
        <v>#REF!</v>
      </c>
      <c r="CY24" s="17" t="e">
        <f>-53.07 + (304.89 * (CX24)) + (90.79 *(Crescimento!#REF!-Crescimento!#REF!)) - (3.13 * (Crescimento!#REF!-Crescimento!#REF!)^2)</f>
        <v>#REF!</v>
      </c>
      <c r="DA24" s="16" t="e">
        <f>((DB23+(Crescimento!#REF!-(DB23*0.64))/0.8)/1000)-Crescimento!#REF!</f>
        <v>#REF!</v>
      </c>
      <c r="DB24" s="17" t="e">
        <f>-53.07 + (304.89 * (DA24)) + (90.79 *(Crescimento!#REF!-Crescimento!#REF!)) - (3.13 * (Crescimento!#REF!-Crescimento!#REF!)^2)</f>
        <v>#REF!</v>
      </c>
      <c r="DD24" s="16" t="e">
        <f>(DE23+(Crescimento!#REF!-(DE23*0.64))/0.8)/1000</f>
        <v>#REF!</v>
      </c>
      <c r="DE24" s="17" t="e">
        <f>-53.07 + (304.89 * (DD24)) + (90.79 *Crescimento!#REF!) - (3.13 * Crescimento!#REF!*Crescimento!#REF!)</f>
        <v>#REF!</v>
      </c>
      <c r="DG24" s="16" t="e">
        <f>((DH23+(Crescimento!#REF!-(DH23*0.64))/0.8)/1000)-Crescimento!#REF!</f>
        <v>#REF!</v>
      </c>
      <c r="DH24" s="17" t="e">
        <f>-53.07 + (304.89 * (DG24)) + (90.79 *(Crescimento!#REF!-Crescimento!#REF!)) - (3.13 * (Crescimento!#REF!-Crescimento!#REF!)^2)</f>
        <v>#REF!</v>
      </c>
      <c r="DJ24" s="16" t="e">
        <f>((DK23+(Crescimento!#REF!-(DK23*0.64))/0.8)/1000)-Crescimento!#REF!</f>
        <v>#REF!</v>
      </c>
      <c r="DK24" s="17" t="e">
        <f>-53.07 + (304.89 * (DJ24)) + (90.79 *(Crescimento!#REF!-Crescimento!#REF!)) - (3.13 * (Crescimento!#REF!-Crescimento!#REF!)^2)</f>
        <v>#REF!</v>
      </c>
      <c r="DM24" s="16" t="e">
        <f>((DN23+(Crescimento!#REF!-(DN23*0.64))/0.8)/1000)-Crescimento!#REF!</f>
        <v>#REF!</v>
      </c>
      <c r="DN24" s="17" t="e">
        <f>-53.07 + (304.89 * (DM24)) + (90.79 *(Crescimento!#REF!-Crescimento!#REF!)) - (3.13 * (Crescimento!#REF!-Crescimento!#REF!)^2)</f>
        <v>#REF!</v>
      </c>
      <c r="DP24" s="16" t="e">
        <f>(DQ23+(Crescimento!#REF!-(DQ23*0.64))/0.8)/1000</f>
        <v>#REF!</v>
      </c>
      <c r="DQ24" s="17" t="e">
        <f>-53.07 + (304.89 * (DP24)) + (90.79 *(Crescimento!#REF!-Crescimento!#REF!)) - (3.13 * (Crescimento!#REF!-Crescimento!#REF!)^2)</f>
        <v>#REF!</v>
      </c>
      <c r="DS24" s="16" t="e">
        <f>((DT23+(Crescimento!#REF!-(DT23*0.64))/0.8)/1000)-Crescimento!#REF!</f>
        <v>#REF!</v>
      </c>
      <c r="DT24" s="17" t="e">
        <f>-53.07 + (304.89 * (DS24)) + (90.79 *(Crescimento!#REF!-Crescimento!#REF!)) - (3.13 * (Crescimento!#REF!-Crescimento!#REF!)^2)</f>
        <v>#REF!</v>
      </c>
      <c r="DV24" s="16" t="e">
        <f>((DW23+(Crescimento!#REF!-(DW23*0.64))/0.8)/1000)-Crescimento!#REF!</f>
        <v>#REF!</v>
      </c>
      <c r="DW24" s="17" t="e">
        <f>-53.07 + (304.89 * (DV24)) + (90.79 *(Crescimento!#REF!-Crescimento!#REF!)) - (3.13 * (Crescimento!#REF!-Crescimento!#REF!)^2)</f>
        <v>#REF!</v>
      </c>
      <c r="DY24" s="16" t="e">
        <f>((DZ23+(Crescimento!#REF!-(DZ23*0.64))/0.8)/1000)-Crescimento!#REF!</f>
        <v>#REF!</v>
      </c>
      <c r="DZ24" s="17" t="e">
        <f>-53.07 + (304.89 * (DY24)) + (90.79 *(Crescimento!#REF!-Crescimento!#REF!)) - (3.13 * (Crescimento!#REF!-Crescimento!#REF!)^2)</f>
        <v>#REF!</v>
      </c>
      <c r="EB24" s="16" t="e">
        <f>((EC23+(Crescimento!#REF!-(EC23*0.64))/0.8)/1000)-Crescimento!#REF!</f>
        <v>#REF!</v>
      </c>
      <c r="EC24" s="17" t="e">
        <f>-53.07 + (304.89 * (EB24)) + (90.79 *(Crescimento!#REF!-Crescimento!#REF!)) - (3.13 * (Crescimento!#REF!-Crescimento!#REF!)^2)</f>
        <v>#REF!</v>
      </c>
      <c r="EE24" s="16" t="e">
        <f>((EF23+(Crescimento!#REF!-(EF23*0.64))/0.8)/1000)-Crescimento!#REF!</f>
        <v>#REF!</v>
      </c>
      <c r="EF24" s="17" t="e">
        <f>-53.07 + (304.89 * (EE24)) + (90.79 *(Crescimento!#REF!-Crescimento!#REF!)) - (3.13 * (Crescimento!#REF!-Crescimento!#REF!)^2)</f>
        <v>#REF!</v>
      </c>
      <c r="EH24" s="16" t="e">
        <f>((EI23+(Crescimento!#REF!-(EI23*0.64))/0.8)/1000)-Crescimento!#REF!</f>
        <v>#REF!</v>
      </c>
      <c r="EI24" s="17" t="e">
        <f>-53.07 + (304.89 * (EH24)) + (90.79 *(Crescimento!#REF!-Crescimento!#REF!)) - (3.13 * (Crescimento!#REF!-Crescimento!#REF!)^2)</f>
        <v>#REF!</v>
      </c>
      <c r="EK24" s="16" t="e">
        <f>((EL23+(Crescimento!#REF!-(EL23*0.64))/0.8)/1000)-Crescimento!#REF!</f>
        <v>#REF!</v>
      </c>
      <c r="EL24" s="17" t="e">
        <f>-53.07 + (304.89 * (EK24)) + (90.79 *(Crescimento!#REF!-Crescimento!#REF!)) - (3.13 * (Crescimento!#REF!-Crescimento!#REF!)^2)</f>
        <v>#REF!</v>
      </c>
      <c r="EN24" s="16" t="e">
        <f>((EO23+(Crescimento!#REF!-(EO23*0.64))/0.8)/1000)-Crescimento!#REF!</f>
        <v>#REF!</v>
      </c>
      <c r="EO24" s="17" t="e">
        <f>-53.07 + (304.89 * (EN24)) + (90.79 *(Crescimento!#REF!-Crescimento!#REF!)) - (3.13 * (Crescimento!#REF!-Crescimento!#REF!)^2)</f>
        <v>#REF!</v>
      </c>
      <c r="EQ24" s="16" t="e">
        <f>((ER23+(Crescimento!#REF!-(ER23*0.64))/0.8)/1000)-Crescimento!#REF!</f>
        <v>#REF!</v>
      </c>
      <c r="ER24" s="17" t="e">
        <f>-53.07 + (304.89 * (EQ24)) + (90.79 *(Crescimento!#REF!-Crescimento!#REF!)) - (3.13 * (Crescimento!#REF!-Crescimento!#REF!)^2)</f>
        <v>#REF!</v>
      </c>
      <c r="ET24" s="16" t="e">
        <f>((EU23+(Crescimento!#REF!-(EU23*0.64))/0.8)/1000)-Crescimento!#REF!</f>
        <v>#REF!</v>
      </c>
      <c r="EU24" s="17" t="e">
        <f>-53.07 + (304.89 * (ET24)) + (90.79 *(Crescimento!#REF!-Crescimento!#REF!)) - (3.13 * (Crescimento!#REF!-Crescimento!#REF!)^2)</f>
        <v>#REF!</v>
      </c>
      <c r="EW24" s="16" t="e">
        <f>((EX23+('Vacas e Bezerros'!#REF!-(EX23*0.64))/0.8)/1000)-'Vacas e Bezerros'!#REF!</f>
        <v>#REF!</v>
      </c>
      <c r="EX24" s="17" t="e">
        <f>-53.07 + (304.89 * (EW24)) + (90.79 *('Vacas e Bezerros'!#REF!-'Vacas e Bezerros'!#REF!)) - (3.13 * ('Vacas e Bezerros'!#REF!-'Vacas e Bezerros'!#REF!)^2)</f>
        <v>#REF!</v>
      </c>
      <c r="EZ24" s="16" t="e">
        <f>((FA23+('Vacas e Bezerros'!#REF!-(FA23*0.64))/0.8)/1000)-'Vacas e Bezerros'!#REF!</f>
        <v>#REF!</v>
      </c>
      <c r="FA24" s="17" t="e">
        <f>-53.07 + (304.89 * (EZ24)) + (90.79 *('Vacas e Bezerros'!#REF!-'Vacas e Bezerros'!#REF!)) - (3.13 * ('Vacas e Bezerros'!#REF!-'Vacas e Bezerros'!#REF!)^2)</f>
        <v>#REF!</v>
      </c>
      <c r="FC24" s="16" t="e">
        <f>((FD23+('Vacas e Bezerros'!#REF!-(FD23*0.64))/0.8)/1000)-'Vacas e Bezerros'!#REF!</f>
        <v>#REF!</v>
      </c>
      <c r="FD24" s="17" t="e">
        <f>-53.07 + (304.89 * (FC24)) + (90.79 *('Vacas e Bezerros'!#REF!-'Vacas e Bezerros'!#REF!)) - (3.13 * ('Vacas e Bezerros'!#REF!-'Vacas e Bezerros'!#REF!)^2)</f>
        <v>#REF!</v>
      </c>
      <c r="FF24" s="16" t="e">
        <f>((FG23+('Vacas e Bezerros'!#REF!-(FG23*0.64))/0.8)/1000)-'Vacas e Bezerros'!#REF!</f>
        <v>#REF!</v>
      </c>
      <c r="FG24" s="17" t="e">
        <f>-53.07 + (304.89 * (FF24)) + (90.79 *('Vacas e Bezerros'!#REF!-'Vacas e Bezerros'!#REF!)) - (3.13 * ('Vacas e Bezerros'!#REF!-'Vacas e Bezerros'!#REF!)^2)</f>
        <v>#REF!</v>
      </c>
      <c r="FI24" s="16" t="e">
        <f>((FJ23+('Vacas e Bezerros'!#REF!-(FJ23*0.64))/0.8)/1000)-'Vacas e Bezerros'!#REF!</f>
        <v>#REF!</v>
      </c>
      <c r="FJ24" s="17" t="e">
        <f>-53.07 + (304.89 * (FI24)) + (90.79 *('Vacas e Bezerros'!#REF!-'Vacas e Bezerros'!#REF!)) - (3.13 * ('Vacas e Bezerros'!#REF!-'Vacas e Bezerros'!#REF!)^2)</f>
        <v>#REF!</v>
      </c>
      <c r="FL24" s="16" t="e">
        <f>((FM23+('Vacas e Bezerros'!#REF!-(FM23*0.64))/0.8)/1000)-'Vacas e Bezerros'!#REF!</f>
        <v>#REF!</v>
      </c>
      <c r="FM24" s="17" t="e">
        <f>-53.07 + (304.89 * (FL24)) + (90.79 *('Vacas e Bezerros'!#REF!-'Vacas e Bezerros'!#REF!)) - (3.13 * ('Vacas e Bezerros'!#REF!-'Vacas e Bezerros'!#REF!)^2)</f>
        <v>#REF!</v>
      </c>
      <c r="FO24" s="16" t="e">
        <f>((FP23+('Vacas e Bezerros'!#REF!-(FP23*0.64))/0.8)/1000)-'Vacas e Bezerros'!#REF!</f>
        <v>#REF!</v>
      </c>
      <c r="FP24" s="17" t="e">
        <f>-53.07 + (304.89 * (FO24)) + (90.79 *('Vacas e Bezerros'!#REF!-'Vacas e Bezerros'!#REF!)) - (3.13 * ('Vacas e Bezerros'!#REF!-'Vacas e Bezerros'!#REF!)^2)</f>
        <v>#REF!</v>
      </c>
      <c r="FR24" s="16" t="e">
        <f>((FS23+('Vacas e Bezerros'!#REF!-(FS23*0.64))/0.8)/1000)-'Vacas e Bezerros'!#REF!</f>
        <v>#REF!</v>
      </c>
      <c r="FS24" s="17" t="e">
        <f>-53.07 + (304.89 * (FR24)) + (90.79 *('Vacas e Bezerros'!#REF!-'Vacas e Bezerros'!#REF!)) - (3.13 * ('Vacas e Bezerros'!#REF!-'Vacas e Bezerros'!#REF!)^2)</f>
        <v>#REF!</v>
      </c>
      <c r="FU24" s="16" t="e">
        <f>((FV23+('Vacas e Bezerros'!#REF!-(FV23*0.64))/0.8)/1000)-'Vacas e Bezerros'!#REF!</f>
        <v>#REF!</v>
      </c>
      <c r="FV24" s="17" t="e">
        <f>-53.07 + (304.89 * (FU24)) + (90.79 *('Vacas e Bezerros'!#REF!-'Vacas e Bezerros'!#REF!)) - (3.13 * ('Vacas e Bezerros'!#REF!-'Vacas e Bezerros'!#REF!)^2)</f>
        <v>#REF!</v>
      </c>
      <c r="FX24" s="16" t="e">
        <f>((FY23+('Vacas e Bezerros'!#REF!-(FY23*0.64))/0.8)/1000)-'Vacas e Bezerros'!#REF!</f>
        <v>#REF!</v>
      </c>
      <c r="FY24" s="17" t="e">
        <f>-53.07 + (304.89 * (FX24)) + (90.79 *('Vacas e Bezerros'!#REF!-'Vacas e Bezerros'!#REF!)) - (3.13 * ('Vacas e Bezerros'!#REF!-'Vacas e Bezerros'!#REF!)^2)</f>
        <v>#REF!</v>
      </c>
      <c r="GA24" s="16" t="e">
        <f>((GB23+('Vacas e Bezerros'!#REF!-(GB23*0.64))/0.8)/1000)-'Vacas e Bezerros'!#REF!</f>
        <v>#REF!</v>
      </c>
      <c r="GB24" s="17" t="e">
        <f>-53.07 + (304.89 * (GA24)) + (90.79 *('Vacas e Bezerros'!#REF!-'Vacas e Bezerros'!#REF!)) - (3.13 * ('Vacas e Bezerros'!#REF!-'Vacas e Bezerros'!#REF!)^2)</f>
        <v>#REF!</v>
      </c>
      <c r="GD24" s="16" t="e">
        <f>((GE23+('Vacas e Bezerros'!#REF!-(GE23*0.64))/0.8)/1000)-'Vacas e Bezerros'!#REF!</f>
        <v>#REF!</v>
      </c>
      <c r="GE24" s="17" t="e">
        <f>-53.07 + (304.89 * (GD24)) + (90.79 *('Vacas e Bezerros'!#REF!-'Vacas e Bezerros'!#REF!)) - (3.13 * ('Vacas e Bezerros'!#REF!-'Vacas e Bezerros'!#REF!)^2)</f>
        <v>#REF!</v>
      </c>
      <c r="GG24" s="16" t="e">
        <f>((GH23+('Vacas e Bezerros'!#REF!-(GH23*0.64))/0.8)/1000)-'Vacas e Bezerros'!#REF!</f>
        <v>#REF!</v>
      </c>
      <c r="GH24" s="17" t="e">
        <f>-53.07 + (304.89 * (GG24)) + (90.79 *('Vacas e Bezerros'!#REF!-'Vacas e Bezerros'!#REF!)) - (3.13 * ('Vacas e Bezerros'!#REF!-'Vacas e Bezerros'!#REF!)^2)</f>
        <v>#REF!</v>
      </c>
      <c r="GJ24" s="16" t="e">
        <f>((GK23+('Vacas e Bezerros'!#REF!-(GK23*0.64))/0.8)/1000)-'Vacas e Bezerros'!#REF!</f>
        <v>#REF!</v>
      </c>
      <c r="GK24" s="17" t="e">
        <f>-53.07 + (304.89 * (GJ24)) + (90.79 *('Vacas e Bezerros'!#REF!-'Vacas e Bezerros'!#REF!)) - (3.13 * ('Vacas e Bezerros'!#REF!-'Vacas e Bezerros'!#REF!)^2)</f>
        <v>#REF!</v>
      </c>
      <c r="GM24" s="16" t="e">
        <f>((GN23+('Vacas e Bezerros'!#REF!-(GN23*0.64))/0.8)/1000)-'Vacas e Bezerros'!#REF!</f>
        <v>#REF!</v>
      </c>
      <c r="GN24" s="17" t="e">
        <f>-53.07 + (304.89 * (GM24)) + (90.79 *('Vacas e Bezerros'!#REF!-'Vacas e Bezerros'!#REF!)) - (3.13 * ('Vacas e Bezerros'!#REF!-'Vacas e Bezerros'!#REF!)^2)</f>
        <v>#REF!</v>
      </c>
    </row>
    <row r="25" spans="3:196" x14ac:dyDescent="0.25">
      <c r="C25" s="16">
        <f>(D24+('Vacas e Bezerros'!$AA$28-(D24*0.64))/0.8)/1000</f>
        <v>0.35719668016155687</v>
      </c>
      <c r="D25" s="17">
        <f>-53.07 + (304.89 * (C25-'Vacas e Bezerros'!$C$206)) + (90.79 *('Vacas e Bezerros'!$AA$22)) - (3.13 *('Vacas e Bezerros'!$AA$22)^2)</f>
        <v>165.01876457544017</v>
      </c>
      <c r="F25" s="16" t="e">
        <f>(G24+(Crescimento!#REF!-(G24*0.64))/0.8)/1000</f>
        <v>#REF!</v>
      </c>
      <c r="G25" s="17" t="e">
        <f>-53.07 + (304.89 * (F25)) + (90.79 *Crescimento!#REF!) - (3.13 * Crescimento!#REF!*Crescimento!#REF!)</f>
        <v>#REF!</v>
      </c>
      <c r="H25" s="1"/>
      <c r="I25" s="16" t="e">
        <f>(J24+(Crescimento!#REF!-(J24*0.64))/0.8)/1000</f>
        <v>#REF!</v>
      </c>
      <c r="J25" s="17" t="e">
        <f>-53.07 + (304.89 * (I25)) + (90.79 *Crescimento!#REF!) - (3.13 * Crescimento!#REF!*Crescimento!#REF!)</f>
        <v>#REF!</v>
      </c>
      <c r="L25" s="16" t="e">
        <f>(M24+(Crescimento!#REF!-(M24*0.64))/0.8)/1000</f>
        <v>#REF!</v>
      </c>
      <c r="M25" s="17" t="e">
        <f>-53.07 + (304.89 * (L25)) + (90.79 *Crescimento!#REF!) - (3.13 * Crescimento!#REF!*Crescimento!#REF!)</f>
        <v>#REF!</v>
      </c>
      <c r="O25" s="16" t="e">
        <f>(P24+(Crescimento!#REF!-(P24*0.64))/0.8)/1000</f>
        <v>#REF!</v>
      </c>
      <c r="P25" s="17" t="e">
        <f>-53.07 + (304.89 * (O25)) + (90.79 *Crescimento!#REF!) - (3.13 * Crescimento!#REF!*Crescimento!#REF!)</f>
        <v>#REF!</v>
      </c>
      <c r="R25" s="16" t="e">
        <f>(S24+(Crescimento!#REF!-(S24*0.64))/0.8)/1000</f>
        <v>#REF!</v>
      </c>
      <c r="S25" s="17" t="e">
        <f>-53.07 + (304.89 * (R25)) + (90.79 *Crescimento!#REF!) - (3.13 * Crescimento!#REF!*Crescimento!#REF!)</f>
        <v>#REF!</v>
      </c>
      <c r="U25" s="16" t="e">
        <f>(V24+(Crescimento!#REF!-(V24*0.64))/0.8)/1000</f>
        <v>#REF!</v>
      </c>
      <c r="V25" s="17" t="e">
        <f>-53.07 + (304.89 * (U25)) + (90.79 *Crescimento!#REF!) - (3.13 * Crescimento!#REF!*Crescimento!#REF!)</f>
        <v>#REF!</v>
      </c>
      <c r="X25" s="16" t="e">
        <f>(Y24+(Crescimento!#REF!-(Y24*0.64))/0.8)/1000</f>
        <v>#REF!</v>
      </c>
      <c r="Y25" s="17" t="e">
        <f>-53.07 + (304.89 * (X25)) + (90.79 *Crescimento!#REF!) - (3.13 * Crescimento!#REF!*Crescimento!#REF!)</f>
        <v>#REF!</v>
      </c>
      <c r="Z25" s="6"/>
      <c r="AA25" s="16" t="e">
        <f>(AB24+(Crescimento!#REF!-(AB24*0.64))/0.8)/1000</f>
        <v>#REF!</v>
      </c>
      <c r="AB25" s="17" t="e">
        <f>-53.07 + (304.89 * (AA25)) + (90.79 *Crescimento!#REF!) - (3.13 * Crescimento!#REF!*Crescimento!#REF!)</f>
        <v>#REF!</v>
      </c>
      <c r="AC25" s="6"/>
      <c r="AD25" s="16" t="e">
        <f>(AE24+(Crescimento!#REF!-(AE24*0.64))/0.8)/1000</f>
        <v>#REF!</v>
      </c>
      <c r="AE25" s="17" t="e">
        <f>-53.07 + (304.89 * (AD25)) + (90.79 *Crescimento!#REF!) - (3.13 * Crescimento!#REF!*Crescimento!#REF!)</f>
        <v>#REF!</v>
      </c>
      <c r="AF25" s="17"/>
      <c r="AG25" s="16" t="e">
        <f>(AH24+(Crescimento!#REF!-(AH24*0.64))/0.8)/1000</f>
        <v>#REF!</v>
      </c>
      <c r="AH25" s="17" t="e">
        <f>-53.07 + (304.89 * (AG25)) + (90.79 *Crescimento!#REF!) - (3.13 * Crescimento!#REF!*Crescimento!#REF!)</f>
        <v>#REF!</v>
      </c>
      <c r="AJ25" s="16" t="e">
        <f>(AK24+(Crescimento!#REF!-(AK24*0.64))/0.8)/1000</f>
        <v>#REF!</v>
      </c>
      <c r="AK25" s="17" t="e">
        <f>-53.07 + (304.89 * (AJ25)) + (90.79 *Crescimento!#REF!) - (3.13 * Crescimento!#REF!*Crescimento!#REF!)</f>
        <v>#REF!</v>
      </c>
      <c r="AM25" s="16" t="e">
        <f>(AN24+(Crescimento!#REF!-(AN24*0.64))/0.8)/1000</f>
        <v>#REF!</v>
      </c>
      <c r="AN25" s="17" t="e">
        <f>-53.07 + (304.89 * (AM25)) + (90.79 *Crescimento!#REF!) - (3.13 * Crescimento!#REF!*Crescimento!#REF!)</f>
        <v>#REF!</v>
      </c>
      <c r="AP25" s="16" t="e">
        <f>(AQ24+(Crescimento!#REF!-(AQ24*0.64))/0.8)/1000</f>
        <v>#REF!</v>
      </c>
      <c r="AQ25" s="17" t="e">
        <f>-53.07 + (304.89 * (AP25)) + (90.79 *Crescimento!#REF!) - (3.13 * Crescimento!#REF!*Crescimento!#REF!)</f>
        <v>#REF!</v>
      </c>
      <c r="AS25" s="16" t="e">
        <f>(AT24+(Crescimento!#REF!-(AT24*0.64))/0.8)/1000</f>
        <v>#REF!</v>
      </c>
      <c r="AT25" s="17" t="e">
        <f>-53.07 + (304.89 * (AS25)) + (90.79 *Crescimento!#REF!) - (3.13 * Crescimento!#REF!*Crescimento!#REF!)</f>
        <v>#REF!</v>
      </c>
      <c r="AV25" s="16" t="e">
        <f>(AW24+(Crescimento!#REF!-(AW24*0.64))/0.8)/1000</f>
        <v>#REF!</v>
      </c>
      <c r="AW25" s="17" t="e">
        <f>-53.07 + (304.89 * (AV25)) + (90.79 *Crescimento!#REF!) - (3.13 * Crescimento!#REF!*Crescimento!#REF!)</f>
        <v>#REF!</v>
      </c>
      <c r="AY25" s="21" t="e">
        <f>((AZ24+(Crescimento!#REF!-(AZ24*0.64))/0.8)/1000)-Crescimento!#REF!</f>
        <v>#REF!</v>
      </c>
      <c r="AZ25" s="22" t="e">
        <f>-53.07 + (304.89 * (AY25)) + (90.79 *(Crescimento!#REF!-Crescimento!#REF!)) - (3.13 * (Crescimento!#REF!-Crescimento!#REF!)^2)</f>
        <v>#REF!</v>
      </c>
      <c r="BA25" s="23"/>
      <c r="BB25" s="21" t="e">
        <f>((BC24+(Crescimento!#REF!-(BC24*0.64))/0.8)/1000)-Crescimento!#REF!</f>
        <v>#REF!</v>
      </c>
      <c r="BC25" s="22" t="e">
        <f>-53.07 + (304.89 * (BB25)) + (90.79 *(Crescimento!#REF!-Crescimento!#REF!)) - (3.13 * (Crescimento!#REF!-Crescimento!#REF!)^2)</f>
        <v>#REF!</v>
      </c>
      <c r="BD25" s="23"/>
      <c r="BE25" s="21" t="e">
        <f>((BF24+(Crescimento!#REF!-(BF24*0.64))/0.8)/1000)-Crescimento!#REF!</f>
        <v>#REF!</v>
      </c>
      <c r="BF25" s="22" t="e">
        <f>-53.07 + (304.89 * (BE25)) + (90.79 *(Crescimento!#REF!-Crescimento!#REF!)) - (3.13 * (Crescimento!#REF!-Crescimento!#REF!)^2)</f>
        <v>#REF!</v>
      </c>
      <c r="BG25" s="23"/>
      <c r="BH25" s="21" t="e">
        <f>((BI24+(Crescimento!#REF!-(BI24*0.64))/0.8)/1000)-Crescimento!#REF!</f>
        <v>#REF!</v>
      </c>
      <c r="BI25" s="22" t="e">
        <f>-53.07 + (304.89 * (BH25)) + (90.79 *(Crescimento!#REF!-Crescimento!#REF!)) - (3.13 * (Crescimento!#REF!-Crescimento!#REF!)^2)</f>
        <v>#REF!</v>
      </c>
      <c r="BJ25" s="23"/>
      <c r="BK25" s="21" t="e">
        <f>((BL24+(Crescimento!#REF!-(BL24*0.64))/0.8)/1000)-Crescimento!#REF!</f>
        <v>#REF!</v>
      </c>
      <c r="BL25" s="22" t="e">
        <f>-53.07 + (304.89 * (BK25)) + (90.79 *(Crescimento!#REF!-Crescimento!#REF!)) - (3.13 * (Crescimento!#REF!-Crescimento!#REF!)^2)</f>
        <v>#REF!</v>
      </c>
      <c r="BM25" s="23"/>
      <c r="BN25" s="21" t="e">
        <f>((BO24+(Crescimento!#REF!-(BO24*0.64))/0.8)/1000)-Crescimento!#REF!</f>
        <v>#REF!</v>
      </c>
      <c r="BO25" s="22" t="e">
        <f>-53.07 + (304.89 * (BN25)) + (90.79 *(Crescimento!#REF!-Crescimento!#REF!)) - (3.13 * (Crescimento!#REF!-Crescimento!#REF!)^2)</f>
        <v>#REF!</v>
      </c>
      <c r="BP25" s="23"/>
      <c r="BQ25" s="21" t="e">
        <f>((BR24+(Crescimento!#REF!-(BR24*0.64))/0.8)/1000)-Crescimento!#REF!</f>
        <v>#REF!</v>
      </c>
      <c r="BR25" s="22" t="e">
        <f>-53.07 + (304.89 * (BQ25)) + (90.79 *(Crescimento!#REF!-Crescimento!#REF!)) - (3.13 * (Crescimento!#REF!-Crescimento!#REF!)^2)</f>
        <v>#REF!</v>
      </c>
      <c r="BS25" s="23"/>
      <c r="BT25" s="21" t="e">
        <f>((BU24+(Crescimento!#REF!-(BU24*0.64))/0.8)/1000)-Crescimento!#REF!</f>
        <v>#REF!</v>
      </c>
      <c r="BU25" s="22" t="e">
        <f>-53.07 + (304.89 * (BT25)) + (90.79 *(Crescimento!#REF!-Crescimento!#REF!)) - (3.13 * (Crescimento!#REF!-Crescimento!#REF!)^2)</f>
        <v>#REF!</v>
      </c>
      <c r="BV25" s="23"/>
      <c r="BW25" s="21" t="e">
        <f>((BX24+(Crescimento!#REF!-(BX24*0.64))/0.8)/1000)-Crescimento!#REF!</f>
        <v>#REF!</v>
      </c>
      <c r="BX25" s="22" t="e">
        <f>-53.07 + (304.89 * (BW25)) + (90.79 *(Crescimento!#REF!-Crescimento!#REF!)) - (3.13 * (Crescimento!#REF!-Crescimento!#REF!)^2)</f>
        <v>#REF!</v>
      </c>
      <c r="BY25" s="23"/>
      <c r="BZ25" s="21" t="e">
        <f>((CA24+(Crescimento!#REF!-(CA24*0.64))/0.8)/1000)-Crescimento!#REF!</f>
        <v>#REF!</v>
      </c>
      <c r="CA25" s="22" t="e">
        <f>-53.07 + (304.89 * (BZ25)) + (90.79 *(Crescimento!#REF!-Crescimento!#REF!)) - (3.13 * (Crescimento!#REF!-Crescimento!#REF!)^2)</f>
        <v>#REF!</v>
      </c>
      <c r="CB25" s="23"/>
      <c r="CC25" s="21" t="e">
        <f>((CD24+(Crescimento!#REF!-(CD24*0.64))/0.8)/1000)-Crescimento!#REF!</f>
        <v>#REF!</v>
      </c>
      <c r="CD25" s="22" t="e">
        <f>-53.07 + (304.89 * (CC25)) + (90.79 *(Crescimento!#REF!-Crescimento!#REF!)) - (3.13 * (Crescimento!#REF!-Crescimento!#REF!)^2)</f>
        <v>#REF!</v>
      </c>
      <c r="CE25" s="23"/>
      <c r="CF25" s="21" t="e">
        <f>((CG24+(Crescimento!#REF!-(CG24*0.64))/0.8)/1000)-Crescimento!#REF!</f>
        <v>#REF!</v>
      </c>
      <c r="CG25" s="22" t="e">
        <f>-53.07 + (304.89 * (CF25)) + (90.79 *(Crescimento!#REF!-Crescimento!#REF!)) - (3.13 * (Crescimento!#REF!-Crescimento!#REF!)^2)</f>
        <v>#REF!</v>
      </c>
      <c r="CH25" s="23"/>
      <c r="CI25" s="21" t="e">
        <f>((CJ24+(Crescimento!#REF!-(CJ24*0.64))/0.8)/1000)-Crescimento!#REF!</f>
        <v>#REF!</v>
      </c>
      <c r="CJ25" s="22" t="e">
        <f>-53.07 + (304.89 * (CI25)) + (90.79 *(Crescimento!#REF!-Crescimento!#REF!)) - (3.13 * (Crescimento!#REF!-Crescimento!#REF!)^2)</f>
        <v>#REF!</v>
      </c>
      <c r="CK25" s="23"/>
      <c r="CL25" s="21" t="e">
        <f>((CM24+(Crescimento!#REF!-(CM24*0.64))/0.8)/1000)-Crescimento!#REF!</f>
        <v>#REF!</v>
      </c>
      <c r="CM25" s="22" t="e">
        <f>-53.07 + (304.89 * (CL25)) + (90.79 *(Crescimento!#REF!-Crescimento!#REF!)) - (3.13 * (Crescimento!#REF!-Crescimento!#REF!)^2)</f>
        <v>#REF!</v>
      </c>
      <c r="CN25" s="23"/>
      <c r="CO25" s="21" t="e">
        <f>((CP24+(Crescimento!#REF!-(CP24*0.64))/0.8)/1000)-Crescimento!#REF!</f>
        <v>#REF!</v>
      </c>
      <c r="CP25" s="22" t="e">
        <f>-53.07 + (304.89 * (CO25)) + (90.79 *(Crescimento!#REF!-Crescimento!#REF!)) - (3.13 * (Crescimento!#REF!-Crescimento!#REF!)^2)</f>
        <v>#REF!</v>
      </c>
      <c r="CQ25" s="23"/>
      <c r="CR25" s="21" t="e">
        <f>((CS24+(Crescimento!#REF!-(CS24*0.64))/0.8)/1000)-Crescimento!#REF!</f>
        <v>#REF!</v>
      </c>
      <c r="CS25" s="22" t="e">
        <f>-53.07 + (304.89 * (CR25)) + (90.79 *(Crescimento!#REF!-Crescimento!#REF!)) - (3.13 * (Crescimento!#REF!-Crescimento!#REF!)^2)</f>
        <v>#REF!</v>
      </c>
      <c r="CX25" s="16" t="e">
        <f>((CY24+(Crescimento!#REF!-(CY24*0.64))/0.8)/1000)-Crescimento!#REF!</f>
        <v>#REF!</v>
      </c>
      <c r="CY25" s="17" t="e">
        <f>-53.07 + (304.89 * (CX25)) + (90.79 *(Crescimento!#REF!-Crescimento!#REF!)) - (3.13 * (Crescimento!#REF!-Crescimento!#REF!)^2)</f>
        <v>#REF!</v>
      </c>
      <c r="DA25" s="16" t="e">
        <f>((DB24+(Crescimento!#REF!-(DB24*0.64))/0.8)/1000)-Crescimento!#REF!</f>
        <v>#REF!</v>
      </c>
      <c r="DB25" s="17" t="e">
        <f>-53.07 + (304.89 * (DA25)) + (90.79 *(Crescimento!#REF!-Crescimento!#REF!)) - (3.13 * (Crescimento!#REF!-Crescimento!#REF!)^2)</f>
        <v>#REF!</v>
      </c>
      <c r="DD25" s="16" t="e">
        <f>(DE24+(Crescimento!#REF!-(DE24*0.64))/0.8)/1000</f>
        <v>#REF!</v>
      </c>
      <c r="DE25" s="17" t="e">
        <f>-53.07 + (304.89 * (DD25)) + (90.79 *Crescimento!#REF!) - (3.13 * Crescimento!#REF!*Crescimento!#REF!)</f>
        <v>#REF!</v>
      </c>
      <c r="DG25" s="16" t="e">
        <f>((DH24+(Crescimento!#REF!-(DH24*0.64))/0.8)/1000)-Crescimento!#REF!</f>
        <v>#REF!</v>
      </c>
      <c r="DH25" s="17" t="e">
        <f>-53.07 + (304.89 * (DG25)) + (90.79 *(Crescimento!#REF!-Crescimento!#REF!)) - (3.13 * (Crescimento!#REF!-Crescimento!#REF!)^2)</f>
        <v>#REF!</v>
      </c>
      <c r="DJ25" s="16" t="e">
        <f>((DK24+(Crescimento!#REF!-(DK24*0.64))/0.8)/1000)-Crescimento!#REF!</f>
        <v>#REF!</v>
      </c>
      <c r="DK25" s="17" t="e">
        <f>-53.07 + (304.89 * (DJ25)) + (90.79 *(Crescimento!#REF!-Crescimento!#REF!)) - (3.13 * (Crescimento!#REF!-Crescimento!#REF!)^2)</f>
        <v>#REF!</v>
      </c>
      <c r="DM25" s="16" t="e">
        <f>((DN24+(Crescimento!#REF!-(DN24*0.64))/0.8)/1000)-Crescimento!#REF!</f>
        <v>#REF!</v>
      </c>
      <c r="DN25" s="17" t="e">
        <f>-53.07 + (304.89 * (DM25)) + (90.79 *(Crescimento!#REF!-Crescimento!#REF!)) - (3.13 * (Crescimento!#REF!-Crescimento!#REF!)^2)</f>
        <v>#REF!</v>
      </c>
      <c r="DP25" s="16" t="e">
        <f>(DQ24+(Crescimento!#REF!-(DQ24*0.64))/0.8)/1000</f>
        <v>#REF!</v>
      </c>
      <c r="DQ25" s="17" t="e">
        <f>-53.07 + (304.89 * (DP25)) + (90.79 *(Crescimento!#REF!-Crescimento!#REF!)) - (3.13 * (Crescimento!#REF!-Crescimento!#REF!)^2)</f>
        <v>#REF!</v>
      </c>
      <c r="DS25" s="16" t="e">
        <f>((DT24+(Crescimento!#REF!-(DT24*0.64))/0.8)/1000)-Crescimento!#REF!</f>
        <v>#REF!</v>
      </c>
      <c r="DT25" s="17" t="e">
        <f>-53.07 + (304.89 * (DS25)) + (90.79 *(Crescimento!#REF!-Crescimento!#REF!)) - (3.13 * (Crescimento!#REF!-Crescimento!#REF!)^2)</f>
        <v>#REF!</v>
      </c>
      <c r="DV25" s="16" t="e">
        <f>((DW24+(Crescimento!#REF!-(DW24*0.64))/0.8)/1000)-Crescimento!#REF!</f>
        <v>#REF!</v>
      </c>
      <c r="DW25" s="17" t="e">
        <f>-53.07 + (304.89 * (DV25)) + (90.79 *(Crescimento!#REF!-Crescimento!#REF!)) - (3.13 * (Crescimento!#REF!-Crescimento!#REF!)^2)</f>
        <v>#REF!</v>
      </c>
      <c r="DY25" s="16" t="e">
        <f>((DZ24+(Crescimento!#REF!-(DZ24*0.64))/0.8)/1000)-Crescimento!#REF!</f>
        <v>#REF!</v>
      </c>
      <c r="DZ25" s="17" t="e">
        <f>-53.07 + (304.89 * (DY25)) + (90.79 *(Crescimento!#REF!-Crescimento!#REF!)) - (3.13 * (Crescimento!#REF!-Crescimento!#REF!)^2)</f>
        <v>#REF!</v>
      </c>
      <c r="EB25" s="16" t="e">
        <f>((EC24+(Crescimento!#REF!-(EC24*0.64))/0.8)/1000)-Crescimento!#REF!</f>
        <v>#REF!</v>
      </c>
      <c r="EC25" s="17" t="e">
        <f>-53.07 + (304.89 * (EB25)) + (90.79 *(Crescimento!#REF!-Crescimento!#REF!)) - (3.13 * (Crescimento!#REF!-Crescimento!#REF!)^2)</f>
        <v>#REF!</v>
      </c>
      <c r="EE25" s="16" t="e">
        <f>((EF24+(Crescimento!#REF!-(EF24*0.64))/0.8)/1000)-Crescimento!#REF!</f>
        <v>#REF!</v>
      </c>
      <c r="EF25" s="17" t="e">
        <f>-53.07 + (304.89 * (EE25)) + (90.79 *(Crescimento!#REF!-Crescimento!#REF!)) - (3.13 * (Crescimento!#REF!-Crescimento!#REF!)^2)</f>
        <v>#REF!</v>
      </c>
      <c r="EH25" s="16" t="e">
        <f>((EI24+(Crescimento!#REF!-(EI24*0.64))/0.8)/1000)-Crescimento!#REF!</f>
        <v>#REF!</v>
      </c>
      <c r="EI25" s="17" t="e">
        <f>-53.07 + (304.89 * (EH25)) + (90.79 *(Crescimento!#REF!-Crescimento!#REF!)) - (3.13 * (Crescimento!#REF!-Crescimento!#REF!)^2)</f>
        <v>#REF!</v>
      </c>
      <c r="EK25" s="16" t="e">
        <f>((EL24+(Crescimento!#REF!-(EL24*0.64))/0.8)/1000)-Crescimento!#REF!</f>
        <v>#REF!</v>
      </c>
      <c r="EL25" s="17" t="e">
        <f>-53.07 + (304.89 * (EK25)) + (90.79 *(Crescimento!#REF!-Crescimento!#REF!)) - (3.13 * (Crescimento!#REF!-Crescimento!#REF!)^2)</f>
        <v>#REF!</v>
      </c>
      <c r="EN25" s="16" t="e">
        <f>((EO24+(Crescimento!#REF!-(EO24*0.64))/0.8)/1000)-Crescimento!#REF!</f>
        <v>#REF!</v>
      </c>
      <c r="EO25" s="17" t="e">
        <f>-53.07 + (304.89 * (EN25)) + (90.79 *(Crescimento!#REF!-Crescimento!#REF!)) - (3.13 * (Crescimento!#REF!-Crescimento!#REF!)^2)</f>
        <v>#REF!</v>
      </c>
      <c r="EQ25" s="16" t="e">
        <f>((ER24+(Crescimento!#REF!-(ER24*0.64))/0.8)/1000)-Crescimento!#REF!</f>
        <v>#REF!</v>
      </c>
      <c r="ER25" s="17" t="e">
        <f>-53.07 + (304.89 * (EQ25)) + (90.79 *(Crescimento!#REF!-Crescimento!#REF!)) - (3.13 * (Crescimento!#REF!-Crescimento!#REF!)^2)</f>
        <v>#REF!</v>
      </c>
      <c r="ET25" s="16" t="e">
        <f>((EU24+(Crescimento!#REF!-(EU24*0.64))/0.8)/1000)-Crescimento!#REF!</f>
        <v>#REF!</v>
      </c>
      <c r="EU25" s="17" t="e">
        <f>-53.07 + (304.89 * (ET25)) + (90.79 *(Crescimento!#REF!-Crescimento!#REF!)) - (3.13 * (Crescimento!#REF!-Crescimento!#REF!)^2)</f>
        <v>#REF!</v>
      </c>
      <c r="EW25" s="16" t="e">
        <f>((EX24+('Vacas e Bezerros'!#REF!-(EX24*0.64))/0.8)/1000)-'Vacas e Bezerros'!#REF!</f>
        <v>#REF!</v>
      </c>
      <c r="EX25" s="17" t="e">
        <f>-53.07 + (304.89 * (EW25)) + (90.79 *('Vacas e Bezerros'!#REF!-'Vacas e Bezerros'!#REF!)) - (3.13 * ('Vacas e Bezerros'!#REF!-'Vacas e Bezerros'!#REF!)^2)</f>
        <v>#REF!</v>
      </c>
      <c r="EZ25" s="16" t="e">
        <f>((FA24+('Vacas e Bezerros'!#REF!-(FA24*0.64))/0.8)/1000)-'Vacas e Bezerros'!#REF!</f>
        <v>#REF!</v>
      </c>
      <c r="FA25" s="17" t="e">
        <f>-53.07 + (304.89 * (EZ25)) + (90.79 *('Vacas e Bezerros'!#REF!-'Vacas e Bezerros'!#REF!)) - (3.13 * ('Vacas e Bezerros'!#REF!-'Vacas e Bezerros'!#REF!)^2)</f>
        <v>#REF!</v>
      </c>
      <c r="FC25" s="16" t="e">
        <f>((FD24+('Vacas e Bezerros'!#REF!-(FD24*0.64))/0.8)/1000)-'Vacas e Bezerros'!#REF!</f>
        <v>#REF!</v>
      </c>
      <c r="FD25" s="17" t="e">
        <f>-53.07 + (304.89 * (FC25)) + (90.79 *('Vacas e Bezerros'!#REF!-'Vacas e Bezerros'!#REF!)) - (3.13 * ('Vacas e Bezerros'!#REF!-'Vacas e Bezerros'!#REF!)^2)</f>
        <v>#REF!</v>
      </c>
      <c r="FF25" s="16" t="e">
        <f>((FG24+('Vacas e Bezerros'!#REF!-(FG24*0.64))/0.8)/1000)-'Vacas e Bezerros'!#REF!</f>
        <v>#REF!</v>
      </c>
      <c r="FG25" s="17" t="e">
        <f>-53.07 + (304.89 * (FF25)) + (90.79 *('Vacas e Bezerros'!#REF!-'Vacas e Bezerros'!#REF!)) - (3.13 * ('Vacas e Bezerros'!#REF!-'Vacas e Bezerros'!#REF!)^2)</f>
        <v>#REF!</v>
      </c>
      <c r="FI25" s="16" t="e">
        <f>((FJ24+('Vacas e Bezerros'!#REF!-(FJ24*0.64))/0.8)/1000)-'Vacas e Bezerros'!#REF!</f>
        <v>#REF!</v>
      </c>
      <c r="FJ25" s="17" t="e">
        <f>-53.07 + (304.89 * (FI25)) + (90.79 *('Vacas e Bezerros'!#REF!-'Vacas e Bezerros'!#REF!)) - (3.13 * ('Vacas e Bezerros'!#REF!-'Vacas e Bezerros'!#REF!)^2)</f>
        <v>#REF!</v>
      </c>
      <c r="FL25" s="16" t="e">
        <f>((FM24+('Vacas e Bezerros'!#REF!-(FM24*0.64))/0.8)/1000)-'Vacas e Bezerros'!#REF!</f>
        <v>#REF!</v>
      </c>
      <c r="FM25" s="17" t="e">
        <f>-53.07 + (304.89 * (FL25)) + (90.79 *('Vacas e Bezerros'!#REF!-'Vacas e Bezerros'!#REF!)) - (3.13 * ('Vacas e Bezerros'!#REF!-'Vacas e Bezerros'!#REF!)^2)</f>
        <v>#REF!</v>
      </c>
      <c r="FO25" s="16" t="e">
        <f>((FP24+('Vacas e Bezerros'!#REF!-(FP24*0.64))/0.8)/1000)-'Vacas e Bezerros'!#REF!</f>
        <v>#REF!</v>
      </c>
      <c r="FP25" s="17" t="e">
        <f>-53.07 + (304.89 * (FO25)) + (90.79 *('Vacas e Bezerros'!#REF!-'Vacas e Bezerros'!#REF!)) - (3.13 * ('Vacas e Bezerros'!#REF!-'Vacas e Bezerros'!#REF!)^2)</f>
        <v>#REF!</v>
      </c>
      <c r="FR25" s="16" t="e">
        <f>((FS24+('Vacas e Bezerros'!#REF!-(FS24*0.64))/0.8)/1000)-'Vacas e Bezerros'!#REF!</f>
        <v>#REF!</v>
      </c>
      <c r="FS25" s="17" t="e">
        <f>-53.07 + (304.89 * (FR25)) + (90.79 *('Vacas e Bezerros'!#REF!-'Vacas e Bezerros'!#REF!)) - (3.13 * ('Vacas e Bezerros'!#REF!-'Vacas e Bezerros'!#REF!)^2)</f>
        <v>#REF!</v>
      </c>
      <c r="FU25" s="16" t="e">
        <f>((FV24+('Vacas e Bezerros'!#REF!-(FV24*0.64))/0.8)/1000)-'Vacas e Bezerros'!#REF!</f>
        <v>#REF!</v>
      </c>
      <c r="FV25" s="17" t="e">
        <f>-53.07 + (304.89 * (FU25)) + (90.79 *('Vacas e Bezerros'!#REF!-'Vacas e Bezerros'!#REF!)) - (3.13 * ('Vacas e Bezerros'!#REF!-'Vacas e Bezerros'!#REF!)^2)</f>
        <v>#REF!</v>
      </c>
      <c r="FX25" s="16" t="e">
        <f>((FY24+('Vacas e Bezerros'!#REF!-(FY24*0.64))/0.8)/1000)-'Vacas e Bezerros'!#REF!</f>
        <v>#REF!</v>
      </c>
      <c r="FY25" s="17" t="e">
        <f>-53.07 + (304.89 * (FX25)) + (90.79 *('Vacas e Bezerros'!#REF!-'Vacas e Bezerros'!#REF!)) - (3.13 * ('Vacas e Bezerros'!#REF!-'Vacas e Bezerros'!#REF!)^2)</f>
        <v>#REF!</v>
      </c>
      <c r="GA25" s="16" t="e">
        <f>((GB24+('Vacas e Bezerros'!#REF!-(GB24*0.64))/0.8)/1000)-'Vacas e Bezerros'!#REF!</f>
        <v>#REF!</v>
      </c>
      <c r="GB25" s="17" t="e">
        <f>-53.07 + (304.89 * (GA25)) + (90.79 *('Vacas e Bezerros'!#REF!-'Vacas e Bezerros'!#REF!)) - (3.13 * ('Vacas e Bezerros'!#REF!-'Vacas e Bezerros'!#REF!)^2)</f>
        <v>#REF!</v>
      </c>
      <c r="GD25" s="16" t="e">
        <f>((GE24+('Vacas e Bezerros'!#REF!-(GE24*0.64))/0.8)/1000)-'Vacas e Bezerros'!#REF!</f>
        <v>#REF!</v>
      </c>
      <c r="GE25" s="17" t="e">
        <f>-53.07 + (304.89 * (GD25)) + (90.79 *('Vacas e Bezerros'!#REF!-'Vacas e Bezerros'!#REF!)) - (3.13 * ('Vacas e Bezerros'!#REF!-'Vacas e Bezerros'!#REF!)^2)</f>
        <v>#REF!</v>
      </c>
      <c r="GG25" s="16" t="e">
        <f>((GH24+('Vacas e Bezerros'!#REF!-(GH24*0.64))/0.8)/1000)-'Vacas e Bezerros'!#REF!</f>
        <v>#REF!</v>
      </c>
      <c r="GH25" s="17" t="e">
        <f>-53.07 + (304.89 * (GG25)) + (90.79 *('Vacas e Bezerros'!#REF!-'Vacas e Bezerros'!#REF!)) - (3.13 * ('Vacas e Bezerros'!#REF!-'Vacas e Bezerros'!#REF!)^2)</f>
        <v>#REF!</v>
      </c>
      <c r="GJ25" s="16" t="e">
        <f>((GK24+('Vacas e Bezerros'!#REF!-(GK24*0.64))/0.8)/1000)-'Vacas e Bezerros'!#REF!</f>
        <v>#REF!</v>
      </c>
      <c r="GK25" s="17" t="e">
        <f>-53.07 + (304.89 * (GJ25)) + (90.79 *('Vacas e Bezerros'!#REF!-'Vacas e Bezerros'!#REF!)) - (3.13 * ('Vacas e Bezerros'!#REF!-'Vacas e Bezerros'!#REF!)^2)</f>
        <v>#REF!</v>
      </c>
      <c r="GM25" s="16" t="e">
        <f>((GN24+('Vacas e Bezerros'!#REF!-(GN24*0.64))/0.8)/1000)-'Vacas e Bezerros'!#REF!</f>
        <v>#REF!</v>
      </c>
      <c r="GN25" s="17" t="e">
        <f>-53.07 + (304.89 * (GM25)) + (90.79 *('Vacas e Bezerros'!#REF!-'Vacas e Bezerros'!#REF!)) - (3.13 * ('Vacas e Bezerros'!#REF!-'Vacas e Bezerros'!#REF!)^2)</f>
        <v>#REF!</v>
      </c>
    </row>
    <row r="26" spans="3:196" x14ac:dyDescent="0.25">
      <c r="C26" s="16">
        <f>(D25+('Vacas e Bezerros'!$AA$28-(D25*0.64))/0.8)/1000</f>
        <v>0.35719668016155687</v>
      </c>
      <c r="D26" s="17">
        <f>-53.07 + (304.89 * (C26-'Vacas e Bezerros'!$C$206)) + (90.79 *('Vacas e Bezerros'!$AA$22)) - (3.13 *('Vacas e Bezerros'!$AA$22)^2)</f>
        <v>165.01876457544017</v>
      </c>
      <c r="F26" s="16" t="e">
        <f>(G25+(Crescimento!#REF!-(G25*0.64))/0.8)/1000</f>
        <v>#REF!</v>
      </c>
      <c r="G26" s="17" t="e">
        <f>-53.07 + (304.89 * (F26)) + (90.79 *Crescimento!#REF!) - (3.13 * Crescimento!#REF!*Crescimento!#REF!)</f>
        <v>#REF!</v>
      </c>
      <c r="H26" s="1"/>
      <c r="I26" s="16" t="e">
        <f>(J25+(Crescimento!#REF!-(J25*0.64))/0.8)/1000</f>
        <v>#REF!</v>
      </c>
      <c r="J26" s="17" t="e">
        <f>-53.07 + (304.89 * (I26)) + (90.79 *Crescimento!#REF!) - (3.13 * Crescimento!#REF!*Crescimento!#REF!)</f>
        <v>#REF!</v>
      </c>
      <c r="L26" s="16" t="e">
        <f>(M25+(Crescimento!#REF!-(M25*0.64))/0.8)/1000</f>
        <v>#REF!</v>
      </c>
      <c r="M26" s="17" t="e">
        <f>-53.07 + (304.89 * (L26)) + (90.79 *Crescimento!#REF!) - (3.13 * Crescimento!#REF!*Crescimento!#REF!)</f>
        <v>#REF!</v>
      </c>
      <c r="O26" s="16" t="e">
        <f>(P25+(Crescimento!#REF!-(P25*0.64))/0.8)/1000</f>
        <v>#REF!</v>
      </c>
      <c r="P26" s="17" t="e">
        <f>-53.07 + (304.89 * (O26)) + (90.79 *Crescimento!#REF!) - (3.13 * Crescimento!#REF!*Crescimento!#REF!)</f>
        <v>#REF!</v>
      </c>
      <c r="R26" s="16" t="e">
        <f>(S25+(Crescimento!#REF!-(S25*0.64))/0.8)/1000</f>
        <v>#REF!</v>
      </c>
      <c r="S26" s="17" t="e">
        <f>-53.07 + (304.89 * (R26)) + (90.79 *Crescimento!#REF!) - (3.13 * Crescimento!#REF!*Crescimento!#REF!)</f>
        <v>#REF!</v>
      </c>
      <c r="U26" s="16" t="e">
        <f>(V25+(Crescimento!#REF!-(V25*0.64))/0.8)/1000</f>
        <v>#REF!</v>
      </c>
      <c r="V26" s="17" t="e">
        <f>-53.07 + (304.89 * (U26)) + (90.79 *Crescimento!#REF!) - (3.13 * Crescimento!#REF!*Crescimento!#REF!)</f>
        <v>#REF!</v>
      </c>
      <c r="X26" s="16" t="e">
        <f>(Y25+(Crescimento!#REF!-(Y25*0.64))/0.8)/1000</f>
        <v>#REF!</v>
      </c>
      <c r="Y26" s="17" t="e">
        <f>-53.07 + (304.89 * (X26)) + (90.79 *Crescimento!#REF!) - (3.13 * Crescimento!#REF!*Crescimento!#REF!)</f>
        <v>#REF!</v>
      </c>
      <c r="Z26" s="6"/>
      <c r="AA26" s="16" t="e">
        <f>(AB25+(Crescimento!#REF!-(AB25*0.64))/0.8)/1000</f>
        <v>#REF!</v>
      </c>
      <c r="AB26" s="17" t="e">
        <f>-53.07 + (304.89 * (AA26)) + (90.79 *Crescimento!#REF!) - (3.13 * Crescimento!#REF!*Crescimento!#REF!)</f>
        <v>#REF!</v>
      </c>
      <c r="AC26" s="6"/>
      <c r="AD26" s="16" t="e">
        <f>(AE25+(Crescimento!#REF!-(AE25*0.64))/0.8)/1000</f>
        <v>#REF!</v>
      </c>
      <c r="AE26" s="17" t="e">
        <f>-53.07 + (304.89 * (AD26)) + (90.79 *Crescimento!#REF!) - (3.13 * Crescimento!#REF!*Crescimento!#REF!)</f>
        <v>#REF!</v>
      </c>
      <c r="AF26" s="17"/>
      <c r="AG26" s="16" t="e">
        <f>(AH25+(Crescimento!#REF!-(AH25*0.64))/0.8)/1000</f>
        <v>#REF!</v>
      </c>
      <c r="AH26" s="17" t="e">
        <f>-53.07 + (304.89 * (AG26)) + (90.79 *Crescimento!#REF!) - (3.13 * Crescimento!#REF!*Crescimento!#REF!)</f>
        <v>#REF!</v>
      </c>
      <c r="AJ26" s="16" t="e">
        <f>(AK25+(Crescimento!#REF!-(AK25*0.64))/0.8)/1000</f>
        <v>#REF!</v>
      </c>
      <c r="AK26" s="17" t="e">
        <f>-53.07 + (304.89 * (AJ26)) + (90.79 *Crescimento!#REF!) - (3.13 * Crescimento!#REF!*Crescimento!#REF!)</f>
        <v>#REF!</v>
      </c>
      <c r="AM26" s="16" t="e">
        <f>(AN25+(Crescimento!#REF!-(AN25*0.64))/0.8)/1000</f>
        <v>#REF!</v>
      </c>
      <c r="AN26" s="17" t="e">
        <f>-53.07 + (304.89 * (AM26)) + (90.79 *Crescimento!#REF!) - (3.13 * Crescimento!#REF!*Crescimento!#REF!)</f>
        <v>#REF!</v>
      </c>
      <c r="AP26" s="16" t="e">
        <f>(AQ25+(Crescimento!#REF!-(AQ25*0.64))/0.8)/1000</f>
        <v>#REF!</v>
      </c>
      <c r="AQ26" s="17" t="e">
        <f>-53.07 + (304.89 * (AP26)) + (90.79 *Crescimento!#REF!) - (3.13 * Crescimento!#REF!*Crescimento!#REF!)</f>
        <v>#REF!</v>
      </c>
      <c r="AS26" s="16" t="e">
        <f>(AT25+(Crescimento!#REF!-(AT25*0.64))/0.8)/1000</f>
        <v>#REF!</v>
      </c>
      <c r="AT26" s="17" t="e">
        <f>-53.07 + (304.89 * (AS26)) + (90.79 *Crescimento!#REF!) - (3.13 * Crescimento!#REF!*Crescimento!#REF!)</f>
        <v>#REF!</v>
      </c>
      <c r="AV26" s="16" t="e">
        <f>(AW25+(Crescimento!#REF!-(AW25*0.64))/0.8)/1000</f>
        <v>#REF!</v>
      </c>
      <c r="AW26" s="17" t="e">
        <f>-53.07 + (304.89 * (AV26)) + (90.79 *Crescimento!#REF!) - (3.13 * Crescimento!#REF!*Crescimento!#REF!)</f>
        <v>#REF!</v>
      </c>
      <c r="AY26" s="21" t="e">
        <f>((AZ25+(Crescimento!#REF!-(AZ25*0.64))/0.8)/1000)-Crescimento!#REF!</f>
        <v>#REF!</v>
      </c>
      <c r="AZ26" s="22" t="e">
        <f>-53.07 + (304.89 * (AY26)) + (90.79 *(Crescimento!#REF!-Crescimento!#REF!)) - (3.13 * (Crescimento!#REF!-Crescimento!#REF!)^2)</f>
        <v>#REF!</v>
      </c>
      <c r="BA26" s="23"/>
      <c r="BB26" s="21" t="e">
        <f>((BC25+(Crescimento!#REF!-(BC25*0.64))/0.8)/1000)-Crescimento!#REF!</f>
        <v>#REF!</v>
      </c>
      <c r="BC26" s="22" t="e">
        <f>-53.07 + (304.89 * (BB26)) + (90.79 *(Crescimento!#REF!-Crescimento!#REF!)) - (3.13 * (Crescimento!#REF!-Crescimento!#REF!)^2)</f>
        <v>#REF!</v>
      </c>
      <c r="BD26" s="23"/>
      <c r="BE26" s="21" t="e">
        <f>((BF25+(Crescimento!#REF!-(BF25*0.64))/0.8)/1000)-Crescimento!#REF!</f>
        <v>#REF!</v>
      </c>
      <c r="BF26" s="22" t="e">
        <f>-53.07 + (304.89 * (BE26)) + (90.79 *(Crescimento!#REF!-Crescimento!#REF!)) - (3.13 * (Crescimento!#REF!-Crescimento!#REF!)^2)</f>
        <v>#REF!</v>
      </c>
      <c r="BG26" s="23"/>
      <c r="BH26" s="21" t="e">
        <f>((BI25+(Crescimento!#REF!-(BI25*0.64))/0.8)/1000)-Crescimento!#REF!</f>
        <v>#REF!</v>
      </c>
      <c r="BI26" s="22" t="e">
        <f>-53.07 + (304.89 * (BH26)) + (90.79 *(Crescimento!#REF!-Crescimento!#REF!)) - (3.13 * (Crescimento!#REF!-Crescimento!#REF!)^2)</f>
        <v>#REF!</v>
      </c>
      <c r="BJ26" s="23"/>
      <c r="BK26" s="21" t="e">
        <f>((BL25+(Crescimento!#REF!-(BL25*0.64))/0.8)/1000)-Crescimento!#REF!</f>
        <v>#REF!</v>
      </c>
      <c r="BL26" s="22" t="e">
        <f>-53.07 + (304.89 * (BK26)) + (90.79 *(Crescimento!#REF!-Crescimento!#REF!)) - (3.13 * (Crescimento!#REF!-Crescimento!#REF!)^2)</f>
        <v>#REF!</v>
      </c>
      <c r="BM26" s="23"/>
      <c r="BN26" s="21" t="e">
        <f>((BO25+(Crescimento!#REF!-(BO25*0.64))/0.8)/1000)-Crescimento!#REF!</f>
        <v>#REF!</v>
      </c>
      <c r="BO26" s="22" t="e">
        <f>-53.07 + (304.89 * (BN26)) + (90.79 *(Crescimento!#REF!-Crescimento!#REF!)) - (3.13 * (Crescimento!#REF!-Crescimento!#REF!)^2)</f>
        <v>#REF!</v>
      </c>
      <c r="BP26" s="23"/>
      <c r="BQ26" s="21" t="e">
        <f>((BR25+(Crescimento!#REF!-(BR25*0.64))/0.8)/1000)-Crescimento!#REF!</f>
        <v>#REF!</v>
      </c>
      <c r="BR26" s="22" t="e">
        <f>-53.07 + (304.89 * (BQ26)) + (90.79 *(Crescimento!#REF!-Crescimento!#REF!)) - (3.13 * (Crescimento!#REF!-Crescimento!#REF!)^2)</f>
        <v>#REF!</v>
      </c>
      <c r="BS26" s="23"/>
      <c r="BT26" s="21" t="e">
        <f>((BU25+(Crescimento!#REF!-(BU25*0.64))/0.8)/1000)-Crescimento!#REF!</f>
        <v>#REF!</v>
      </c>
      <c r="BU26" s="22" t="e">
        <f>-53.07 + (304.89 * (BT26)) + (90.79 *(Crescimento!#REF!-Crescimento!#REF!)) - (3.13 * (Crescimento!#REF!-Crescimento!#REF!)^2)</f>
        <v>#REF!</v>
      </c>
      <c r="BV26" s="23"/>
      <c r="BW26" s="21" t="e">
        <f>((BX25+(Crescimento!#REF!-(BX25*0.64))/0.8)/1000)-Crescimento!#REF!</f>
        <v>#REF!</v>
      </c>
      <c r="BX26" s="22" t="e">
        <f>-53.07 + (304.89 * (BW26)) + (90.79 *(Crescimento!#REF!-Crescimento!#REF!)) - (3.13 * (Crescimento!#REF!-Crescimento!#REF!)^2)</f>
        <v>#REF!</v>
      </c>
      <c r="BY26" s="23"/>
      <c r="BZ26" s="21" t="e">
        <f>((CA25+(Crescimento!#REF!-(CA25*0.64))/0.8)/1000)-Crescimento!#REF!</f>
        <v>#REF!</v>
      </c>
      <c r="CA26" s="22" t="e">
        <f>-53.07 + (304.89 * (BZ26)) + (90.79 *(Crescimento!#REF!-Crescimento!#REF!)) - (3.13 * (Crescimento!#REF!-Crescimento!#REF!)^2)</f>
        <v>#REF!</v>
      </c>
      <c r="CB26" s="23"/>
      <c r="CC26" s="21" t="e">
        <f>((CD25+(Crescimento!#REF!-(CD25*0.64))/0.8)/1000)-Crescimento!#REF!</f>
        <v>#REF!</v>
      </c>
      <c r="CD26" s="22" t="e">
        <f>-53.07 + (304.89 * (CC26)) + (90.79 *(Crescimento!#REF!-Crescimento!#REF!)) - (3.13 * (Crescimento!#REF!-Crescimento!#REF!)^2)</f>
        <v>#REF!</v>
      </c>
      <c r="CE26" s="23"/>
      <c r="CF26" s="21" t="e">
        <f>((CG25+(Crescimento!#REF!-(CG25*0.64))/0.8)/1000)-Crescimento!#REF!</f>
        <v>#REF!</v>
      </c>
      <c r="CG26" s="22" t="e">
        <f>-53.07 + (304.89 * (CF26)) + (90.79 *(Crescimento!#REF!-Crescimento!#REF!)) - (3.13 * (Crescimento!#REF!-Crescimento!#REF!)^2)</f>
        <v>#REF!</v>
      </c>
      <c r="CH26" s="23"/>
      <c r="CI26" s="21" t="e">
        <f>((CJ25+(Crescimento!#REF!-(CJ25*0.64))/0.8)/1000)-Crescimento!#REF!</f>
        <v>#REF!</v>
      </c>
      <c r="CJ26" s="22" t="e">
        <f>-53.07 + (304.89 * (CI26)) + (90.79 *(Crescimento!#REF!-Crescimento!#REF!)) - (3.13 * (Crescimento!#REF!-Crescimento!#REF!)^2)</f>
        <v>#REF!</v>
      </c>
      <c r="CK26" s="23"/>
      <c r="CL26" s="21" t="e">
        <f>((CM25+(Crescimento!#REF!-(CM25*0.64))/0.8)/1000)-Crescimento!#REF!</f>
        <v>#REF!</v>
      </c>
      <c r="CM26" s="22" t="e">
        <f>-53.07 + (304.89 * (CL26)) + (90.79 *(Crescimento!#REF!-Crescimento!#REF!)) - (3.13 * (Crescimento!#REF!-Crescimento!#REF!)^2)</f>
        <v>#REF!</v>
      </c>
      <c r="CN26" s="23"/>
      <c r="CO26" s="21" t="e">
        <f>((CP25+(Crescimento!#REF!-(CP25*0.64))/0.8)/1000)-Crescimento!#REF!</f>
        <v>#REF!</v>
      </c>
      <c r="CP26" s="22" t="e">
        <f>-53.07 + (304.89 * (CO26)) + (90.79 *(Crescimento!#REF!-Crescimento!#REF!)) - (3.13 * (Crescimento!#REF!-Crescimento!#REF!)^2)</f>
        <v>#REF!</v>
      </c>
      <c r="CQ26" s="23"/>
      <c r="CR26" s="21" t="e">
        <f>((CS25+(Crescimento!#REF!-(CS25*0.64))/0.8)/1000)-Crescimento!#REF!</f>
        <v>#REF!</v>
      </c>
      <c r="CS26" s="22" t="e">
        <f>-53.07 + (304.89 * (CR26)) + (90.79 *(Crescimento!#REF!-Crescimento!#REF!)) - (3.13 * (Crescimento!#REF!-Crescimento!#REF!)^2)</f>
        <v>#REF!</v>
      </c>
      <c r="CX26" s="16" t="e">
        <f>((CY25+(Crescimento!#REF!-(CY25*0.64))/0.8)/1000)-Crescimento!#REF!</f>
        <v>#REF!</v>
      </c>
      <c r="CY26" s="17" t="e">
        <f>-53.07 + (304.89 * (CX26)) + (90.79 *(Crescimento!#REF!-Crescimento!#REF!)) - (3.13 * (Crescimento!#REF!-Crescimento!#REF!)^2)</f>
        <v>#REF!</v>
      </c>
      <c r="DA26" s="16" t="e">
        <f>((DB25+(Crescimento!#REF!-(DB25*0.64))/0.8)/1000)-Crescimento!#REF!</f>
        <v>#REF!</v>
      </c>
      <c r="DB26" s="17" t="e">
        <f>-53.07 + (304.89 * (DA26)) + (90.79 *(Crescimento!#REF!-Crescimento!#REF!)) - (3.13 * (Crescimento!#REF!-Crescimento!#REF!)^2)</f>
        <v>#REF!</v>
      </c>
      <c r="DD26" s="16" t="e">
        <f>(DE25+(Crescimento!#REF!-(DE25*0.64))/0.8)/1000</f>
        <v>#REF!</v>
      </c>
      <c r="DE26" s="17" t="e">
        <f>-53.07 + (304.89 * (DD26)) + (90.79 *Crescimento!#REF!) - (3.13 * Crescimento!#REF!*Crescimento!#REF!)</f>
        <v>#REF!</v>
      </c>
      <c r="DG26" s="16" t="e">
        <f>((DH25+(Crescimento!#REF!-(DH25*0.64))/0.8)/1000)-Crescimento!#REF!</f>
        <v>#REF!</v>
      </c>
      <c r="DH26" s="17" t="e">
        <f>-53.07 + (304.89 * (DG26)) + (90.79 *(Crescimento!#REF!-Crescimento!#REF!)) - (3.13 * (Crescimento!#REF!-Crescimento!#REF!)^2)</f>
        <v>#REF!</v>
      </c>
      <c r="DJ26" s="16" t="e">
        <f>((DK25+(Crescimento!#REF!-(DK25*0.64))/0.8)/1000)-Crescimento!#REF!</f>
        <v>#REF!</v>
      </c>
      <c r="DK26" s="17" t="e">
        <f>-53.07 + (304.89 * (DJ26)) + (90.79 *(Crescimento!#REF!-Crescimento!#REF!)) - (3.13 * (Crescimento!#REF!-Crescimento!#REF!)^2)</f>
        <v>#REF!</v>
      </c>
      <c r="DM26" s="16" t="e">
        <f>((DN25+(Crescimento!#REF!-(DN25*0.64))/0.8)/1000)-Crescimento!#REF!</f>
        <v>#REF!</v>
      </c>
      <c r="DN26" s="17" t="e">
        <f>-53.07 + (304.89 * (DM26)) + (90.79 *(Crescimento!#REF!-Crescimento!#REF!)) - (3.13 * (Crescimento!#REF!-Crescimento!#REF!)^2)</f>
        <v>#REF!</v>
      </c>
      <c r="DP26" s="16" t="e">
        <f>(DQ25+(Crescimento!#REF!-(DQ25*0.64))/0.8)/1000</f>
        <v>#REF!</v>
      </c>
      <c r="DQ26" s="17" t="e">
        <f>-53.07 + (304.89 * (DP26)) + (90.79 *(Crescimento!#REF!-Crescimento!#REF!)) - (3.13 * (Crescimento!#REF!-Crescimento!#REF!)^2)</f>
        <v>#REF!</v>
      </c>
      <c r="DS26" s="16" t="e">
        <f>((DT25+(Crescimento!#REF!-(DT25*0.64))/0.8)/1000)-Crescimento!#REF!</f>
        <v>#REF!</v>
      </c>
      <c r="DT26" s="17" t="e">
        <f>-53.07 + (304.89 * (DS26)) + (90.79 *(Crescimento!#REF!-Crescimento!#REF!)) - (3.13 * (Crescimento!#REF!-Crescimento!#REF!)^2)</f>
        <v>#REF!</v>
      </c>
      <c r="DV26" s="16" t="e">
        <f>((DW25+(Crescimento!#REF!-(DW25*0.64))/0.8)/1000)-Crescimento!#REF!</f>
        <v>#REF!</v>
      </c>
      <c r="DW26" s="17" t="e">
        <f>-53.07 + (304.89 * (DV26)) + (90.79 *(Crescimento!#REF!-Crescimento!#REF!)) - (3.13 * (Crescimento!#REF!-Crescimento!#REF!)^2)</f>
        <v>#REF!</v>
      </c>
      <c r="DY26" s="16" t="e">
        <f>((DZ25+(Crescimento!#REF!-(DZ25*0.64))/0.8)/1000)-Crescimento!#REF!</f>
        <v>#REF!</v>
      </c>
      <c r="DZ26" s="17" t="e">
        <f>-53.07 + (304.89 * (DY26)) + (90.79 *(Crescimento!#REF!-Crescimento!#REF!)) - (3.13 * (Crescimento!#REF!-Crescimento!#REF!)^2)</f>
        <v>#REF!</v>
      </c>
      <c r="EB26" s="16" t="e">
        <f>((EC25+(Crescimento!#REF!-(EC25*0.64))/0.8)/1000)-Crescimento!#REF!</f>
        <v>#REF!</v>
      </c>
      <c r="EC26" s="17" t="e">
        <f>-53.07 + (304.89 * (EB26)) + (90.79 *(Crescimento!#REF!-Crescimento!#REF!)) - (3.13 * (Crescimento!#REF!-Crescimento!#REF!)^2)</f>
        <v>#REF!</v>
      </c>
      <c r="EE26" s="16" t="e">
        <f>((EF25+(Crescimento!#REF!-(EF25*0.64))/0.8)/1000)-Crescimento!#REF!</f>
        <v>#REF!</v>
      </c>
      <c r="EF26" s="17" t="e">
        <f>-53.07 + (304.89 * (EE26)) + (90.79 *(Crescimento!#REF!-Crescimento!#REF!)) - (3.13 * (Crescimento!#REF!-Crescimento!#REF!)^2)</f>
        <v>#REF!</v>
      </c>
      <c r="EH26" s="16" t="e">
        <f>((EI25+(Crescimento!#REF!-(EI25*0.64))/0.8)/1000)-Crescimento!#REF!</f>
        <v>#REF!</v>
      </c>
      <c r="EI26" s="17" t="e">
        <f>-53.07 + (304.89 * (EH26)) + (90.79 *(Crescimento!#REF!-Crescimento!#REF!)) - (3.13 * (Crescimento!#REF!-Crescimento!#REF!)^2)</f>
        <v>#REF!</v>
      </c>
      <c r="EK26" s="16" t="e">
        <f>((EL25+(Crescimento!#REF!-(EL25*0.64))/0.8)/1000)-Crescimento!#REF!</f>
        <v>#REF!</v>
      </c>
      <c r="EL26" s="17" t="e">
        <f>-53.07 + (304.89 * (EK26)) + (90.79 *(Crescimento!#REF!-Crescimento!#REF!)) - (3.13 * (Crescimento!#REF!-Crescimento!#REF!)^2)</f>
        <v>#REF!</v>
      </c>
      <c r="EN26" s="16" t="e">
        <f>((EO25+(Crescimento!#REF!-(EO25*0.64))/0.8)/1000)-Crescimento!#REF!</f>
        <v>#REF!</v>
      </c>
      <c r="EO26" s="17" t="e">
        <f>-53.07 + (304.89 * (EN26)) + (90.79 *(Crescimento!#REF!-Crescimento!#REF!)) - (3.13 * (Crescimento!#REF!-Crescimento!#REF!)^2)</f>
        <v>#REF!</v>
      </c>
      <c r="EQ26" s="16" t="e">
        <f>((ER25+(Crescimento!#REF!-(ER25*0.64))/0.8)/1000)-Crescimento!#REF!</f>
        <v>#REF!</v>
      </c>
      <c r="ER26" s="17" t="e">
        <f>-53.07 + (304.89 * (EQ26)) + (90.79 *(Crescimento!#REF!-Crescimento!#REF!)) - (3.13 * (Crescimento!#REF!-Crescimento!#REF!)^2)</f>
        <v>#REF!</v>
      </c>
      <c r="ET26" s="16" t="e">
        <f>((EU25+(Crescimento!#REF!-(EU25*0.64))/0.8)/1000)-Crescimento!#REF!</f>
        <v>#REF!</v>
      </c>
      <c r="EU26" s="17" t="e">
        <f>-53.07 + (304.89 * (ET26)) + (90.79 *(Crescimento!#REF!-Crescimento!#REF!)) - (3.13 * (Crescimento!#REF!-Crescimento!#REF!)^2)</f>
        <v>#REF!</v>
      </c>
      <c r="EW26" s="16" t="e">
        <f>((EX25+('Vacas e Bezerros'!#REF!-(EX25*0.64))/0.8)/1000)-'Vacas e Bezerros'!#REF!</f>
        <v>#REF!</v>
      </c>
      <c r="EX26" s="17" t="e">
        <f>-53.07 + (304.89 * (EW26)) + (90.79 *('Vacas e Bezerros'!#REF!-'Vacas e Bezerros'!#REF!)) - (3.13 * ('Vacas e Bezerros'!#REF!-'Vacas e Bezerros'!#REF!)^2)</f>
        <v>#REF!</v>
      </c>
      <c r="EZ26" s="16" t="e">
        <f>((FA25+('Vacas e Bezerros'!#REF!-(FA25*0.64))/0.8)/1000)-'Vacas e Bezerros'!#REF!</f>
        <v>#REF!</v>
      </c>
      <c r="FA26" s="17" t="e">
        <f>-53.07 + (304.89 * (EZ26)) + (90.79 *('Vacas e Bezerros'!#REF!-'Vacas e Bezerros'!#REF!)) - (3.13 * ('Vacas e Bezerros'!#REF!-'Vacas e Bezerros'!#REF!)^2)</f>
        <v>#REF!</v>
      </c>
      <c r="FC26" s="16" t="e">
        <f>((FD25+('Vacas e Bezerros'!#REF!-(FD25*0.64))/0.8)/1000)-'Vacas e Bezerros'!#REF!</f>
        <v>#REF!</v>
      </c>
      <c r="FD26" s="17" t="e">
        <f>-53.07 + (304.89 * (FC26)) + (90.79 *('Vacas e Bezerros'!#REF!-'Vacas e Bezerros'!#REF!)) - (3.13 * ('Vacas e Bezerros'!#REF!-'Vacas e Bezerros'!#REF!)^2)</f>
        <v>#REF!</v>
      </c>
      <c r="FF26" s="16" t="e">
        <f>((FG25+('Vacas e Bezerros'!#REF!-(FG25*0.64))/0.8)/1000)-'Vacas e Bezerros'!#REF!</f>
        <v>#REF!</v>
      </c>
      <c r="FG26" s="17" t="e">
        <f>-53.07 + (304.89 * (FF26)) + (90.79 *('Vacas e Bezerros'!#REF!-'Vacas e Bezerros'!#REF!)) - (3.13 * ('Vacas e Bezerros'!#REF!-'Vacas e Bezerros'!#REF!)^2)</f>
        <v>#REF!</v>
      </c>
      <c r="FI26" s="16" t="e">
        <f>((FJ25+('Vacas e Bezerros'!#REF!-(FJ25*0.64))/0.8)/1000)-'Vacas e Bezerros'!#REF!</f>
        <v>#REF!</v>
      </c>
      <c r="FJ26" s="17" t="e">
        <f>-53.07 + (304.89 * (FI26)) + (90.79 *('Vacas e Bezerros'!#REF!-'Vacas e Bezerros'!#REF!)) - (3.13 * ('Vacas e Bezerros'!#REF!-'Vacas e Bezerros'!#REF!)^2)</f>
        <v>#REF!</v>
      </c>
      <c r="FL26" s="16" t="e">
        <f>((FM25+('Vacas e Bezerros'!#REF!-(FM25*0.64))/0.8)/1000)-'Vacas e Bezerros'!#REF!</f>
        <v>#REF!</v>
      </c>
      <c r="FM26" s="17" t="e">
        <f>-53.07 + (304.89 * (FL26)) + (90.79 *('Vacas e Bezerros'!#REF!-'Vacas e Bezerros'!#REF!)) - (3.13 * ('Vacas e Bezerros'!#REF!-'Vacas e Bezerros'!#REF!)^2)</f>
        <v>#REF!</v>
      </c>
      <c r="FO26" s="16" t="e">
        <f>((FP25+('Vacas e Bezerros'!#REF!-(FP25*0.64))/0.8)/1000)-'Vacas e Bezerros'!#REF!</f>
        <v>#REF!</v>
      </c>
      <c r="FP26" s="17" t="e">
        <f>-53.07 + (304.89 * (FO26)) + (90.79 *('Vacas e Bezerros'!#REF!-'Vacas e Bezerros'!#REF!)) - (3.13 * ('Vacas e Bezerros'!#REF!-'Vacas e Bezerros'!#REF!)^2)</f>
        <v>#REF!</v>
      </c>
      <c r="FR26" s="16" t="e">
        <f>((FS25+('Vacas e Bezerros'!#REF!-(FS25*0.64))/0.8)/1000)-'Vacas e Bezerros'!#REF!</f>
        <v>#REF!</v>
      </c>
      <c r="FS26" s="17" t="e">
        <f>-53.07 + (304.89 * (FR26)) + (90.79 *('Vacas e Bezerros'!#REF!-'Vacas e Bezerros'!#REF!)) - (3.13 * ('Vacas e Bezerros'!#REF!-'Vacas e Bezerros'!#REF!)^2)</f>
        <v>#REF!</v>
      </c>
      <c r="FU26" s="16" t="e">
        <f>((FV25+('Vacas e Bezerros'!#REF!-(FV25*0.64))/0.8)/1000)-'Vacas e Bezerros'!#REF!</f>
        <v>#REF!</v>
      </c>
      <c r="FV26" s="17" t="e">
        <f>-53.07 + (304.89 * (FU26)) + (90.79 *('Vacas e Bezerros'!#REF!-'Vacas e Bezerros'!#REF!)) - (3.13 * ('Vacas e Bezerros'!#REF!-'Vacas e Bezerros'!#REF!)^2)</f>
        <v>#REF!</v>
      </c>
      <c r="FX26" s="16" t="e">
        <f>((FY25+('Vacas e Bezerros'!#REF!-(FY25*0.64))/0.8)/1000)-'Vacas e Bezerros'!#REF!</f>
        <v>#REF!</v>
      </c>
      <c r="FY26" s="17" t="e">
        <f>-53.07 + (304.89 * (FX26)) + (90.79 *('Vacas e Bezerros'!#REF!-'Vacas e Bezerros'!#REF!)) - (3.13 * ('Vacas e Bezerros'!#REF!-'Vacas e Bezerros'!#REF!)^2)</f>
        <v>#REF!</v>
      </c>
      <c r="GA26" s="16" t="e">
        <f>((GB25+('Vacas e Bezerros'!#REF!-(GB25*0.64))/0.8)/1000)-'Vacas e Bezerros'!#REF!</f>
        <v>#REF!</v>
      </c>
      <c r="GB26" s="17" t="e">
        <f>-53.07 + (304.89 * (GA26)) + (90.79 *('Vacas e Bezerros'!#REF!-'Vacas e Bezerros'!#REF!)) - (3.13 * ('Vacas e Bezerros'!#REF!-'Vacas e Bezerros'!#REF!)^2)</f>
        <v>#REF!</v>
      </c>
      <c r="GD26" s="16" t="e">
        <f>((GE25+('Vacas e Bezerros'!#REF!-(GE25*0.64))/0.8)/1000)-'Vacas e Bezerros'!#REF!</f>
        <v>#REF!</v>
      </c>
      <c r="GE26" s="17" t="e">
        <f>-53.07 + (304.89 * (GD26)) + (90.79 *('Vacas e Bezerros'!#REF!-'Vacas e Bezerros'!#REF!)) - (3.13 * ('Vacas e Bezerros'!#REF!-'Vacas e Bezerros'!#REF!)^2)</f>
        <v>#REF!</v>
      </c>
      <c r="GG26" s="16" t="e">
        <f>((GH25+('Vacas e Bezerros'!#REF!-(GH25*0.64))/0.8)/1000)-'Vacas e Bezerros'!#REF!</f>
        <v>#REF!</v>
      </c>
      <c r="GH26" s="17" t="e">
        <f>-53.07 + (304.89 * (GG26)) + (90.79 *('Vacas e Bezerros'!#REF!-'Vacas e Bezerros'!#REF!)) - (3.13 * ('Vacas e Bezerros'!#REF!-'Vacas e Bezerros'!#REF!)^2)</f>
        <v>#REF!</v>
      </c>
      <c r="GJ26" s="16" t="e">
        <f>((GK25+('Vacas e Bezerros'!#REF!-(GK25*0.64))/0.8)/1000)-'Vacas e Bezerros'!#REF!</f>
        <v>#REF!</v>
      </c>
      <c r="GK26" s="17" t="e">
        <f>-53.07 + (304.89 * (GJ26)) + (90.79 *('Vacas e Bezerros'!#REF!-'Vacas e Bezerros'!#REF!)) - (3.13 * ('Vacas e Bezerros'!#REF!-'Vacas e Bezerros'!#REF!)^2)</f>
        <v>#REF!</v>
      </c>
      <c r="GM26" s="16" t="e">
        <f>((GN25+('Vacas e Bezerros'!#REF!-(GN25*0.64))/0.8)/1000)-'Vacas e Bezerros'!#REF!</f>
        <v>#REF!</v>
      </c>
      <c r="GN26" s="17" t="e">
        <f>-53.07 + (304.89 * (GM26)) + (90.79 *('Vacas e Bezerros'!#REF!-'Vacas e Bezerros'!#REF!)) - (3.13 * ('Vacas e Bezerros'!#REF!-'Vacas e Bezerros'!#REF!)^2)</f>
        <v>#REF!</v>
      </c>
    </row>
    <row r="27" spans="3:196" x14ac:dyDescent="0.25">
      <c r="C27" s="16">
        <f>(D26+('Vacas e Bezerros'!$AA$28-(D26*0.64))/0.8)/1000</f>
        <v>0.35719668016155687</v>
      </c>
      <c r="D27" s="17">
        <f>-53.07 + (304.89 * (C27-'Vacas e Bezerros'!$C$206)) + (90.79 *('Vacas e Bezerros'!$AA$22)) - (3.13 *('Vacas e Bezerros'!$AA$22)^2)</f>
        <v>165.01876457544017</v>
      </c>
      <c r="F27" s="16" t="e">
        <f>(G26+(Crescimento!#REF!-(G26*0.64))/0.8)/1000</f>
        <v>#REF!</v>
      </c>
      <c r="G27" s="17" t="e">
        <f>-53.07 + (304.89 * (F27)) + (90.79 *Crescimento!#REF!) - (3.13 * Crescimento!#REF!*Crescimento!#REF!)</f>
        <v>#REF!</v>
      </c>
      <c r="H27" s="1"/>
      <c r="I27" s="16" t="e">
        <f>(J26+(Crescimento!#REF!-(J26*0.64))/0.8)/1000</f>
        <v>#REF!</v>
      </c>
      <c r="J27" s="17" t="e">
        <f>-53.07 + (304.89 * (I27)) + (90.79 *Crescimento!#REF!) - (3.13 * Crescimento!#REF!*Crescimento!#REF!)</f>
        <v>#REF!</v>
      </c>
      <c r="L27" s="16" t="e">
        <f>(M26+(Crescimento!#REF!-(M26*0.64))/0.8)/1000</f>
        <v>#REF!</v>
      </c>
      <c r="M27" s="17" t="e">
        <f>-53.07 + (304.89 * (L27)) + (90.79 *Crescimento!#REF!) - (3.13 * Crescimento!#REF!*Crescimento!#REF!)</f>
        <v>#REF!</v>
      </c>
      <c r="O27" s="16" t="e">
        <f>(P26+(Crescimento!#REF!-(P26*0.64))/0.8)/1000</f>
        <v>#REF!</v>
      </c>
      <c r="P27" s="17" t="e">
        <f>-53.07 + (304.89 * (O27)) + (90.79 *Crescimento!#REF!) - (3.13 * Crescimento!#REF!*Crescimento!#REF!)</f>
        <v>#REF!</v>
      </c>
      <c r="R27" s="16" t="e">
        <f>(S26+(Crescimento!#REF!-(S26*0.64))/0.8)/1000</f>
        <v>#REF!</v>
      </c>
      <c r="S27" s="17" t="e">
        <f>-53.07 + (304.89 * (R27)) + (90.79 *Crescimento!#REF!) - (3.13 * Crescimento!#REF!*Crescimento!#REF!)</f>
        <v>#REF!</v>
      </c>
      <c r="U27" s="16" t="e">
        <f>(V26+(Crescimento!#REF!-(V26*0.64))/0.8)/1000</f>
        <v>#REF!</v>
      </c>
      <c r="V27" s="17" t="e">
        <f>-53.07 + (304.89 * (U27)) + (90.79 *Crescimento!#REF!) - (3.13 * Crescimento!#REF!*Crescimento!#REF!)</f>
        <v>#REF!</v>
      </c>
      <c r="X27" s="16" t="e">
        <f>(Y26+(Crescimento!#REF!-(Y26*0.64))/0.8)/1000</f>
        <v>#REF!</v>
      </c>
      <c r="Y27" s="17" t="e">
        <f>-53.07 + (304.89 * (X27)) + (90.79 *Crescimento!#REF!) - (3.13 * Crescimento!#REF!*Crescimento!#REF!)</f>
        <v>#REF!</v>
      </c>
      <c r="Z27" s="6"/>
      <c r="AA27" s="16" t="e">
        <f>(AB26+(Crescimento!#REF!-(AB26*0.64))/0.8)/1000</f>
        <v>#REF!</v>
      </c>
      <c r="AB27" s="17" t="e">
        <f>-53.07 + (304.89 * (AA27)) + (90.79 *Crescimento!#REF!) - (3.13 * Crescimento!#REF!*Crescimento!#REF!)</f>
        <v>#REF!</v>
      </c>
      <c r="AC27" s="6"/>
      <c r="AD27" s="16" t="e">
        <f>(AE26+(Crescimento!#REF!-(AE26*0.64))/0.8)/1000</f>
        <v>#REF!</v>
      </c>
      <c r="AE27" s="17" t="e">
        <f>-53.07 + (304.89 * (AD27)) + (90.79 *Crescimento!#REF!) - (3.13 * Crescimento!#REF!*Crescimento!#REF!)</f>
        <v>#REF!</v>
      </c>
      <c r="AF27" s="17"/>
      <c r="AG27" s="16" t="e">
        <f>(AH26+(Crescimento!#REF!-(AH26*0.64))/0.8)/1000</f>
        <v>#REF!</v>
      </c>
      <c r="AH27" s="17" t="e">
        <f>-53.07 + (304.89 * (AG27)) + (90.79 *Crescimento!#REF!) - (3.13 * Crescimento!#REF!*Crescimento!#REF!)</f>
        <v>#REF!</v>
      </c>
      <c r="AJ27" s="16" t="e">
        <f>(AK26+(Crescimento!#REF!-(AK26*0.64))/0.8)/1000</f>
        <v>#REF!</v>
      </c>
      <c r="AK27" s="17" t="e">
        <f>-53.07 + (304.89 * (AJ27)) + (90.79 *Crescimento!#REF!) - (3.13 * Crescimento!#REF!*Crescimento!#REF!)</f>
        <v>#REF!</v>
      </c>
      <c r="AM27" s="16" t="e">
        <f>(AN26+(Crescimento!#REF!-(AN26*0.64))/0.8)/1000</f>
        <v>#REF!</v>
      </c>
      <c r="AN27" s="17" t="e">
        <f>-53.07 + (304.89 * (AM27)) + (90.79 *Crescimento!#REF!) - (3.13 * Crescimento!#REF!*Crescimento!#REF!)</f>
        <v>#REF!</v>
      </c>
      <c r="AP27" s="16" t="e">
        <f>(AQ26+(Crescimento!#REF!-(AQ26*0.64))/0.8)/1000</f>
        <v>#REF!</v>
      </c>
      <c r="AQ27" s="17" t="e">
        <f>-53.07 + (304.89 * (AP27)) + (90.79 *Crescimento!#REF!) - (3.13 * Crescimento!#REF!*Crescimento!#REF!)</f>
        <v>#REF!</v>
      </c>
      <c r="AS27" s="16" t="e">
        <f>(AT26+(Crescimento!#REF!-(AT26*0.64))/0.8)/1000</f>
        <v>#REF!</v>
      </c>
      <c r="AT27" s="17" t="e">
        <f>-53.07 + (304.89 * (AS27)) + (90.79 *Crescimento!#REF!) - (3.13 * Crescimento!#REF!*Crescimento!#REF!)</f>
        <v>#REF!</v>
      </c>
      <c r="AV27" s="16" t="e">
        <f>(AW26+(Crescimento!#REF!-(AW26*0.64))/0.8)/1000</f>
        <v>#REF!</v>
      </c>
      <c r="AW27" s="17" t="e">
        <f>-53.07 + (304.89 * (AV27)) + (90.79 *Crescimento!#REF!) - (3.13 * Crescimento!#REF!*Crescimento!#REF!)</f>
        <v>#REF!</v>
      </c>
      <c r="AY27" s="21" t="e">
        <f>((AZ26+(Crescimento!#REF!-(AZ26*0.64))/0.8)/1000)-Crescimento!#REF!</f>
        <v>#REF!</v>
      </c>
      <c r="AZ27" s="22" t="e">
        <f>-53.07 + (304.89 * (AY27)) + (90.79 *(Crescimento!#REF!-Crescimento!#REF!)) - (3.13 * (Crescimento!#REF!-Crescimento!#REF!)^2)</f>
        <v>#REF!</v>
      </c>
      <c r="BA27" s="23"/>
      <c r="BB27" s="21" t="e">
        <f>((BC26+(Crescimento!#REF!-(BC26*0.64))/0.8)/1000)-Crescimento!#REF!</f>
        <v>#REF!</v>
      </c>
      <c r="BC27" s="22" t="e">
        <f>-53.07 + (304.89 * (BB27)) + (90.79 *(Crescimento!#REF!-Crescimento!#REF!)) - (3.13 * (Crescimento!#REF!-Crescimento!#REF!)^2)</f>
        <v>#REF!</v>
      </c>
      <c r="BD27" s="23"/>
      <c r="BE27" s="21" t="e">
        <f>((BF26+(Crescimento!#REF!-(BF26*0.64))/0.8)/1000)-Crescimento!#REF!</f>
        <v>#REF!</v>
      </c>
      <c r="BF27" s="22" t="e">
        <f>-53.07 + (304.89 * (BE27)) + (90.79 *(Crescimento!#REF!-Crescimento!#REF!)) - (3.13 * (Crescimento!#REF!-Crescimento!#REF!)^2)</f>
        <v>#REF!</v>
      </c>
      <c r="BG27" s="23"/>
      <c r="BH27" s="21" t="e">
        <f>((BI26+(Crescimento!#REF!-(BI26*0.64))/0.8)/1000)-Crescimento!#REF!</f>
        <v>#REF!</v>
      </c>
      <c r="BI27" s="22" t="e">
        <f>-53.07 + (304.89 * (BH27)) + (90.79 *(Crescimento!#REF!-Crescimento!#REF!)) - (3.13 * (Crescimento!#REF!-Crescimento!#REF!)^2)</f>
        <v>#REF!</v>
      </c>
      <c r="BJ27" s="23"/>
      <c r="BK27" s="21" t="e">
        <f>((BL26+(Crescimento!#REF!-(BL26*0.64))/0.8)/1000)-Crescimento!#REF!</f>
        <v>#REF!</v>
      </c>
      <c r="BL27" s="22" t="e">
        <f>-53.07 + (304.89 * (BK27)) + (90.79 *(Crescimento!#REF!-Crescimento!#REF!)) - (3.13 * (Crescimento!#REF!-Crescimento!#REF!)^2)</f>
        <v>#REF!</v>
      </c>
      <c r="BM27" s="23"/>
      <c r="BN27" s="21" t="e">
        <f>((BO26+(Crescimento!#REF!-(BO26*0.64))/0.8)/1000)-Crescimento!#REF!</f>
        <v>#REF!</v>
      </c>
      <c r="BO27" s="22" t="e">
        <f>-53.07 + (304.89 * (BN27)) + (90.79 *(Crescimento!#REF!-Crescimento!#REF!)) - (3.13 * (Crescimento!#REF!-Crescimento!#REF!)^2)</f>
        <v>#REF!</v>
      </c>
      <c r="BP27" s="23"/>
      <c r="BQ27" s="21" t="e">
        <f>((BR26+(Crescimento!#REF!-(BR26*0.64))/0.8)/1000)-Crescimento!#REF!</f>
        <v>#REF!</v>
      </c>
      <c r="BR27" s="22" t="e">
        <f>-53.07 + (304.89 * (BQ27)) + (90.79 *(Crescimento!#REF!-Crescimento!#REF!)) - (3.13 * (Crescimento!#REF!-Crescimento!#REF!)^2)</f>
        <v>#REF!</v>
      </c>
      <c r="BS27" s="23"/>
      <c r="BT27" s="21" t="e">
        <f>((BU26+(Crescimento!#REF!-(BU26*0.64))/0.8)/1000)-Crescimento!#REF!</f>
        <v>#REF!</v>
      </c>
      <c r="BU27" s="22" t="e">
        <f>-53.07 + (304.89 * (BT27)) + (90.79 *(Crescimento!#REF!-Crescimento!#REF!)) - (3.13 * (Crescimento!#REF!-Crescimento!#REF!)^2)</f>
        <v>#REF!</v>
      </c>
      <c r="BV27" s="23"/>
      <c r="BW27" s="21" t="e">
        <f>((BX26+(Crescimento!#REF!-(BX26*0.64))/0.8)/1000)-Crescimento!#REF!</f>
        <v>#REF!</v>
      </c>
      <c r="BX27" s="22" t="e">
        <f>-53.07 + (304.89 * (BW27)) + (90.79 *(Crescimento!#REF!-Crescimento!#REF!)) - (3.13 * (Crescimento!#REF!-Crescimento!#REF!)^2)</f>
        <v>#REF!</v>
      </c>
      <c r="BY27" s="23"/>
      <c r="BZ27" s="21" t="e">
        <f>((CA26+(Crescimento!#REF!-(CA26*0.64))/0.8)/1000)-Crescimento!#REF!</f>
        <v>#REF!</v>
      </c>
      <c r="CA27" s="22" t="e">
        <f>-53.07 + (304.89 * (BZ27)) + (90.79 *(Crescimento!#REF!-Crescimento!#REF!)) - (3.13 * (Crescimento!#REF!-Crescimento!#REF!)^2)</f>
        <v>#REF!</v>
      </c>
      <c r="CB27" s="23"/>
      <c r="CC27" s="21" t="e">
        <f>((CD26+(Crescimento!#REF!-(CD26*0.64))/0.8)/1000)-Crescimento!#REF!</f>
        <v>#REF!</v>
      </c>
      <c r="CD27" s="22" t="e">
        <f>-53.07 + (304.89 * (CC27)) + (90.79 *(Crescimento!#REF!-Crescimento!#REF!)) - (3.13 * (Crescimento!#REF!-Crescimento!#REF!)^2)</f>
        <v>#REF!</v>
      </c>
      <c r="CE27" s="23"/>
      <c r="CF27" s="21" t="e">
        <f>((CG26+(Crescimento!#REF!-(CG26*0.64))/0.8)/1000)-Crescimento!#REF!</f>
        <v>#REF!</v>
      </c>
      <c r="CG27" s="22" t="e">
        <f>-53.07 + (304.89 * (CF27)) + (90.79 *(Crescimento!#REF!-Crescimento!#REF!)) - (3.13 * (Crescimento!#REF!-Crescimento!#REF!)^2)</f>
        <v>#REF!</v>
      </c>
      <c r="CH27" s="23"/>
      <c r="CI27" s="21" t="e">
        <f>((CJ26+(Crescimento!#REF!-(CJ26*0.64))/0.8)/1000)-Crescimento!#REF!</f>
        <v>#REF!</v>
      </c>
      <c r="CJ27" s="22" t="e">
        <f>-53.07 + (304.89 * (CI27)) + (90.79 *(Crescimento!#REF!-Crescimento!#REF!)) - (3.13 * (Crescimento!#REF!-Crescimento!#REF!)^2)</f>
        <v>#REF!</v>
      </c>
      <c r="CK27" s="23"/>
      <c r="CL27" s="21" t="e">
        <f>((CM26+(Crescimento!#REF!-(CM26*0.64))/0.8)/1000)-Crescimento!#REF!</f>
        <v>#REF!</v>
      </c>
      <c r="CM27" s="22" t="e">
        <f>-53.07 + (304.89 * (CL27)) + (90.79 *(Crescimento!#REF!-Crescimento!#REF!)) - (3.13 * (Crescimento!#REF!-Crescimento!#REF!)^2)</f>
        <v>#REF!</v>
      </c>
      <c r="CN27" s="23"/>
      <c r="CO27" s="21" t="e">
        <f>((CP26+(Crescimento!#REF!-(CP26*0.64))/0.8)/1000)-Crescimento!#REF!</f>
        <v>#REF!</v>
      </c>
      <c r="CP27" s="22" t="e">
        <f>-53.07 + (304.89 * (CO27)) + (90.79 *(Crescimento!#REF!-Crescimento!#REF!)) - (3.13 * (Crescimento!#REF!-Crescimento!#REF!)^2)</f>
        <v>#REF!</v>
      </c>
      <c r="CQ27" s="23"/>
      <c r="CR27" s="21" t="e">
        <f>((CS26+(Crescimento!#REF!-(CS26*0.64))/0.8)/1000)-Crescimento!#REF!</f>
        <v>#REF!</v>
      </c>
      <c r="CS27" s="22" t="e">
        <f>-53.07 + (304.89 * (CR27)) + (90.79 *(Crescimento!#REF!-Crescimento!#REF!)) - (3.13 * (Crescimento!#REF!-Crescimento!#REF!)^2)</f>
        <v>#REF!</v>
      </c>
      <c r="CX27" s="16" t="e">
        <f>((CY26+(Crescimento!#REF!-(CY26*0.64))/0.8)/1000)-Crescimento!#REF!</f>
        <v>#REF!</v>
      </c>
      <c r="CY27" s="17" t="e">
        <f>-53.07 + (304.89 * (CX27)) + (90.79 *(Crescimento!#REF!-Crescimento!#REF!)) - (3.13 * (Crescimento!#REF!-Crescimento!#REF!)^2)</f>
        <v>#REF!</v>
      </c>
      <c r="DA27" s="16" t="e">
        <f>((DB26+(Crescimento!#REF!-(DB26*0.64))/0.8)/1000)-Crescimento!#REF!</f>
        <v>#REF!</v>
      </c>
      <c r="DB27" s="17" t="e">
        <f>-53.07 + (304.89 * (DA27)) + (90.79 *(Crescimento!#REF!-Crescimento!#REF!)) - (3.13 * (Crescimento!#REF!-Crescimento!#REF!)^2)</f>
        <v>#REF!</v>
      </c>
      <c r="DD27" s="16" t="e">
        <f>(DE26+(Crescimento!#REF!-(DE26*0.64))/0.8)/1000</f>
        <v>#REF!</v>
      </c>
      <c r="DE27" s="17" t="e">
        <f>-53.07 + (304.89 * (DD27)) + (90.79 *Crescimento!#REF!) - (3.13 * Crescimento!#REF!*Crescimento!#REF!)</f>
        <v>#REF!</v>
      </c>
      <c r="DG27" s="16" t="e">
        <f>((DH26+(Crescimento!#REF!-(DH26*0.64))/0.8)/1000)-Crescimento!#REF!</f>
        <v>#REF!</v>
      </c>
      <c r="DH27" s="17" t="e">
        <f>-53.07 + (304.89 * (DG27)) + (90.79 *(Crescimento!#REF!-Crescimento!#REF!)) - (3.13 * (Crescimento!#REF!-Crescimento!#REF!)^2)</f>
        <v>#REF!</v>
      </c>
      <c r="DJ27" s="16" t="e">
        <f>((DK26+(Crescimento!#REF!-(DK26*0.64))/0.8)/1000)-Crescimento!#REF!</f>
        <v>#REF!</v>
      </c>
      <c r="DK27" s="17" t="e">
        <f>-53.07 + (304.89 * (DJ27)) + (90.79 *(Crescimento!#REF!-Crescimento!#REF!)) - (3.13 * (Crescimento!#REF!-Crescimento!#REF!)^2)</f>
        <v>#REF!</v>
      </c>
      <c r="DM27" s="16" t="e">
        <f>((DN26+(Crescimento!#REF!-(DN26*0.64))/0.8)/1000)-Crescimento!#REF!</f>
        <v>#REF!</v>
      </c>
      <c r="DN27" s="17" t="e">
        <f>-53.07 + (304.89 * (DM27)) + (90.79 *(Crescimento!#REF!-Crescimento!#REF!)) - (3.13 * (Crescimento!#REF!-Crescimento!#REF!)^2)</f>
        <v>#REF!</v>
      </c>
      <c r="DP27" s="16" t="e">
        <f>(DQ26+(Crescimento!#REF!-(DQ26*0.64))/0.8)/1000</f>
        <v>#REF!</v>
      </c>
      <c r="DQ27" s="17" t="e">
        <f>-53.07 + (304.89 * (DP27)) + (90.79 *(Crescimento!#REF!-Crescimento!#REF!)) - (3.13 * (Crescimento!#REF!-Crescimento!#REF!)^2)</f>
        <v>#REF!</v>
      </c>
      <c r="DS27" s="16" t="e">
        <f>((DT26+(Crescimento!#REF!-(DT26*0.64))/0.8)/1000)-Crescimento!#REF!</f>
        <v>#REF!</v>
      </c>
      <c r="DT27" s="17" t="e">
        <f>-53.07 + (304.89 * (DS27)) + (90.79 *(Crescimento!#REF!-Crescimento!#REF!)) - (3.13 * (Crescimento!#REF!-Crescimento!#REF!)^2)</f>
        <v>#REF!</v>
      </c>
      <c r="DV27" s="16" t="e">
        <f>((DW26+(Crescimento!#REF!-(DW26*0.64))/0.8)/1000)-Crescimento!#REF!</f>
        <v>#REF!</v>
      </c>
      <c r="DW27" s="17" t="e">
        <f>-53.07 + (304.89 * (DV27)) + (90.79 *(Crescimento!#REF!-Crescimento!#REF!)) - (3.13 * (Crescimento!#REF!-Crescimento!#REF!)^2)</f>
        <v>#REF!</v>
      </c>
      <c r="DY27" s="16" t="e">
        <f>((DZ26+(Crescimento!#REF!-(DZ26*0.64))/0.8)/1000)-Crescimento!#REF!</f>
        <v>#REF!</v>
      </c>
      <c r="DZ27" s="17" t="e">
        <f>-53.07 + (304.89 * (DY27)) + (90.79 *(Crescimento!#REF!-Crescimento!#REF!)) - (3.13 * (Crescimento!#REF!-Crescimento!#REF!)^2)</f>
        <v>#REF!</v>
      </c>
      <c r="EB27" s="16" t="e">
        <f>((EC26+(Crescimento!#REF!-(EC26*0.64))/0.8)/1000)-Crescimento!#REF!</f>
        <v>#REF!</v>
      </c>
      <c r="EC27" s="17" t="e">
        <f>-53.07 + (304.89 * (EB27)) + (90.79 *(Crescimento!#REF!-Crescimento!#REF!)) - (3.13 * (Crescimento!#REF!-Crescimento!#REF!)^2)</f>
        <v>#REF!</v>
      </c>
      <c r="EE27" s="16" t="e">
        <f>((EF26+(Crescimento!#REF!-(EF26*0.64))/0.8)/1000)-Crescimento!#REF!</f>
        <v>#REF!</v>
      </c>
      <c r="EF27" s="17" t="e">
        <f>-53.07 + (304.89 * (EE27)) + (90.79 *(Crescimento!#REF!-Crescimento!#REF!)) - (3.13 * (Crescimento!#REF!-Crescimento!#REF!)^2)</f>
        <v>#REF!</v>
      </c>
      <c r="EH27" s="16" t="e">
        <f>((EI26+(Crescimento!#REF!-(EI26*0.64))/0.8)/1000)-Crescimento!#REF!</f>
        <v>#REF!</v>
      </c>
      <c r="EI27" s="17" t="e">
        <f>-53.07 + (304.89 * (EH27)) + (90.79 *(Crescimento!#REF!-Crescimento!#REF!)) - (3.13 * (Crescimento!#REF!-Crescimento!#REF!)^2)</f>
        <v>#REF!</v>
      </c>
      <c r="EK27" s="16" t="e">
        <f>((EL26+(Crescimento!#REF!-(EL26*0.64))/0.8)/1000)-Crescimento!#REF!</f>
        <v>#REF!</v>
      </c>
      <c r="EL27" s="17" t="e">
        <f>-53.07 + (304.89 * (EK27)) + (90.79 *(Crescimento!#REF!-Crescimento!#REF!)) - (3.13 * (Crescimento!#REF!-Crescimento!#REF!)^2)</f>
        <v>#REF!</v>
      </c>
      <c r="EN27" s="16" t="e">
        <f>((EO26+(Crescimento!#REF!-(EO26*0.64))/0.8)/1000)-Crescimento!#REF!</f>
        <v>#REF!</v>
      </c>
      <c r="EO27" s="17" t="e">
        <f>-53.07 + (304.89 * (EN27)) + (90.79 *(Crescimento!#REF!-Crescimento!#REF!)) - (3.13 * (Crescimento!#REF!-Crescimento!#REF!)^2)</f>
        <v>#REF!</v>
      </c>
      <c r="EQ27" s="16" t="e">
        <f>((ER26+(Crescimento!#REF!-(ER26*0.64))/0.8)/1000)-Crescimento!#REF!</f>
        <v>#REF!</v>
      </c>
      <c r="ER27" s="17" t="e">
        <f>-53.07 + (304.89 * (EQ27)) + (90.79 *(Crescimento!#REF!-Crescimento!#REF!)) - (3.13 * (Crescimento!#REF!-Crescimento!#REF!)^2)</f>
        <v>#REF!</v>
      </c>
      <c r="ET27" s="16" t="e">
        <f>((EU26+(Crescimento!#REF!-(EU26*0.64))/0.8)/1000)-Crescimento!#REF!</f>
        <v>#REF!</v>
      </c>
      <c r="EU27" s="17" t="e">
        <f>-53.07 + (304.89 * (ET27)) + (90.79 *(Crescimento!#REF!-Crescimento!#REF!)) - (3.13 * (Crescimento!#REF!-Crescimento!#REF!)^2)</f>
        <v>#REF!</v>
      </c>
      <c r="EW27" s="16" t="e">
        <f>((EX26+('Vacas e Bezerros'!#REF!-(EX26*0.64))/0.8)/1000)-'Vacas e Bezerros'!#REF!</f>
        <v>#REF!</v>
      </c>
      <c r="EX27" s="17" t="e">
        <f>-53.07 + (304.89 * (EW27)) + (90.79 *('Vacas e Bezerros'!#REF!-'Vacas e Bezerros'!#REF!)) - (3.13 * ('Vacas e Bezerros'!#REF!-'Vacas e Bezerros'!#REF!)^2)</f>
        <v>#REF!</v>
      </c>
      <c r="EZ27" s="16" t="e">
        <f>((FA26+('Vacas e Bezerros'!#REF!-(FA26*0.64))/0.8)/1000)-'Vacas e Bezerros'!#REF!</f>
        <v>#REF!</v>
      </c>
      <c r="FA27" s="17" t="e">
        <f>-53.07 + (304.89 * (EZ27)) + (90.79 *('Vacas e Bezerros'!#REF!-'Vacas e Bezerros'!#REF!)) - (3.13 * ('Vacas e Bezerros'!#REF!-'Vacas e Bezerros'!#REF!)^2)</f>
        <v>#REF!</v>
      </c>
      <c r="FC27" s="16" t="e">
        <f>((FD26+('Vacas e Bezerros'!#REF!-(FD26*0.64))/0.8)/1000)-'Vacas e Bezerros'!#REF!</f>
        <v>#REF!</v>
      </c>
      <c r="FD27" s="17" t="e">
        <f>-53.07 + (304.89 * (FC27)) + (90.79 *('Vacas e Bezerros'!#REF!-'Vacas e Bezerros'!#REF!)) - (3.13 * ('Vacas e Bezerros'!#REF!-'Vacas e Bezerros'!#REF!)^2)</f>
        <v>#REF!</v>
      </c>
      <c r="FF27" s="16" t="e">
        <f>((FG26+('Vacas e Bezerros'!#REF!-(FG26*0.64))/0.8)/1000)-'Vacas e Bezerros'!#REF!</f>
        <v>#REF!</v>
      </c>
      <c r="FG27" s="17" t="e">
        <f>-53.07 + (304.89 * (FF27)) + (90.79 *('Vacas e Bezerros'!#REF!-'Vacas e Bezerros'!#REF!)) - (3.13 * ('Vacas e Bezerros'!#REF!-'Vacas e Bezerros'!#REF!)^2)</f>
        <v>#REF!</v>
      </c>
      <c r="FI27" s="16" t="e">
        <f>((FJ26+('Vacas e Bezerros'!#REF!-(FJ26*0.64))/0.8)/1000)-'Vacas e Bezerros'!#REF!</f>
        <v>#REF!</v>
      </c>
      <c r="FJ27" s="17" t="e">
        <f>-53.07 + (304.89 * (FI27)) + (90.79 *('Vacas e Bezerros'!#REF!-'Vacas e Bezerros'!#REF!)) - (3.13 * ('Vacas e Bezerros'!#REF!-'Vacas e Bezerros'!#REF!)^2)</f>
        <v>#REF!</v>
      </c>
      <c r="FL27" s="16" t="e">
        <f>((FM26+('Vacas e Bezerros'!#REF!-(FM26*0.64))/0.8)/1000)-'Vacas e Bezerros'!#REF!</f>
        <v>#REF!</v>
      </c>
      <c r="FM27" s="17" t="e">
        <f>-53.07 + (304.89 * (FL27)) + (90.79 *('Vacas e Bezerros'!#REF!-'Vacas e Bezerros'!#REF!)) - (3.13 * ('Vacas e Bezerros'!#REF!-'Vacas e Bezerros'!#REF!)^2)</f>
        <v>#REF!</v>
      </c>
      <c r="FO27" s="16" t="e">
        <f>((FP26+('Vacas e Bezerros'!#REF!-(FP26*0.64))/0.8)/1000)-'Vacas e Bezerros'!#REF!</f>
        <v>#REF!</v>
      </c>
      <c r="FP27" s="17" t="e">
        <f>-53.07 + (304.89 * (FO27)) + (90.79 *('Vacas e Bezerros'!#REF!-'Vacas e Bezerros'!#REF!)) - (3.13 * ('Vacas e Bezerros'!#REF!-'Vacas e Bezerros'!#REF!)^2)</f>
        <v>#REF!</v>
      </c>
      <c r="FR27" s="16" t="e">
        <f>((FS26+('Vacas e Bezerros'!#REF!-(FS26*0.64))/0.8)/1000)-'Vacas e Bezerros'!#REF!</f>
        <v>#REF!</v>
      </c>
      <c r="FS27" s="17" t="e">
        <f>-53.07 + (304.89 * (FR27)) + (90.79 *('Vacas e Bezerros'!#REF!-'Vacas e Bezerros'!#REF!)) - (3.13 * ('Vacas e Bezerros'!#REF!-'Vacas e Bezerros'!#REF!)^2)</f>
        <v>#REF!</v>
      </c>
      <c r="FU27" s="16" t="e">
        <f>((FV26+('Vacas e Bezerros'!#REF!-(FV26*0.64))/0.8)/1000)-'Vacas e Bezerros'!#REF!</f>
        <v>#REF!</v>
      </c>
      <c r="FV27" s="17" t="e">
        <f>-53.07 + (304.89 * (FU27)) + (90.79 *('Vacas e Bezerros'!#REF!-'Vacas e Bezerros'!#REF!)) - (3.13 * ('Vacas e Bezerros'!#REF!-'Vacas e Bezerros'!#REF!)^2)</f>
        <v>#REF!</v>
      </c>
      <c r="FX27" s="16" t="e">
        <f>((FY26+('Vacas e Bezerros'!#REF!-(FY26*0.64))/0.8)/1000)-'Vacas e Bezerros'!#REF!</f>
        <v>#REF!</v>
      </c>
      <c r="FY27" s="17" t="e">
        <f>-53.07 + (304.89 * (FX27)) + (90.79 *('Vacas e Bezerros'!#REF!-'Vacas e Bezerros'!#REF!)) - (3.13 * ('Vacas e Bezerros'!#REF!-'Vacas e Bezerros'!#REF!)^2)</f>
        <v>#REF!</v>
      </c>
      <c r="GA27" s="16" t="e">
        <f>((GB26+('Vacas e Bezerros'!#REF!-(GB26*0.64))/0.8)/1000)-'Vacas e Bezerros'!#REF!</f>
        <v>#REF!</v>
      </c>
      <c r="GB27" s="17" t="e">
        <f>-53.07 + (304.89 * (GA27)) + (90.79 *('Vacas e Bezerros'!#REF!-'Vacas e Bezerros'!#REF!)) - (3.13 * ('Vacas e Bezerros'!#REF!-'Vacas e Bezerros'!#REF!)^2)</f>
        <v>#REF!</v>
      </c>
      <c r="GD27" s="16" t="e">
        <f>((GE26+('Vacas e Bezerros'!#REF!-(GE26*0.64))/0.8)/1000)-'Vacas e Bezerros'!#REF!</f>
        <v>#REF!</v>
      </c>
      <c r="GE27" s="17" t="e">
        <f>-53.07 + (304.89 * (GD27)) + (90.79 *('Vacas e Bezerros'!#REF!-'Vacas e Bezerros'!#REF!)) - (3.13 * ('Vacas e Bezerros'!#REF!-'Vacas e Bezerros'!#REF!)^2)</f>
        <v>#REF!</v>
      </c>
      <c r="GG27" s="16" t="e">
        <f>((GH26+('Vacas e Bezerros'!#REF!-(GH26*0.64))/0.8)/1000)-'Vacas e Bezerros'!#REF!</f>
        <v>#REF!</v>
      </c>
      <c r="GH27" s="17" t="e">
        <f>-53.07 + (304.89 * (GG27)) + (90.79 *('Vacas e Bezerros'!#REF!-'Vacas e Bezerros'!#REF!)) - (3.13 * ('Vacas e Bezerros'!#REF!-'Vacas e Bezerros'!#REF!)^2)</f>
        <v>#REF!</v>
      </c>
      <c r="GJ27" s="16" t="e">
        <f>((GK26+('Vacas e Bezerros'!#REF!-(GK26*0.64))/0.8)/1000)-'Vacas e Bezerros'!#REF!</f>
        <v>#REF!</v>
      </c>
      <c r="GK27" s="17" t="e">
        <f>-53.07 + (304.89 * (GJ27)) + (90.79 *('Vacas e Bezerros'!#REF!-'Vacas e Bezerros'!#REF!)) - (3.13 * ('Vacas e Bezerros'!#REF!-'Vacas e Bezerros'!#REF!)^2)</f>
        <v>#REF!</v>
      </c>
      <c r="GM27" s="16" t="e">
        <f>((GN26+('Vacas e Bezerros'!#REF!-(GN26*0.64))/0.8)/1000)-'Vacas e Bezerros'!#REF!</f>
        <v>#REF!</v>
      </c>
      <c r="GN27" s="17" t="e">
        <f>-53.07 + (304.89 * (GM27)) + (90.79 *('Vacas e Bezerros'!#REF!-'Vacas e Bezerros'!#REF!)) - (3.13 * ('Vacas e Bezerros'!#REF!-'Vacas e Bezerros'!#REF!)^2)</f>
        <v>#REF!</v>
      </c>
    </row>
    <row r="28" spans="3:196" x14ac:dyDescent="0.25">
      <c r="C28" s="16">
        <f>(D27+('Vacas e Bezerros'!$AA$28-(D27*0.64))/0.8)/1000</f>
        <v>0.35719668016155687</v>
      </c>
      <c r="D28" s="17">
        <f>-53.07 + (304.89 * (C28-'Vacas e Bezerros'!$C$206)) + (90.79 *('Vacas e Bezerros'!$AA$22)) - (3.13 *('Vacas e Bezerros'!$AA$22)^2)</f>
        <v>165.01876457544017</v>
      </c>
      <c r="F28" s="16" t="e">
        <f>(G27+(Crescimento!#REF!-(G27*0.64))/0.8)/1000</f>
        <v>#REF!</v>
      </c>
      <c r="G28" s="17" t="e">
        <f>-53.07 + (304.89 * (F28)) + (90.79 *Crescimento!#REF!) - (3.13 * Crescimento!#REF!*Crescimento!#REF!)</f>
        <v>#REF!</v>
      </c>
      <c r="H28" s="1"/>
      <c r="I28" s="16" t="e">
        <f>(J27+(Crescimento!#REF!-(J27*0.64))/0.8)/1000</f>
        <v>#REF!</v>
      </c>
      <c r="J28" s="17" t="e">
        <f>-53.07 + (304.89 * (I28)) + (90.79 *Crescimento!#REF!) - (3.13 * Crescimento!#REF!*Crescimento!#REF!)</f>
        <v>#REF!</v>
      </c>
      <c r="L28" s="16" t="e">
        <f>(M27+(Crescimento!#REF!-(M27*0.64))/0.8)/1000</f>
        <v>#REF!</v>
      </c>
      <c r="M28" s="17" t="e">
        <f>-53.07 + (304.89 * (L28)) + (90.79 *Crescimento!#REF!) - (3.13 * Crescimento!#REF!*Crescimento!#REF!)</f>
        <v>#REF!</v>
      </c>
      <c r="O28" s="16" t="e">
        <f>(P27+(Crescimento!#REF!-(P27*0.64))/0.8)/1000</f>
        <v>#REF!</v>
      </c>
      <c r="P28" s="17" t="e">
        <f>-53.07 + (304.89 * (O28)) + (90.79 *Crescimento!#REF!) - (3.13 * Crescimento!#REF!*Crescimento!#REF!)</f>
        <v>#REF!</v>
      </c>
      <c r="R28" s="16" t="e">
        <f>(S27+(Crescimento!#REF!-(S27*0.64))/0.8)/1000</f>
        <v>#REF!</v>
      </c>
      <c r="S28" s="17" t="e">
        <f>-53.07 + (304.89 * (R28)) + (90.79 *Crescimento!#REF!) - (3.13 * Crescimento!#REF!*Crescimento!#REF!)</f>
        <v>#REF!</v>
      </c>
      <c r="U28" s="16" t="e">
        <f>(V27+(Crescimento!#REF!-(V27*0.64))/0.8)/1000</f>
        <v>#REF!</v>
      </c>
      <c r="V28" s="17" t="e">
        <f>-53.07 + (304.89 * (U28)) + (90.79 *Crescimento!#REF!) - (3.13 * Crescimento!#REF!*Crescimento!#REF!)</f>
        <v>#REF!</v>
      </c>
      <c r="X28" s="16" t="e">
        <f>(Y27+(Crescimento!#REF!-(Y27*0.64))/0.8)/1000</f>
        <v>#REF!</v>
      </c>
      <c r="Y28" s="17" t="e">
        <f>-53.07 + (304.89 * (X28)) + (90.79 *Crescimento!#REF!) - (3.13 * Crescimento!#REF!*Crescimento!#REF!)</f>
        <v>#REF!</v>
      </c>
      <c r="Z28" s="6"/>
      <c r="AA28" s="16" t="e">
        <f>(AB27+(Crescimento!#REF!-(AB27*0.64))/0.8)/1000</f>
        <v>#REF!</v>
      </c>
      <c r="AB28" s="17" t="e">
        <f>-53.07 + (304.89 * (AA28)) + (90.79 *Crescimento!#REF!) - (3.13 * Crescimento!#REF!*Crescimento!#REF!)</f>
        <v>#REF!</v>
      </c>
      <c r="AC28" s="6"/>
      <c r="AD28" s="16" t="e">
        <f>(AE27+(Crescimento!#REF!-(AE27*0.64))/0.8)/1000</f>
        <v>#REF!</v>
      </c>
      <c r="AE28" s="17" t="e">
        <f>-53.07 + (304.89 * (AD28)) + (90.79 *Crescimento!#REF!) - (3.13 * Crescimento!#REF!*Crescimento!#REF!)</f>
        <v>#REF!</v>
      </c>
      <c r="AF28" s="17"/>
      <c r="AG28" s="16" t="e">
        <f>(AH27+(Crescimento!#REF!-(AH27*0.64))/0.8)/1000</f>
        <v>#REF!</v>
      </c>
      <c r="AH28" s="17" t="e">
        <f>-53.07 + (304.89 * (AG28)) + (90.79 *Crescimento!#REF!) - (3.13 * Crescimento!#REF!*Crescimento!#REF!)</f>
        <v>#REF!</v>
      </c>
      <c r="AJ28" s="16" t="e">
        <f>(AK27+(Crescimento!#REF!-(AK27*0.64))/0.8)/1000</f>
        <v>#REF!</v>
      </c>
      <c r="AK28" s="17" t="e">
        <f>-53.07 + (304.89 * (AJ28)) + (90.79 *Crescimento!#REF!) - (3.13 * Crescimento!#REF!*Crescimento!#REF!)</f>
        <v>#REF!</v>
      </c>
      <c r="AM28" s="16" t="e">
        <f>(AN27+(Crescimento!#REF!-(AN27*0.64))/0.8)/1000</f>
        <v>#REF!</v>
      </c>
      <c r="AN28" s="17" t="e">
        <f>-53.07 + (304.89 * (AM28)) + (90.79 *Crescimento!#REF!) - (3.13 * Crescimento!#REF!*Crescimento!#REF!)</f>
        <v>#REF!</v>
      </c>
      <c r="AP28" s="16" t="e">
        <f>(AQ27+(Crescimento!#REF!-(AQ27*0.64))/0.8)/1000</f>
        <v>#REF!</v>
      </c>
      <c r="AQ28" s="17" t="e">
        <f>-53.07 + (304.89 * (AP28)) + (90.79 *Crescimento!#REF!) - (3.13 * Crescimento!#REF!*Crescimento!#REF!)</f>
        <v>#REF!</v>
      </c>
      <c r="AS28" s="16" t="e">
        <f>(AT27+(Crescimento!#REF!-(AT27*0.64))/0.8)/1000</f>
        <v>#REF!</v>
      </c>
      <c r="AT28" s="17" t="e">
        <f>-53.07 + (304.89 * (AS28)) + (90.79 *Crescimento!#REF!) - (3.13 * Crescimento!#REF!*Crescimento!#REF!)</f>
        <v>#REF!</v>
      </c>
      <c r="AV28" s="16" t="e">
        <f>(AW27+(Crescimento!#REF!-(AW27*0.64))/0.8)/1000</f>
        <v>#REF!</v>
      </c>
      <c r="AW28" s="17" t="e">
        <f>-53.07 + (304.89 * (AV28)) + (90.79 *Crescimento!#REF!) - (3.13 * Crescimento!#REF!*Crescimento!#REF!)</f>
        <v>#REF!</v>
      </c>
      <c r="AY28" s="21" t="e">
        <f>((AZ27+(Crescimento!#REF!-(AZ27*0.64))/0.8)/1000)-Crescimento!#REF!</f>
        <v>#REF!</v>
      </c>
      <c r="AZ28" s="22" t="e">
        <f>-53.07 + (304.89 * (AY28)) + (90.79 *(Crescimento!#REF!-Crescimento!#REF!)) - (3.13 * (Crescimento!#REF!-Crescimento!#REF!)^2)</f>
        <v>#REF!</v>
      </c>
      <c r="BA28" s="23"/>
      <c r="BB28" s="21" t="e">
        <f>((BC27+(Crescimento!#REF!-(BC27*0.64))/0.8)/1000)-Crescimento!#REF!</f>
        <v>#REF!</v>
      </c>
      <c r="BC28" s="22" t="e">
        <f>-53.07 + (304.89 * (BB28)) + (90.79 *(Crescimento!#REF!-Crescimento!#REF!)) - (3.13 * (Crescimento!#REF!-Crescimento!#REF!)^2)</f>
        <v>#REF!</v>
      </c>
      <c r="BD28" s="23"/>
      <c r="BE28" s="21" t="e">
        <f>((BF27+(Crescimento!#REF!-(BF27*0.64))/0.8)/1000)-Crescimento!#REF!</f>
        <v>#REF!</v>
      </c>
      <c r="BF28" s="22" t="e">
        <f>-53.07 + (304.89 * (BE28)) + (90.79 *(Crescimento!#REF!-Crescimento!#REF!)) - (3.13 * (Crescimento!#REF!-Crescimento!#REF!)^2)</f>
        <v>#REF!</v>
      </c>
      <c r="BG28" s="23"/>
      <c r="BH28" s="21" t="e">
        <f>((BI27+(Crescimento!#REF!-(BI27*0.64))/0.8)/1000)-Crescimento!#REF!</f>
        <v>#REF!</v>
      </c>
      <c r="BI28" s="22" t="e">
        <f>-53.07 + (304.89 * (BH28)) + (90.79 *(Crescimento!#REF!-Crescimento!#REF!)) - (3.13 * (Crescimento!#REF!-Crescimento!#REF!)^2)</f>
        <v>#REF!</v>
      </c>
      <c r="BJ28" s="23"/>
      <c r="BK28" s="21" t="e">
        <f>((BL27+(Crescimento!#REF!-(BL27*0.64))/0.8)/1000)-Crescimento!#REF!</f>
        <v>#REF!</v>
      </c>
      <c r="BL28" s="22" t="e">
        <f>-53.07 + (304.89 * (BK28)) + (90.79 *(Crescimento!#REF!-Crescimento!#REF!)) - (3.13 * (Crescimento!#REF!-Crescimento!#REF!)^2)</f>
        <v>#REF!</v>
      </c>
      <c r="BM28" s="23"/>
      <c r="BN28" s="21" t="e">
        <f>((BO27+(Crescimento!#REF!-(BO27*0.64))/0.8)/1000)-Crescimento!#REF!</f>
        <v>#REF!</v>
      </c>
      <c r="BO28" s="22" t="e">
        <f>-53.07 + (304.89 * (BN28)) + (90.79 *(Crescimento!#REF!-Crescimento!#REF!)) - (3.13 * (Crescimento!#REF!-Crescimento!#REF!)^2)</f>
        <v>#REF!</v>
      </c>
      <c r="BP28" s="23"/>
      <c r="BQ28" s="21" t="e">
        <f>((BR27+(Crescimento!#REF!-(BR27*0.64))/0.8)/1000)-Crescimento!#REF!</f>
        <v>#REF!</v>
      </c>
      <c r="BR28" s="22" t="e">
        <f>-53.07 + (304.89 * (BQ28)) + (90.79 *(Crescimento!#REF!-Crescimento!#REF!)) - (3.13 * (Crescimento!#REF!-Crescimento!#REF!)^2)</f>
        <v>#REF!</v>
      </c>
      <c r="BS28" s="23"/>
      <c r="BT28" s="21" t="e">
        <f>((BU27+(Crescimento!#REF!-(BU27*0.64))/0.8)/1000)-Crescimento!#REF!</f>
        <v>#REF!</v>
      </c>
      <c r="BU28" s="22" t="e">
        <f>-53.07 + (304.89 * (BT28)) + (90.79 *(Crescimento!#REF!-Crescimento!#REF!)) - (3.13 * (Crescimento!#REF!-Crescimento!#REF!)^2)</f>
        <v>#REF!</v>
      </c>
      <c r="BV28" s="23"/>
      <c r="BW28" s="21" t="e">
        <f>((BX27+(Crescimento!#REF!-(BX27*0.64))/0.8)/1000)-Crescimento!#REF!</f>
        <v>#REF!</v>
      </c>
      <c r="BX28" s="22" t="e">
        <f>-53.07 + (304.89 * (BW28)) + (90.79 *(Crescimento!#REF!-Crescimento!#REF!)) - (3.13 * (Crescimento!#REF!-Crescimento!#REF!)^2)</f>
        <v>#REF!</v>
      </c>
      <c r="BY28" s="23"/>
      <c r="BZ28" s="21" t="e">
        <f>((CA27+(Crescimento!#REF!-(CA27*0.64))/0.8)/1000)-Crescimento!#REF!</f>
        <v>#REF!</v>
      </c>
      <c r="CA28" s="22" t="e">
        <f>-53.07 + (304.89 * (BZ28)) + (90.79 *(Crescimento!#REF!-Crescimento!#REF!)) - (3.13 * (Crescimento!#REF!-Crescimento!#REF!)^2)</f>
        <v>#REF!</v>
      </c>
      <c r="CB28" s="23"/>
      <c r="CC28" s="21" t="e">
        <f>((CD27+(Crescimento!#REF!-(CD27*0.64))/0.8)/1000)-Crescimento!#REF!</f>
        <v>#REF!</v>
      </c>
      <c r="CD28" s="22" t="e">
        <f>-53.07 + (304.89 * (CC28)) + (90.79 *(Crescimento!#REF!-Crescimento!#REF!)) - (3.13 * (Crescimento!#REF!-Crescimento!#REF!)^2)</f>
        <v>#REF!</v>
      </c>
      <c r="CE28" s="23"/>
      <c r="CF28" s="21" t="e">
        <f>((CG27+(Crescimento!#REF!-(CG27*0.64))/0.8)/1000)-Crescimento!#REF!</f>
        <v>#REF!</v>
      </c>
      <c r="CG28" s="22" t="e">
        <f>-53.07 + (304.89 * (CF28)) + (90.79 *(Crescimento!#REF!-Crescimento!#REF!)) - (3.13 * (Crescimento!#REF!-Crescimento!#REF!)^2)</f>
        <v>#REF!</v>
      </c>
      <c r="CH28" s="23"/>
      <c r="CI28" s="21" t="e">
        <f>((CJ27+(Crescimento!#REF!-(CJ27*0.64))/0.8)/1000)-Crescimento!#REF!</f>
        <v>#REF!</v>
      </c>
      <c r="CJ28" s="22" t="e">
        <f>-53.07 + (304.89 * (CI28)) + (90.79 *(Crescimento!#REF!-Crescimento!#REF!)) - (3.13 * (Crescimento!#REF!-Crescimento!#REF!)^2)</f>
        <v>#REF!</v>
      </c>
      <c r="CK28" s="23"/>
      <c r="CL28" s="21" t="e">
        <f>((CM27+(Crescimento!#REF!-(CM27*0.64))/0.8)/1000)-Crescimento!#REF!</f>
        <v>#REF!</v>
      </c>
      <c r="CM28" s="22" t="e">
        <f>-53.07 + (304.89 * (CL28)) + (90.79 *(Crescimento!#REF!-Crescimento!#REF!)) - (3.13 * (Crescimento!#REF!-Crescimento!#REF!)^2)</f>
        <v>#REF!</v>
      </c>
      <c r="CN28" s="23"/>
      <c r="CO28" s="21" t="e">
        <f>((CP27+(Crescimento!#REF!-(CP27*0.64))/0.8)/1000)-Crescimento!#REF!</f>
        <v>#REF!</v>
      </c>
      <c r="CP28" s="22" t="e">
        <f>-53.07 + (304.89 * (CO28)) + (90.79 *(Crescimento!#REF!-Crescimento!#REF!)) - (3.13 * (Crescimento!#REF!-Crescimento!#REF!)^2)</f>
        <v>#REF!</v>
      </c>
      <c r="CQ28" s="23"/>
      <c r="CR28" s="21" t="e">
        <f>((CS27+(Crescimento!#REF!-(CS27*0.64))/0.8)/1000)-Crescimento!#REF!</f>
        <v>#REF!</v>
      </c>
      <c r="CS28" s="22" t="e">
        <f>-53.07 + (304.89 * (CR28)) + (90.79 *(Crescimento!#REF!-Crescimento!#REF!)) - (3.13 * (Crescimento!#REF!-Crescimento!#REF!)^2)</f>
        <v>#REF!</v>
      </c>
      <c r="CX28" s="16" t="e">
        <f>((CY27+(Crescimento!#REF!-(CY27*0.64))/0.8)/1000)-Crescimento!#REF!</f>
        <v>#REF!</v>
      </c>
      <c r="CY28" s="17" t="e">
        <f>-53.07 + (304.89 * (CX28)) + (90.79 *(Crescimento!#REF!-Crescimento!#REF!)) - (3.13 * (Crescimento!#REF!-Crescimento!#REF!)^2)</f>
        <v>#REF!</v>
      </c>
      <c r="DA28" s="16" t="e">
        <f>((DB27+(Crescimento!#REF!-(DB27*0.64))/0.8)/1000)-Crescimento!#REF!</f>
        <v>#REF!</v>
      </c>
      <c r="DB28" s="17" t="e">
        <f>-53.07 + (304.89 * (DA28)) + (90.79 *(Crescimento!#REF!-Crescimento!#REF!)) - (3.13 * (Crescimento!#REF!-Crescimento!#REF!)^2)</f>
        <v>#REF!</v>
      </c>
      <c r="DD28" s="16" t="e">
        <f>(DE27+(Crescimento!#REF!-(DE27*0.64))/0.8)/1000</f>
        <v>#REF!</v>
      </c>
      <c r="DE28" s="17" t="e">
        <f>-53.07 + (304.89 * (DD28)) + (90.79 *Crescimento!#REF!) - (3.13 * Crescimento!#REF!*Crescimento!#REF!)</f>
        <v>#REF!</v>
      </c>
      <c r="DG28" s="16" t="e">
        <f>((DH27+(Crescimento!#REF!-(DH27*0.64))/0.8)/1000)-Crescimento!#REF!</f>
        <v>#REF!</v>
      </c>
      <c r="DH28" s="17" t="e">
        <f>-53.07 + (304.89 * (DG28)) + (90.79 *(Crescimento!#REF!-Crescimento!#REF!)) - (3.13 * (Crescimento!#REF!-Crescimento!#REF!)^2)</f>
        <v>#REF!</v>
      </c>
      <c r="DJ28" s="16" t="e">
        <f>((DK27+(Crescimento!#REF!-(DK27*0.64))/0.8)/1000)-Crescimento!#REF!</f>
        <v>#REF!</v>
      </c>
      <c r="DK28" s="17" t="e">
        <f>-53.07 + (304.89 * (DJ28)) + (90.79 *(Crescimento!#REF!-Crescimento!#REF!)) - (3.13 * (Crescimento!#REF!-Crescimento!#REF!)^2)</f>
        <v>#REF!</v>
      </c>
      <c r="DM28" s="16" t="e">
        <f>((DN27+(Crescimento!#REF!-(DN27*0.64))/0.8)/1000)-Crescimento!#REF!</f>
        <v>#REF!</v>
      </c>
      <c r="DN28" s="17" t="e">
        <f>-53.07 + (304.89 * (DM28)) + (90.79 *(Crescimento!#REF!-Crescimento!#REF!)) - (3.13 * (Crescimento!#REF!-Crescimento!#REF!)^2)</f>
        <v>#REF!</v>
      </c>
      <c r="DP28" s="16" t="e">
        <f>(DQ27+(Crescimento!#REF!-(DQ27*0.64))/0.8)/1000</f>
        <v>#REF!</v>
      </c>
      <c r="DQ28" s="17" t="e">
        <f>-53.07 + (304.89 * (DP28)) + (90.79 *(Crescimento!#REF!-Crescimento!#REF!)) - (3.13 * (Crescimento!#REF!-Crescimento!#REF!)^2)</f>
        <v>#REF!</v>
      </c>
      <c r="DS28" s="16" t="e">
        <f>((DT27+(Crescimento!#REF!-(DT27*0.64))/0.8)/1000)-Crescimento!#REF!</f>
        <v>#REF!</v>
      </c>
      <c r="DT28" s="17" t="e">
        <f>-53.07 + (304.89 * (DS28)) + (90.79 *(Crescimento!#REF!-Crescimento!#REF!)) - (3.13 * (Crescimento!#REF!-Crescimento!#REF!)^2)</f>
        <v>#REF!</v>
      </c>
      <c r="DV28" s="16" t="e">
        <f>((DW27+(Crescimento!#REF!-(DW27*0.64))/0.8)/1000)-Crescimento!#REF!</f>
        <v>#REF!</v>
      </c>
      <c r="DW28" s="17" t="e">
        <f>-53.07 + (304.89 * (DV28)) + (90.79 *(Crescimento!#REF!-Crescimento!#REF!)) - (3.13 * (Crescimento!#REF!-Crescimento!#REF!)^2)</f>
        <v>#REF!</v>
      </c>
      <c r="DY28" s="16" t="e">
        <f>((DZ27+(Crescimento!#REF!-(DZ27*0.64))/0.8)/1000)-Crescimento!#REF!</f>
        <v>#REF!</v>
      </c>
      <c r="DZ28" s="17" t="e">
        <f>-53.07 + (304.89 * (DY28)) + (90.79 *(Crescimento!#REF!-Crescimento!#REF!)) - (3.13 * (Crescimento!#REF!-Crescimento!#REF!)^2)</f>
        <v>#REF!</v>
      </c>
      <c r="EB28" s="16" t="e">
        <f>((EC27+(Crescimento!#REF!-(EC27*0.64))/0.8)/1000)-Crescimento!#REF!</f>
        <v>#REF!</v>
      </c>
      <c r="EC28" s="17" t="e">
        <f>-53.07 + (304.89 * (EB28)) + (90.79 *(Crescimento!#REF!-Crescimento!#REF!)) - (3.13 * (Crescimento!#REF!-Crescimento!#REF!)^2)</f>
        <v>#REF!</v>
      </c>
      <c r="EE28" s="16" t="e">
        <f>((EF27+(Crescimento!#REF!-(EF27*0.64))/0.8)/1000)-Crescimento!#REF!</f>
        <v>#REF!</v>
      </c>
      <c r="EF28" s="17" t="e">
        <f>-53.07 + (304.89 * (EE28)) + (90.79 *(Crescimento!#REF!-Crescimento!#REF!)) - (3.13 * (Crescimento!#REF!-Crescimento!#REF!)^2)</f>
        <v>#REF!</v>
      </c>
      <c r="EH28" s="16" t="e">
        <f>((EI27+(Crescimento!#REF!-(EI27*0.64))/0.8)/1000)-Crescimento!#REF!</f>
        <v>#REF!</v>
      </c>
      <c r="EI28" s="17" t="e">
        <f>-53.07 + (304.89 * (EH28)) + (90.79 *(Crescimento!#REF!-Crescimento!#REF!)) - (3.13 * (Crescimento!#REF!-Crescimento!#REF!)^2)</f>
        <v>#REF!</v>
      </c>
      <c r="EK28" s="16" t="e">
        <f>((EL27+(Crescimento!#REF!-(EL27*0.64))/0.8)/1000)-Crescimento!#REF!</f>
        <v>#REF!</v>
      </c>
      <c r="EL28" s="17" t="e">
        <f>-53.07 + (304.89 * (EK28)) + (90.79 *(Crescimento!#REF!-Crescimento!#REF!)) - (3.13 * (Crescimento!#REF!-Crescimento!#REF!)^2)</f>
        <v>#REF!</v>
      </c>
      <c r="EN28" s="16" t="e">
        <f>((EO27+(Crescimento!#REF!-(EO27*0.64))/0.8)/1000)-Crescimento!#REF!</f>
        <v>#REF!</v>
      </c>
      <c r="EO28" s="17" t="e">
        <f>-53.07 + (304.89 * (EN28)) + (90.79 *(Crescimento!#REF!-Crescimento!#REF!)) - (3.13 * (Crescimento!#REF!-Crescimento!#REF!)^2)</f>
        <v>#REF!</v>
      </c>
      <c r="EQ28" s="16" t="e">
        <f>((ER27+(Crescimento!#REF!-(ER27*0.64))/0.8)/1000)-Crescimento!#REF!</f>
        <v>#REF!</v>
      </c>
      <c r="ER28" s="17" t="e">
        <f>-53.07 + (304.89 * (EQ28)) + (90.79 *(Crescimento!#REF!-Crescimento!#REF!)) - (3.13 * (Crescimento!#REF!-Crescimento!#REF!)^2)</f>
        <v>#REF!</v>
      </c>
      <c r="ET28" s="16" t="e">
        <f>((EU27+(Crescimento!#REF!-(EU27*0.64))/0.8)/1000)-Crescimento!#REF!</f>
        <v>#REF!</v>
      </c>
      <c r="EU28" s="17" t="e">
        <f>-53.07 + (304.89 * (ET28)) + (90.79 *(Crescimento!#REF!-Crescimento!#REF!)) - (3.13 * (Crescimento!#REF!-Crescimento!#REF!)^2)</f>
        <v>#REF!</v>
      </c>
      <c r="EW28" s="16" t="e">
        <f>((EX27+('Vacas e Bezerros'!#REF!-(EX27*0.64))/0.8)/1000)-'Vacas e Bezerros'!#REF!</f>
        <v>#REF!</v>
      </c>
      <c r="EX28" s="17" t="e">
        <f>-53.07 + (304.89 * (EW28)) + (90.79 *('Vacas e Bezerros'!#REF!-'Vacas e Bezerros'!#REF!)) - (3.13 * ('Vacas e Bezerros'!#REF!-'Vacas e Bezerros'!#REF!)^2)</f>
        <v>#REF!</v>
      </c>
      <c r="EZ28" s="16" t="e">
        <f>((FA27+('Vacas e Bezerros'!#REF!-(FA27*0.64))/0.8)/1000)-'Vacas e Bezerros'!#REF!</f>
        <v>#REF!</v>
      </c>
      <c r="FA28" s="17" t="e">
        <f>-53.07 + (304.89 * (EZ28)) + (90.79 *('Vacas e Bezerros'!#REF!-'Vacas e Bezerros'!#REF!)) - (3.13 * ('Vacas e Bezerros'!#REF!-'Vacas e Bezerros'!#REF!)^2)</f>
        <v>#REF!</v>
      </c>
      <c r="FC28" s="16" t="e">
        <f>((FD27+('Vacas e Bezerros'!#REF!-(FD27*0.64))/0.8)/1000)-'Vacas e Bezerros'!#REF!</f>
        <v>#REF!</v>
      </c>
      <c r="FD28" s="17" t="e">
        <f>-53.07 + (304.89 * (FC28)) + (90.79 *('Vacas e Bezerros'!#REF!-'Vacas e Bezerros'!#REF!)) - (3.13 * ('Vacas e Bezerros'!#REF!-'Vacas e Bezerros'!#REF!)^2)</f>
        <v>#REF!</v>
      </c>
      <c r="FF28" s="16" t="e">
        <f>((FG27+('Vacas e Bezerros'!#REF!-(FG27*0.64))/0.8)/1000)-'Vacas e Bezerros'!#REF!</f>
        <v>#REF!</v>
      </c>
      <c r="FG28" s="17" t="e">
        <f>-53.07 + (304.89 * (FF28)) + (90.79 *('Vacas e Bezerros'!#REF!-'Vacas e Bezerros'!#REF!)) - (3.13 * ('Vacas e Bezerros'!#REF!-'Vacas e Bezerros'!#REF!)^2)</f>
        <v>#REF!</v>
      </c>
      <c r="FI28" s="16" t="e">
        <f>((FJ27+('Vacas e Bezerros'!#REF!-(FJ27*0.64))/0.8)/1000)-'Vacas e Bezerros'!#REF!</f>
        <v>#REF!</v>
      </c>
      <c r="FJ28" s="17" t="e">
        <f>-53.07 + (304.89 * (FI28)) + (90.79 *('Vacas e Bezerros'!#REF!-'Vacas e Bezerros'!#REF!)) - (3.13 * ('Vacas e Bezerros'!#REF!-'Vacas e Bezerros'!#REF!)^2)</f>
        <v>#REF!</v>
      </c>
      <c r="FL28" s="16" t="e">
        <f>((FM27+('Vacas e Bezerros'!#REF!-(FM27*0.64))/0.8)/1000)-'Vacas e Bezerros'!#REF!</f>
        <v>#REF!</v>
      </c>
      <c r="FM28" s="17" t="e">
        <f>-53.07 + (304.89 * (FL28)) + (90.79 *('Vacas e Bezerros'!#REF!-'Vacas e Bezerros'!#REF!)) - (3.13 * ('Vacas e Bezerros'!#REF!-'Vacas e Bezerros'!#REF!)^2)</f>
        <v>#REF!</v>
      </c>
      <c r="FO28" s="16" t="e">
        <f>((FP27+('Vacas e Bezerros'!#REF!-(FP27*0.64))/0.8)/1000)-'Vacas e Bezerros'!#REF!</f>
        <v>#REF!</v>
      </c>
      <c r="FP28" s="17" t="e">
        <f>-53.07 + (304.89 * (FO28)) + (90.79 *('Vacas e Bezerros'!#REF!-'Vacas e Bezerros'!#REF!)) - (3.13 * ('Vacas e Bezerros'!#REF!-'Vacas e Bezerros'!#REF!)^2)</f>
        <v>#REF!</v>
      </c>
      <c r="FR28" s="16" t="e">
        <f>((FS27+('Vacas e Bezerros'!#REF!-(FS27*0.64))/0.8)/1000)-'Vacas e Bezerros'!#REF!</f>
        <v>#REF!</v>
      </c>
      <c r="FS28" s="17" t="e">
        <f>-53.07 + (304.89 * (FR28)) + (90.79 *('Vacas e Bezerros'!#REF!-'Vacas e Bezerros'!#REF!)) - (3.13 * ('Vacas e Bezerros'!#REF!-'Vacas e Bezerros'!#REF!)^2)</f>
        <v>#REF!</v>
      </c>
      <c r="FU28" s="16" t="e">
        <f>((FV27+('Vacas e Bezerros'!#REF!-(FV27*0.64))/0.8)/1000)-'Vacas e Bezerros'!#REF!</f>
        <v>#REF!</v>
      </c>
      <c r="FV28" s="17" t="e">
        <f>-53.07 + (304.89 * (FU28)) + (90.79 *('Vacas e Bezerros'!#REF!-'Vacas e Bezerros'!#REF!)) - (3.13 * ('Vacas e Bezerros'!#REF!-'Vacas e Bezerros'!#REF!)^2)</f>
        <v>#REF!</v>
      </c>
      <c r="FX28" s="16" t="e">
        <f>((FY27+('Vacas e Bezerros'!#REF!-(FY27*0.64))/0.8)/1000)-'Vacas e Bezerros'!#REF!</f>
        <v>#REF!</v>
      </c>
      <c r="FY28" s="17" t="e">
        <f>-53.07 + (304.89 * (FX28)) + (90.79 *('Vacas e Bezerros'!#REF!-'Vacas e Bezerros'!#REF!)) - (3.13 * ('Vacas e Bezerros'!#REF!-'Vacas e Bezerros'!#REF!)^2)</f>
        <v>#REF!</v>
      </c>
      <c r="GA28" s="16" t="e">
        <f>((GB27+('Vacas e Bezerros'!#REF!-(GB27*0.64))/0.8)/1000)-'Vacas e Bezerros'!#REF!</f>
        <v>#REF!</v>
      </c>
      <c r="GB28" s="17" t="e">
        <f>-53.07 + (304.89 * (GA28)) + (90.79 *('Vacas e Bezerros'!#REF!-'Vacas e Bezerros'!#REF!)) - (3.13 * ('Vacas e Bezerros'!#REF!-'Vacas e Bezerros'!#REF!)^2)</f>
        <v>#REF!</v>
      </c>
      <c r="GD28" s="16" t="e">
        <f>((GE27+('Vacas e Bezerros'!#REF!-(GE27*0.64))/0.8)/1000)-'Vacas e Bezerros'!#REF!</f>
        <v>#REF!</v>
      </c>
      <c r="GE28" s="17" t="e">
        <f>-53.07 + (304.89 * (GD28)) + (90.79 *('Vacas e Bezerros'!#REF!-'Vacas e Bezerros'!#REF!)) - (3.13 * ('Vacas e Bezerros'!#REF!-'Vacas e Bezerros'!#REF!)^2)</f>
        <v>#REF!</v>
      </c>
      <c r="GG28" s="16" t="e">
        <f>((GH27+('Vacas e Bezerros'!#REF!-(GH27*0.64))/0.8)/1000)-'Vacas e Bezerros'!#REF!</f>
        <v>#REF!</v>
      </c>
      <c r="GH28" s="17" t="e">
        <f>-53.07 + (304.89 * (GG28)) + (90.79 *('Vacas e Bezerros'!#REF!-'Vacas e Bezerros'!#REF!)) - (3.13 * ('Vacas e Bezerros'!#REF!-'Vacas e Bezerros'!#REF!)^2)</f>
        <v>#REF!</v>
      </c>
      <c r="GJ28" s="16" t="e">
        <f>((GK27+('Vacas e Bezerros'!#REF!-(GK27*0.64))/0.8)/1000)-'Vacas e Bezerros'!#REF!</f>
        <v>#REF!</v>
      </c>
      <c r="GK28" s="17" t="e">
        <f>-53.07 + (304.89 * (GJ28)) + (90.79 *('Vacas e Bezerros'!#REF!-'Vacas e Bezerros'!#REF!)) - (3.13 * ('Vacas e Bezerros'!#REF!-'Vacas e Bezerros'!#REF!)^2)</f>
        <v>#REF!</v>
      </c>
      <c r="GM28" s="16" t="e">
        <f>((GN27+('Vacas e Bezerros'!#REF!-(GN27*0.64))/0.8)/1000)-'Vacas e Bezerros'!#REF!</f>
        <v>#REF!</v>
      </c>
      <c r="GN28" s="17" t="e">
        <f>-53.07 + (304.89 * (GM28)) + (90.79 *('Vacas e Bezerros'!#REF!-'Vacas e Bezerros'!#REF!)) - (3.13 * ('Vacas e Bezerros'!#REF!-'Vacas e Bezerros'!#REF!)^2)</f>
        <v>#REF!</v>
      </c>
    </row>
    <row r="29" spans="3:196" x14ac:dyDescent="0.25">
      <c r="C29" s="16">
        <f>(D28+('Vacas e Bezerros'!$AA$28-(D28*0.64))/0.8)/1000</f>
        <v>0.35719668016155687</v>
      </c>
      <c r="D29" s="17">
        <f>-53.07 + (304.89 * (C29-'Vacas e Bezerros'!$C$206)) + (90.79 *('Vacas e Bezerros'!$AA$22)) - (3.13 *('Vacas e Bezerros'!$AA$22)^2)</f>
        <v>165.01876457544017</v>
      </c>
      <c r="F29" s="16" t="e">
        <f>(G28+(Crescimento!#REF!-(G28*0.64))/0.8)/1000</f>
        <v>#REF!</v>
      </c>
      <c r="G29" s="17" t="e">
        <f>-53.07 + (304.89 * (F29)) + (90.79 *Crescimento!#REF!) - (3.13 * Crescimento!#REF!*Crescimento!#REF!)</f>
        <v>#REF!</v>
      </c>
      <c r="H29" s="1"/>
      <c r="I29" s="16" t="e">
        <f>(J28+(Crescimento!#REF!-(J28*0.64))/0.8)/1000</f>
        <v>#REF!</v>
      </c>
      <c r="J29" s="17" t="e">
        <f>-53.07 + (304.89 * (I29)) + (90.79 *Crescimento!#REF!) - (3.13 * Crescimento!#REF!*Crescimento!#REF!)</f>
        <v>#REF!</v>
      </c>
      <c r="L29" s="16" t="e">
        <f>(M28+(Crescimento!#REF!-(M28*0.64))/0.8)/1000</f>
        <v>#REF!</v>
      </c>
      <c r="M29" s="17" t="e">
        <f>-53.07 + (304.89 * (L29)) + (90.79 *Crescimento!#REF!) - (3.13 * Crescimento!#REF!*Crescimento!#REF!)</f>
        <v>#REF!</v>
      </c>
      <c r="O29" s="16" t="e">
        <f>(P28+(Crescimento!#REF!-(P28*0.64))/0.8)/1000</f>
        <v>#REF!</v>
      </c>
      <c r="P29" s="17" t="e">
        <f>-53.07 + (304.89 * (O29)) + (90.79 *Crescimento!#REF!) - (3.13 * Crescimento!#REF!*Crescimento!#REF!)</f>
        <v>#REF!</v>
      </c>
      <c r="R29" s="16" t="e">
        <f>(S28+(Crescimento!#REF!-(S28*0.64))/0.8)/1000</f>
        <v>#REF!</v>
      </c>
      <c r="S29" s="17" t="e">
        <f>-53.07 + (304.89 * (R29)) + (90.79 *Crescimento!#REF!) - (3.13 * Crescimento!#REF!*Crescimento!#REF!)</f>
        <v>#REF!</v>
      </c>
      <c r="U29" s="16" t="e">
        <f>(V28+(Crescimento!#REF!-(V28*0.64))/0.8)/1000</f>
        <v>#REF!</v>
      </c>
      <c r="V29" s="17" t="e">
        <f>-53.07 + (304.89 * (U29)) + (90.79 *Crescimento!#REF!) - (3.13 * Crescimento!#REF!*Crescimento!#REF!)</f>
        <v>#REF!</v>
      </c>
      <c r="X29" s="16" t="e">
        <f>(Y28+(Crescimento!#REF!-(Y28*0.64))/0.8)/1000</f>
        <v>#REF!</v>
      </c>
      <c r="Y29" s="17" t="e">
        <f>-53.07 + (304.89 * (X29)) + (90.79 *Crescimento!#REF!) - (3.13 * Crescimento!#REF!*Crescimento!#REF!)</f>
        <v>#REF!</v>
      </c>
      <c r="Z29" s="6"/>
      <c r="AA29" s="16" t="e">
        <f>(AB28+(Crescimento!#REF!-(AB28*0.64))/0.8)/1000</f>
        <v>#REF!</v>
      </c>
      <c r="AB29" s="17" t="e">
        <f>-53.07 + (304.89 * (AA29)) + (90.79 *Crescimento!#REF!) - (3.13 * Crescimento!#REF!*Crescimento!#REF!)</f>
        <v>#REF!</v>
      </c>
      <c r="AC29" s="6"/>
      <c r="AD29" s="16" t="e">
        <f>(AE28+(Crescimento!#REF!-(AE28*0.64))/0.8)/1000</f>
        <v>#REF!</v>
      </c>
      <c r="AE29" s="17" t="e">
        <f>-53.07 + (304.89 * (AD29)) + (90.79 *Crescimento!#REF!) - (3.13 * Crescimento!#REF!*Crescimento!#REF!)</f>
        <v>#REF!</v>
      </c>
      <c r="AF29" s="17"/>
      <c r="AG29" s="16" t="e">
        <f>(AH28+(Crescimento!#REF!-(AH28*0.64))/0.8)/1000</f>
        <v>#REF!</v>
      </c>
      <c r="AH29" s="17" t="e">
        <f>-53.07 + (304.89 * (AG29)) + (90.79 *Crescimento!#REF!) - (3.13 * Crescimento!#REF!*Crescimento!#REF!)</f>
        <v>#REF!</v>
      </c>
      <c r="AJ29" s="16" t="e">
        <f>(AK28+(Crescimento!#REF!-(AK28*0.64))/0.8)/1000</f>
        <v>#REF!</v>
      </c>
      <c r="AK29" s="17" t="e">
        <f>-53.07 + (304.89 * (AJ29)) + (90.79 *Crescimento!#REF!) - (3.13 * Crescimento!#REF!*Crescimento!#REF!)</f>
        <v>#REF!</v>
      </c>
      <c r="AM29" s="16" t="e">
        <f>(AN28+(Crescimento!#REF!-(AN28*0.64))/0.8)/1000</f>
        <v>#REF!</v>
      </c>
      <c r="AN29" s="17" t="e">
        <f>-53.07 + (304.89 * (AM29)) + (90.79 *Crescimento!#REF!) - (3.13 * Crescimento!#REF!*Crescimento!#REF!)</f>
        <v>#REF!</v>
      </c>
      <c r="AP29" s="16" t="e">
        <f>(AQ28+(Crescimento!#REF!-(AQ28*0.64))/0.8)/1000</f>
        <v>#REF!</v>
      </c>
      <c r="AQ29" s="17" t="e">
        <f>-53.07 + (304.89 * (AP29)) + (90.79 *Crescimento!#REF!) - (3.13 * Crescimento!#REF!*Crescimento!#REF!)</f>
        <v>#REF!</v>
      </c>
      <c r="AS29" s="16" t="e">
        <f>(AT28+(Crescimento!#REF!-(AT28*0.64))/0.8)/1000</f>
        <v>#REF!</v>
      </c>
      <c r="AT29" s="17" t="e">
        <f>-53.07 + (304.89 * (AS29)) + (90.79 *Crescimento!#REF!) - (3.13 * Crescimento!#REF!*Crescimento!#REF!)</f>
        <v>#REF!</v>
      </c>
      <c r="AV29" s="16" t="e">
        <f>(AW28+(Crescimento!#REF!-(AW28*0.64))/0.8)/1000</f>
        <v>#REF!</v>
      </c>
      <c r="AW29" s="17" t="e">
        <f>-53.07 + (304.89 * (AV29)) + (90.79 *Crescimento!#REF!) - (3.13 * Crescimento!#REF!*Crescimento!#REF!)</f>
        <v>#REF!</v>
      </c>
      <c r="AY29" s="21" t="e">
        <f>((AZ28+(Crescimento!#REF!-(AZ28*0.64))/0.8)/1000)-Crescimento!#REF!</f>
        <v>#REF!</v>
      </c>
      <c r="AZ29" s="22" t="e">
        <f>-53.07 + (304.89 * (AY29)) + (90.79 *(Crescimento!#REF!-Crescimento!#REF!)) - (3.13 * (Crescimento!#REF!-Crescimento!#REF!)^2)</f>
        <v>#REF!</v>
      </c>
      <c r="BA29" s="23"/>
      <c r="BB29" s="21" t="e">
        <f>((BC28+(Crescimento!#REF!-(BC28*0.64))/0.8)/1000)-Crescimento!#REF!</f>
        <v>#REF!</v>
      </c>
      <c r="BC29" s="22" t="e">
        <f>-53.07 + (304.89 * (BB29)) + (90.79 *(Crescimento!#REF!-Crescimento!#REF!)) - (3.13 * (Crescimento!#REF!-Crescimento!#REF!)^2)</f>
        <v>#REF!</v>
      </c>
      <c r="BD29" s="23"/>
      <c r="BE29" s="21" t="e">
        <f>((BF28+(Crescimento!#REF!-(BF28*0.64))/0.8)/1000)-Crescimento!#REF!</f>
        <v>#REF!</v>
      </c>
      <c r="BF29" s="22" t="e">
        <f>-53.07 + (304.89 * (BE29)) + (90.79 *(Crescimento!#REF!-Crescimento!#REF!)) - (3.13 * (Crescimento!#REF!-Crescimento!#REF!)^2)</f>
        <v>#REF!</v>
      </c>
      <c r="BG29" s="23"/>
      <c r="BH29" s="21" t="e">
        <f>((BI28+(Crescimento!#REF!-(BI28*0.64))/0.8)/1000)-Crescimento!#REF!</f>
        <v>#REF!</v>
      </c>
      <c r="BI29" s="22" t="e">
        <f>-53.07 + (304.89 * (BH29)) + (90.79 *(Crescimento!#REF!-Crescimento!#REF!)) - (3.13 * (Crescimento!#REF!-Crescimento!#REF!)^2)</f>
        <v>#REF!</v>
      </c>
      <c r="BJ29" s="23"/>
      <c r="BK29" s="21" t="e">
        <f>((BL28+(Crescimento!#REF!-(BL28*0.64))/0.8)/1000)-Crescimento!#REF!</f>
        <v>#REF!</v>
      </c>
      <c r="BL29" s="22" t="e">
        <f>-53.07 + (304.89 * (BK29)) + (90.79 *(Crescimento!#REF!-Crescimento!#REF!)) - (3.13 * (Crescimento!#REF!-Crescimento!#REF!)^2)</f>
        <v>#REF!</v>
      </c>
      <c r="BM29" s="23"/>
      <c r="BN29" s="21" t="e">
        <f>((BO28+(Crescimento!#REF!-(BO28*0.64))/0.8)/1000)-Crescimento!#REF!</f>
        <v>#REF!</v>
      </c>
      <c r="BO29" s="22" t="e">
        <f>-53.07 + (304.89 * (BN29)) + (90.79 *(Crescimento!#REF!-Crescimento!#REF!)) - (3.13 * (Crescimento!#REF!-Crescimento!#REF!)^2)</f>
        <v>#REF!</v>
      </c>
      <c r="BP29" s="23"/>
      <c r="BQ29" s="21" t="e">
        <f>((BR28+(Crescimento!#REF!-(BR28*0.64))/0.8)/1000)-Crescimento!#REF!</f>
        <v>#REF!</v>
      </c>
      <c r="BR29" s="22" t="e">
        <f>-53.07 + (304.89 * (BQ29)) + (90.79 *(Crescimento!#REF!-Crescimento!#REF!)) - (3.13 * (Crescimento!#REF!-Crescimento!#REF!)^2)</f>
        <v>#REF!</v>
      </c>
      <c r="BS29" s="23"/>
      <c r="BT29" s="21" t="e">
        <f>((BU28+(Crescimento!#REF!-(BU28*0.64))/0.8)/1000)-Crescimento!#REF!</f>
        <v>#REF!</v>
      </c>
      <c r="BU29" s="22" t="e">
        <f>-53.07 + (304.89 * (BT29)) + (90.79 *(Crescimento!#REF!-Crescimento!#REF!)) - (3.13 * (Crescimento!#REF!-Crescimento!#REF!)^2)</f>
        <v>#REF!</v>
      </c>
      <c r="BV29" s="23"/>
      <c r="BW29" s="21" t="e">
        <f>((BX28+(Crescimento!#REF!-(BX28*0.64))/0.8)/1000)-Crescimento!#REF!</f>
        <v>#REF!</v>
      </c>
      <c r="BX29" s="22" t="e">
        <f>-53.07 + (304.89 * (BW29)) + (90.79 *(Crescimento!#REF!-Crescimento!#REF!)) - (3.13 * (Crescimento!#REF!-Crescimento!#REF!)^2)</f>
        <v>#REF!</v>
      </c>
      <c r="BY29" s="23"/>
      <c r="BZ29" s="21" t="e">
        <f>((CA28+(Crescimento!#REF!-(CA28*0.64))/0.8)/1000)-Crescimento!#REF!</f>
        <v>#REF!</v>
      </c>
      <c r="CA29" s="22" t="e">
        <f>-53.07 + (304.89 * (BZ29)) + (90.79 *(Crescimento!#REF!-Crescimento!#REF!)) - (3.13 * (Crescimento!#REF!-Crescimento!#REF!)^2)</f>
        <v>#REF!</v>
      </c>
      <c r="CB29" s="23"/>
      <c r="CC29" s="21" t="e">
        <f>((CD28+(Crescimento!#REF!-(CD28*0.64))/0.8)/1000)-Crescimento!#REF!</f>
        <v>#REF!</v>
      </c>
      <c r="CD29" s="22" t="e">
        <f>-53.07 + (304.89 * (CC29)) + (90.79 *(Crescimento!#REF!-Crescimento!#REF!)) - (3.13 * (Crescimento!#REF!-Crescimento!#REF!)^2)</f>
        <v>#REF!</v>
      </c>
      <c r="CE29" s="23"/>
      <c r="CF29" s="21" t="e">
        <f>((CG28+(Crescimento!#REF!-(CG28*0.64))/0.8)/1000)-Crescimento!#REF!</f>
        <v>#REF!</v>
      </c>
      <c r="CG29" s="22" t="e">
        <f>-53.07 + (304.89 * (CF29)) + (90.79 *(Crescimento!#REF!-Crescimento!#REF!)) - (3.13 * (Crescimento!#REF!-Crescimento!#REF!)^2)</f>
        <v>#REF!</v>
      </c>
      <c r="CH29" s="23"/>
      <c r="CI29" s="21" t="e">
        <f>((CJ28+(Crescimento!#REF!-(CJ28*0.64))/0.8)/1000)-Crescimento!#REF!</f>
        <v>#REF!</v>
      </c>
      <c r="CJ29" s="22" t="e">
        <f>-53.07 + (304.89 * (CI29)) + (90.79 *(Crescimento!#REF!-Crescimento!#REF!)) - (3.13 * (Crescimento!#REF!-Crescimento!#REF!)^2)</f>
        <v>#REF!</v>
      </c>
      <c r="CK29" s="23"/>
      <c r="CL29" s="21" t="e">
        <f>((CM28+(Crescimento!#REF!-(CM28*0.64))/0.8)/1000)-Crescimento!#REF!</f>
        <v>#REF!</v>
      </c>
      <c r="CM29" s="22" t="e">
        <f>-53.07 + (304.89 * (CL29)) + (90.79 *(Crescimento!#REF!-Crescimento!#REF!)) - (3.13 * (Crescimento!#REF!-Crescimento!#REF!)^2)</f>
        <v>#REF!</v>
      </c>
      <c r="CN29" s="23"/>
      <c r="CO29" s="21" t="e">
        <f>((CP28+(Crescimento!#REF!-(CP28*0.64))/0.8)/1000)-Crescimento!#REF!</f>
        <v>#REF!</v>
      </c>
      <c r="CP29" s="22" t="e">
        <f>-53.07 + (304.89 * (CO29)) + (90.79 *(Crescimento!#REF!-Crescimento!#REF!)) - (3.13 * (Crescimento!#REF!-Crescimento!#REF!)^2)</f>
        <v>#REF!</v>
      </c>
      <c r="CQ29" s="23"/>
      <c r="CR29" s="21" t="e">
        <f>((CS28+(Crescimento!#REF!-(CS28*0.64))/0.8)/1000)-Crescimento!#REF!</f>
        <v>#REF!</v>
      </c>
      <c r="CS29" s="22" t="e">
        <f>-53.07 + (304.89 * (CR29)) + (90.79 *(Crescimento!#REF!-Crescimento!#REF!)) - (3.13 * (Crescimento!#REF!-Crescimento!#REF!)^2)</f>
        <v>#REF!</v>
      </c>
      <c r="CX29" s="16" t="e">
        <f>((CY28+(Crescimento!#REF!-(CY28*0.64))/0.8)/1000)-Crescimento!#REF!</f>
        <v>#REF!</v>
      </c>
      <c r="CY29" s="17" t="e">
        <f>-53.07 + (304.89 * (CX29)) + (90.79 *(Crescimento!#REF!-Crescimento!#REF!)) - (3.13 * (Crescimento!#REF!-Crescimento!#REF!)^2)</f>
        <v>#REF!</v>
      </c>
      <c r="DA29" s="16" t="e">
        <f>((DB28+(Crescimento!#REF!-(DB28*0.64))/0.8)/1000)-Crescimento!#REF!</f>
        <v>#REF!</v>
      </c>
      <c r="DB29" s="17" t="e">
        <f>-53.07 + (304.89 * (DA29)) + (90.79 *(Crescimento!#REF!-Crescimento!#REF!)) - (3.13 * (Crescimento!#REF!-Crescimento!#REF!)^2)</f>
        <v>#REF!</v>
      </c>
      <c r="DD29" s="16" t="e">
        <f>(DE28+(Crescimento!#REF!-(DE28*0.64))/0.8)/1000</f>
        <v>#REF!</v>
      </c>
      <c r="DE29" s="17" t="e">
        <f>-53.07 + (304.89 * (DD29)) + (90.79 *Crescimento!#REF!) - (3.13 * Crescimento!#REF!*Crescimento!#REF!)</f>
        <v>#REF!</v>
      </c>
      <c r="DG29" s="16" t="e">
        <f>((DH28+(Crescimento!#REF!-(DH28*0.64))/0.8)/1000)-Crescimento!#REF!</f>
        <v>#REF!</v>
      </c>
      <c r="DH29" s="17" t="e">
        <f>-53.07 + (304.89 * (DG29)) + (90.79 *(Crescimento!#REF!-Crescimento!#REF!)) - (3.13 * (Crescimento!#REF!-Crescimento!#REF!)^2)</f>
        <v>#REF!</v>
      </c>
      <c r="DJ29" s="16" t="e">
        <f>((DK28+(Crescimento!#REF!-(DK28*0.64))/0.8)/1000)-Crescimento!#REF!</f>
        <v>#REF!</v>
      </c>
      <c r="DK29" s="17" t="e">
        <f>-53.07 + (304.89 * (DJ29)) + (90.79 *(Crescimento!#REF!-Crescimento!#REF!)) - (3.13 * (Crescimento!#REF!-Crescimento!#REF!)^2)</f>
        <v>#REF!</v>
      </c>
      <c r="DM29" s="16" t="e">
        <f>((DN28+(Crescimento!#REF!-(DN28*0.64))/0.8)/1000)-Crescimento!#REF!</f>
        <v>#REF!</v>
      </c>
      <c r="DN29" s="17" t="e">
        <f>-53.07 + (304.89 * (DM29)) + (90.79 *(Crescimento!#REF!-Crescimento!#REF!)) - (3.13 * (Crescimento!#REF!-Crescimento!#REF!)^2)</f>
        <v>#REF!</v>
      </c>
      <c r="DP29" s="16" t="e">
        <f>(DQ28+(Crescimento!#REF!-(DQ28*0.64))/0.8)/1000</f>
        <v>#REF!</v>
      </c>
      <c r="DQ29" s="17" t="e">
        <f>-53.07 + (304.89 * (DP29)) + (90.79 *(Crescimento!#REF!-Crescimento!#REF!)) - (3.13 * (Crescimento!#REF!-Crescimento!#REF!)^2)</f>
        <v>#REF!</v>
      </c>
      <c r="DS29" s="16" t="e">
        <f>((DT28+(Crescimento!#REF!-(DT28*0.64))/0.8)/1000)-Crescimento!#REF!</f>
        <v>#REF!</v>
      </c>
      <c r="DT29" s="17" t="e">
        <f>-53.07 + (304.89 * (DS29)) + (90.79 *(Crescimento!#REF!-Crescimento!#REF!)) - (3.13 * (Crescimento!#REF!-Crescimento!#REF!)^2)</f>
        <v>#REF!</v>
      </c>
      <c r="DV29" s="16" t="e">
        <f>((DW28+(Crescimento!#REF!-(DW28*0.64))/0.8)/1000)-Crescimento!#REF!</f>
        <v>#REF!</v>
      </c>
      <c r="DW29" s="17" t="e">
        <f>-53.07 + (304.89 * (DV29)) + (90.79 *(Crescimento!#REF!-Crescimento!#REF!)) - (3.13 * (Crescimento!#REF!-Crescimento!#REF!)^2)</f>
        <v>#REF!</v>
      </c>
      <c r="DY29" s="16" t="e">
        <f>((DZ28+(Crescimento!#REF!-(DZ28*0.64))/0.8)/1000)-Crescimento!#REF!</f>
        <v>#REF!</v>
      </c>
      <c r="DZ29" s="17" t="e">
        <f>-53.07 + (304.89 * (DY29)) + (90.79 *(Crescimento!#REF!-Crescimento!#REF!)) - (3.13 * (Crescimento!#REF!-Crescimento!#REF!)^2)</f>
        <v>#REF!</v>
      </c>
      <c r="EB29" s="16" t="e">
        <f>((EC28+(Crescimento!#REF!-(EC28*0.64))/0.8)/1000)-Crescimento!#REF!</f>
        <v>#REF!</v>
      </c>
      <c r="EC29" s="17" t="e">
        <f>-53.07 + (304.89 * (EB29)) + (90.79 *(Crescimento!#REF!-Crescimento!#REF!)) - (3.13 * (Crescimento!#REF!-Crescimento!#REF!)^2)</f>
        <v>#REF!</v>
      </c>
      <c r="EE29" s="16" t="e">
        <f>((EF28+(Crescimento!#REF!-(EF28*0.64))/0.8)/1000)-Crescimento!#REF!</f>
        <v>#REF!</v>
      </c>
      <c r="EF29" s="17" t="e">
        <f>-53.07 + (304.89 * (EE29)) + (90.79 *(Crescimento!#REF!-Crescimento!#REF!)) - (3.13 * (Crescimento!#REF!-Crescimento!#REF!)^2)</f>
        <v>#REF!</v>
      </c>
      <c r="EH29" s="16" t="e">
        <f>((EI28+(Crescimento!#REF!-(EI28*0.64))/0.8)/1000)-Crescimento!#REF!</f>
        <v>#REF!</v>
      </c>
      <c r="EI29" s="17" t="e">
        <f>-53.07 + (304.89 * (EH29)) + (90.79 *(Crescimento!#REF!-Crescimento!#REF!)) - (3.13 * (Crescimento!#REF!-Crescimento!#REF!)^2)</f>
        <v>#REF!</v>
      </c>
      <c r="EK29" s="16" t="e">
        <f>((EL28+(Crescimento!#REF!-(EL28*0.64))/0.8)/1000)-Crescimento!#REF!</f>
        <v>#REF!</v>
      </c>
      <c r="EL29" s="17" t="e">
        <f>-53.07 + (304.89 * (EK29)) + (90.79 *(Crescimento!#REF!-Crescimento!#REF!)) - (3.13 * (Crescimento!#REF!-Crescimento!#REF!)^2)</f>
        <v>#REF!</v>
      </c>
      <c r="EN29" s="16" t="e">
        <f>((EO28+(Crescimento!#REF!-(EO28*0.64))/0.8)/1000)-Crescimento!#REF!</f>
        <v>#REF!</v>
      </c>
      <c r="EO29" s="17" t="e">
        <f>-53.07 + (304.89 * (EN29)) + (90.79 *(Crescimento!#REF!-Crescimento!#REF!)) - (3.13 * (Crescimento!#REF!-Crescimento!#REF!)^2)</f>
        <v>#REF!</v>
      </c>
      <c r="EQ29" s="16" t="e">
        <f>((ER28+(Crescimento!#REF!-(ER28*0.64))/0.8)/1000)-Crescimento!#REF!</f>
        <v>#REF!</v>
      </c>
      <c r="ER29" s="17" t="e">
        <f>-53.07 + (304.89 * (EQ29)) + (90.79 *(Crescimento!#REF!-Crescimento!#REF!)) - (3.13 * (Crescimento!#REF!-Crescimento!#REF!)^2)</f>
        <v>#REF!</v>
      </c>
      <c r="ET29" s="16" t="e">
        <f>((EU28+(Crescimento!#REF!-(EU28*0.64))/0.8)/1000)-Crescimento!#REF!</f>
        <v>#REF!</v>
      </c>
      <c r="EU29" s="17" t="e">
        <f>-53.07 + (304.89 * (ET29)) + (90.79 *(Crescimento!#REF!-Crescimento!#REF!)) - (3.13 * (Crescimento!#REF!-Crescimento!#REF!)^2)</f>
        <v>#REF!</v>
      </c>
      <c r="EW29" s="16" t="e">
        <f>((EX28+('Vacas e Bezerros'!#REF!-(EX28*0.64))/0.8)/1000)-'Vacas e Bezerros'!#REF!</f>
        <v>#REF!</v>
      </c>
      <c r="EX29" s="17" t="e">
        <f>-53.07 + (304.89 * (EW29)) + (90.79 *('Vacas e Bezerros'!#REF!-'Vacas e Bezerros'!#REF!)) - (3.13 * ('Vacas e Bezerros'!#REF!-'Vacas e Bezerros'!#REF!)^2)</f>
        <v>#REF!</v>
      </c>
      <c r="EZ29" s="16" t="e">
        <f>((FA28+('Vacas e Bezerros'!#REF!-(FA28*0.64))/0.8)/1000)-'Vacas e Bezerros'!#REF!</f>
        <v>#REF!</v>
      </c>
      <c r="FA29" s="17" t="e">
        <f>-53.07 + (304.89 * (EZ29)) + (90.79 *('Vacas e Bezerros'!#REF!-'Vacas e Bezerros'!#REF!)) - (3.13 * ('Vacas e Bezerros'!#REF!-'Vacas e Bezerros'!#REF!)^2)</f>
        <v>#REF!</v>
      </c>
      <c r="FC29" s="16" t="e">
        <f>((FD28+('Vacas e Bezerros'!#REF!-(FD28*0.64))/0.8)/1000)-'Vacas e Bezerros'!#REF!</f>
        <v>#REF!</v>
      </c>
      <c r="FD29" s="17" t="e">
        <f>-53.07 + (304.89 * (FC29)) + (90.79 *('Vacas e Bezerros'!#REF!-'Vacas e Bezerros'!#REF!)) - (3.13 * ('Vacas e Bezerros'!#REF!-'Vacas e Bezerros'!#REF!)^2)</f>
        <v>#REF!</v>
      </c>
      <c r="FF29" s="16" t="e">
        <f>((FG28+('Vacas e Bezerros'!#REF!-(FG28*0.64))/0.8)/1000)-'Vacas e Bezerros'!#REF!</f>
        <v>#REF!</v>
      </c>
      <c r="FG29" s="17" t="e">
        <f>-53.07 + (304.89 * (FF29)) + (90.79 *('Vacas e Bezerros'!#REF!-'Vacas e Bezerros'!#REF!)) - (3.13 * ('Vacas e Bezerros'!#REF!-'Vacas e Bezerros'!#REF!)^2)</f>
        <v>#REF!</v>
      </c>
      <c r="FI29" s="16" t="e">
        <f>((FJ28+('Vacas e Bezerros'!#REF!-(FJ28*0.64))/0.8)/1000)-'Vacas e Bezerros'!#REF!</f>
        <v>#REF!</v>
      </c>
      <c r="FJ29" s="17" t="e">
        <f>-53.07 + (304.89 * (FI29)) + (90.79 *('Vacas e Bezerros'!#REF!-'Vacas e Bezerros'!#REF!)) - (3.13 * ('Vacas e Bezerros'!#REF!-'Vacas e Bezerros'!#REF!)^2)</f>
        <v>#REF!</v>
      </c>
      <c r="FL29" s="16" t="e">
        <f>((FM28+('Vacas e Bezerros'!#REF!-(FM28*0.64))/0.8)/1000)-'Vacas e Bezerros'!#REF!</f>
        <v>#REF!</v>
      </c>
      <c r="FM29" s="17" t="e">
        <f>-53.07 + (304.89 * (FL29)) + (90.79 *('Vacas e Bezerros'!#REF!-'Vacas e Bezerros'!#REF!)) - (3.13 * ('Vacas e Bezerros'!#REF!-'Vacas e Bezerros'!#REF!)^2)</f>
        <v>#REF!</v>
      </c>
      <c r="FO29" s="16" t="e">
        <f>((FP28+('Vacas e Bezerros'!#REF!-(FP28*0.64))/0.8)/1000)-'Vacas e Bezerros'!#REF!</f>
        <v>#REF!</v>
      </c>
      <c r="FP29" s="17" t="e">
        <f>-53.07 + (304.89 * (FO29)) + (90.79 *('Vacas e Bezerros'!#REF!-'Vacas e Bezerros'!#REF!)) - (3.13 * ('Vacas e Bezerros'!#REF!-'Vacas e Bezerros'!#REF!)^2)</f>
        <v>#REF!</v>
      </c>
      <c r="FR29" s="16" t="e">
        <f>((FS28+('Vacas e Bezerros'!#REF!-(FS28*0.64))/0.8)/1000)-'Vacas e Bezerros'!#REF!</f>
        <v>#REF!</v>
      </c>
      <c r="FS29" s="17" t="e">
        <f>-53.07 + (304.89 * (FR29)) + (90.79 *('Vacas e Bezerros'!#REF!-'Vacas e Bezerros'!#REF!)) - (3.13 * ('Vacas e Bezerros'!#REF!-'Vacas e Bezerros'!#REF!)^2)</f>
        <v>#REF!</v>
      </c>
      <c r="FU29" s="16" t="e">
        <f>((FV28+('Vacas e Bezerros'!#REF!-(FV28*0.64))/0.8)/1000)-'Vacas e Bezerros'!#REF!</f>
        <v>#REF!</v>
      </c>
      <c r="FV29" s="17" t="e">
        <f>-53.07 + (304.89 * (FU29)) + (90.79 *('Vacas e Bezerros'!#REF!-'Vacas e Bezerros'!#REF!)) - (3.13 * ('Vacas e Bezerros'!#REF!-'Vacas e Bezerros'!#REF!)^2)</f>
        <v>#REF!</v>
      </c>
      <c r="FX29" s="16" t="e">
        <f>((FY28+('Vacas e Bezerros'!#REF!-(FY28*0.64))/0.8)/1000)-'Vacas e Bezerros'!#REF!</f>
        <v>#REF!</v>
      </c>
      <c r="FY29" s="17" t="e">
        <f>-53.07 + (304.89 * (FX29)) + (90.79 *('Vacas e Bezerros'!#REF!-'Vacas e Bezerros'!#REF!)) - (3.13 * ('Vacas e Bezerros'!#REF!-'Vacas e Bezerros'!#REF!)^2)</f>
        <v>#REF!</v>
      </c>
      <c r="GA29" s="16" t="e">
        <f>((GB28+('Vacas e Bezerros'!#REF!-(GB28*0.64))/0.8)/1000)-'Vacas e Bezerros'!#REF!</f>
        <v>#REF!</v>
      </c>
      <c r="GB29" s="17" t="e">
        <f>-53.07 + (304.89 * (GA29)) + (90.79 *('Vacas e Bezerros'!#REF!-'Vacas e Bezerros'!#REF!)) - (3.13 * ('Vacas e Bezerros'!#REF!-'Vacas e Bezerros'!#REF!)^2)</f>
        <v>#REF!</v>
      </c>
      <c r="GD29" s="16" t="e">
        <f>((GE28+('Vacas e Bezerros'!#REF!-(GE28*0.64))/0.8)/1000)-'Vacas e Bezerros'!#REF!</f>
        <v>#REF!</v>
      </c>
      <c r="GE29" s="17" t="e">
        <f>-53.07 + (304.89 * (GD29)) + (90.79 *('Vacas e Bezerros'!#REF!-'Vacas e Bezerros'!#REF!)) - (3.13 * ('Vacas e Bezerros'!#REF!-'Vacas e Bezerros'!#REF!)^2)</f>
        <v>#REF!</v>
      </c>
      <c r="GG29" s="16" t="e">
        <f>((GH28+('Vacas e Bezerros'!#REF!-(GH28*0.64))/0.8)/1000)-'Vacas e Bezerros'!#REF!</f>
        <v>#REF!</v>
      </c>
      <c r="GH29" s="17" t="e">
        <f>-53.07 + (304.89 * (GG29)) + (90.79 *('Vacas e Bezerros'!#REF!-'Vacas e Bezerros'!#REF!)) - (3.13 * ('Vacas e Bezerros'!#REF!-'Vacas e Bezerros'!#REF!)^2)</f>
        <v>#REF!</v>
      </c>
      <c r="GJ29" s="16" t="e">
        <f>((GK28+('Vacas e Bezerros'!#REF!-(GK28*0.64))/0.8)/1000)-'Vacas e Bezerros'!#REF!</f>
        <v>#REF!</v>
      </c>
      <c r="GK29" s="17" t="e">
        <f>-53.07 + (304.89 * (GJ29)) + (90.79 *('Vacas e Bezerros'!#REF!-'Vacas e Bezerros'!#REF!)) - (3.13 * ('Vacas e Bezerros'!#REF!-'Vacas e Bezerros'!#REF!)^2)</f>
        <v>#REF!</v>
      </c>
      <c r="GM29" s="16" t="e">
        <f>((GN28+('Vacas e Bezerros'!#REF!-(GN28*0.64))/0.8)/1000)-'Vacas e Bezerros'!#REF!</f>
        <v>#REF!</v>
      </c>
      <c r="GN29" s="17" t="e">
        <f>-53.07 + (304.89 * (GM29)) + (90.79 *('Vacas e Bezerros'!#REF!-'Vacas e Bezerros'!#REF!)) - (3.13 * ('Vacas e Bezerros'!#REF!-'Vacas e Bezerros'!#REF!)^2)</f>
        <v>#REF!</v>
      </c>
    </row>
    <row r="30" spans="3:196" x14ac:dyDescent="0.25">
      <c r="C30" s="16">
        <f>(D29+('Vacas e Bezerros'!$AA$28-(D29*0.64))/0.8)/1000</f>
        <v>0.35719668016155687</v>
      </c>
      <c r="D30" s="17">
        <f>-53.07 + (304.89 * (C30-'Vacas e Bezerros'!$C$206)) + (90.79 *('Vacas e Bezerros'!$AA$22)) - (3.13 *('Vacas e Bezerros'!$AA$22)^2)</f>
        <v>165.01876457544017</v>
      </c>
      <c r="F30" s="16" t="e">
        <f>(G29+(Crescimento!#REF!-(G29*0.64))/0.8)/1000</f>
        <v>#REF!</v>
      </c>
      <c r="G30" s="17" t="e">
        <f>-53.07 + (304.89 * (F30)) + (90.79 *Crescimento!#REF!) - (3.13 * Crescimento!#REF!*Crescimento!#REF!)</f>
        <v>#REF!</v>
      </c>
      <c r="H30" s="1"/>
      <c r="I30" s="16" t="e">
        <f>(J29+(Crescimento!#REF!-(J29*0.64))/0.8)/1000</f>
        <v>#REF!</v>
      </c>
      <c r="J30" s="17" t="e">
        <f>-53.07 + (304.89 * (I30)) + (90.79 *Crescimento!#REF!) - (3.13 * Crescimento!#REF!*Crescimento!#REF!)</f>
        <v>#REF!</v>
      </c>
      <c r="L30" s="16" t="e">
        <f>(M29+(Crescimento!#REF!-(M29*0.64))/0.8)/1000</f>
        <v>#REF!</v>
      </c>
      <c r="M30" s="17" t="e">
        <f>-53.07 + (304.89 * (L30)) + (90.79 *Crescimento!#REF!) - (3.13 * Crescimento!#REF!*Crescimento!#REF!)</f>
        <v>#REF!</v>
      </c>
      <c r="O30" s="16" t="e">
        <f>(P29+(Crescimento!#REF!-(P29*0.64))/0.8)/1000</f>
        <v>#REF!</v>
      </c>
      <c r="P30" s="17" t="e">
        <f>-53.07 + (304.89 * (O30)) + (90.79 *Crescimento!#REF!) - (3.13 * Crescimento!#REF!*Crescimento!#REF!)</f>
        <v>#REF!</v>
      </c>
      <c r="R30" s="16" t="e">
        <f>(S29+(Crescimento!#REF!-(S29*0.64))/0.8)/1000</f>
        <v>#REF!</v>
      </c>
      <c r="S30" s="17" t="e">
        <f>-53.07 + (304.89 * (R30)) + (90.79 *Crescimento!#REF!) - (3.13 * Crescimento!#REF!*Crescimento!#REF!)</f>
        <v>#REF!</v>
      </c>
      <c r="U30" s="16" t="e">
        <f>(V29+(Crescimento!#REF!-(V29*0.64))/0.8)/1000</f>
        <v>#REF!</v>
      </c>
      <c r="V30" s="17" t="e">
        <f>-53.07 + (304.89 * (U30)) + (90.79 *Crescimento!#REF!) - (3.13 * Crescimento!#REF!*Crescimento!#REF!)</f>
        <v>#REF!</v>
      </c>
      <c r="X30" s="16" t="e">
        <f>(Y29+(Crescimento!#REF!-(Y29*0.64))/0.8)/1000</f>
        <v>#REF!</v>
      </c>
      <c r="Y30" s="17" t="e">
        <f>-53.07 + (304.89 * (X30)) + (90.79 *Crescimento!#REF!) - (3.13 * Crescimento!#REF!*Crescimento!#REF!)</f>
        <v>#REF!</v>
      </c>
      <c r="Z30" s="6"/>
      <c r="AA30" s="16" t="e">
        <f>(AB29+(Crescimento!#REF!-(AB29*0.64))/0.8)/1000</f>
        <v>#REF!</v>
      </c>
      <c r="AB30" s="17" t="e">
        <f>-53.07 + (304.89 * (AA30)) + (90.79 *Crescimento!#REF!) - (3.13 * Crescimento!#REF!*Crescimento!#REF!)</f>
        <v>#REF!</v>
      </c>
      <c r="AC30" s="6"/>
      <c r="AD30" s="16" t="e">
        <f>(AE29+(Crescimento!#REF!-(AE29*0.64))/0.8)/1000</f>
        <v>#REF!</v>
      </c>
      <c r="AE30" s="17" t="e">
        <f>-53.07 + (304.89 * (AD30)) + (90.79 *Crescimento!#REF!) - (3.13 * Crescimento!#REF!*Crescimento!#REF!)</f>
        <v>#REF!</v>
      </c>
      <c r="AF30" s="17"/>
      <c r="AG30" s="16" t="e">
        <f>(AH29+(Crescimento!#REF!-(AH29*0.64))/0.8)/1000</f>
        <v>#REF!</v>
      </c>
      <c r="AH30" s="17" t="e">
        <f>-53.07 + (304.89 * (AG30)) + (90.79 *Crescimento!#REF!) - (3.13 * Crescimento!#REF!*Crescimento!#REF!)</f>
        <v>#REF!</v>
      </c>
      <c r="AJ30" s="16" t="e">
        <f>(AK29+(Crescimento!#REF!-(AK29*0.64))/0.8)/1000</f>
        <v>#REF!</v>
      </c>
      <c r="AK30" s="17" t="e">
        <f>-53.07 + (304.89 * (AJ30)) + (90.79 *Crescimento!#REF!) - (3.13 * Crescimento!#REF!*Crescimento!#REF!)</f>
        <v>#REF!</v>
      </c>
      <c r="AM30" s="16" t="e">
        <f>(AN29+(Crescimento!#REF!-(AN29*0.64))/0.8)/1000</f>
        <v>#REF!</v>
      </c>
      <c r="AN30" s="17" t="e">
        <f>-53.07 + (304.89 * (AM30)) + (90.79 *Crescimento!#REF!) - (3.13 * Crescimento!#REF!*Crescimento!#REF!)</f>
        <v>#REF!</v>
      </c>
      <c r="AP30" s="16" t="e">
        <f>(AQ29+(Crescimento!#REF!-(AQ29*0.64))/0.8)/1000</f>
        <v>#REF!</v>
      </c>
      <c r="AQ30" s="17" t="e">
        <f>-53.07 + (304.89 * (AP30)) + (90.79 *Crescimento!#REF!) - (3.13 * Crescimento!#REF!*Crescimento!#REF!)</f>
        <v>#REF!</v>
      </c>
      <c r="AS30" s="16" t="e">
        <f>(AT29+(Crescimento!#REF!-(AT29*0.64))/0.8)/1000</f>
        <v>#REF!</v>
      </c>
      <c r="AT30" s="17" t="e">
        <f>-53.07 + (304.89 * (AS30)) + (90.79 *Crescimento!#REF!) - (3.13 * Crescimento!#REF!*Crescimento!#REF!)</f>
        <v>#REF!</v>
      </c>
      <c r="AV30" s="16" t="e">
        <f>(AW29+(Crescimento!#REF!-(AW29*0.64))/0.8)/1000</f>
        <v>#REF!</v>
      </c>
      <c r="AW30" s="17" t="e">
        <f>-53.07 + (304.89 * (AV30)) + (90.79 *Crescimento!#REF!) - (3.13 * Crescimento!#REF!*Crescimento!#REF!)</f>
        <v>#REF!</v>
      </c>
      <c r="AY30" s="21" t="e">
        <f>((AZ29+(Crescimento!#REF!-(AZ29*0.64))/0.8)/1000)-Crescimento!#REF!</f>
        <v>#REF!</v>
      </c>
      <c r="AZ30" s="22" t="e">
        <f>-53.07 + (304.89 * (AY30)) + (90.79 *(Crescimento!#REF!-Crescimento!#REF!)) - (3.13 * (Crescimento!#REF!-Crescimento!#REF!)^2)</f>
        <v>#REF!</v>
      </c>
      <c r="BA30" s="23"/>
      <c r="BB30" s="21" t="e">
        <f>((BC29+(Crescimento!#REF!-(BC29*0.64))/0.8)/1000)-Crescimento!#REF!</f>
        <v>#REF!</v>
      </c>
      <c r="BC30" s="22" t="e">
        <f>-53.07 + (304.89 * (BB30)) + (90.79 *(Crescimento!#REF!-Crescimento!#REF!)) - (3.13 * (Crescimento!#REF!-Crescimento!#REF!)^2)</f>
        <v>#REF!</v>
      </c>
      <c r="BD30" s="23"/>
      <c r="BE30" s="21" t="e">
        <f>((BF29+(Crescimento!#REF!-(BF29*0.64))/0.8)/1000)-Crescimento!#REF!</f>
        <v>#REF!</v>
      </c>
      <c r="BF30" s="22" t="e">
        <f>-53.07 + (304.89 * (BE30)) + (90.79 *(Crescimento!#REF!-Crescimento!#REF!)) - (3.13 * (Crescimento!#REF!-Crescimento!#REF!)^2)</f>
        <v>#REF!</v>
      </c>
      <c r="BG30" s="23"/>
      <c r="BH30" s="21" t="e">
        <f>((BI29+(Crescimento!#REF!-(BI29*0.64))/0.8)/1000)-Crescimento!#REF!</f>
        <v>#REF!</v>
      </c>
      <c r="BI30" s="22" t="e">
        <f>-53.07 + (304.89 * (BH30)) + (90.79 *(Crescimento!#REF!-Crescimento!#REF!)) - (3.13 * (Crescimento!#REF!-Crescimento!#REF!)^2)</f>
        <v>#REF!</v>
      </c>
      <c r="BJ30" s="23"/>
      <c r="BK30" s="21" t="e">
        <f>((BL29+(Crescimento!#REF!-(BL29*0.64))/0.8)/1000)-Crescimento!#REF!</f>
        <v>#REF!</v>
      </c>
      <c r="BL30" s="22" t="e">
        <f>-53.07 + (304.89 * (BK30)) + (90.79 *(Crescimento!#REF!-Crescimento!#REF!)) - (3.13 * (Crescimento!#REF!-Crescimento!#REF!)^2)</f>
        <v>#REF!</v>
      </c>
      <c r="BM30" s="23"/>
      <c r="BN30" s="21" t="e">
        <f>((BO29+(Crescimento!#REF!-(BO29*0.64))/0.8)/1000)-Crescimento!#REF!</f>
        <v>#REF!</v>
      </c>
      <c r="BO30" s="22" t="e">
        <f>-53.07 + (304.89 * (BN30)) + (90.79 *(Crescimento!#REF!-Crescimento!#REF!)) - (3.13 * (Crescimento!#REF!-Crescimento!#REF!)^2)</f>
        <v>#REF!</v>
      </c>
      <c r="BP30" s="23"/>
      <c r="BQ30" s="21" t="e">
        <f>((BR29+(Crescimento!#REF!-(BR29*0.64))/0.8)/1000)-Crescimento!#REF!</f>
        <v>#REF!</v>
      </c>
      <c r="BR30" s="22" t="e">
        <f>-53.07 + (304.89 * (BQ30)) + (90.79 *(Crescimento!#REF!-Crescimento!#REF!)) - (3.13 * (Crescimento!#REF!-Crescimento!#REF!)^2)</f>
        <v>#REF!</v>
      </c>
      <c r="BS30" s="23"/>
      <c r="BT30" s="21" t="e">
        <f>((BU29+(Crescimento!#REF!-(BU29*0.64))/0.8)/1000)-Crescimento!#REF!</f>
        <v>#REF!</v>
      </c>
      <c r="BU30" s="22" t="e">
        <f>-53.07 + (304.89 * (BT30)) + (90.79 *(Crescimento!#REF!-Crescimento!#REF!)) - (3.13 * (Crescimento!#REF!-Crescimento!#REF!)^2)</f>
        <v>#REF!</v>
      </c>
      <c r="BV30" s="23"/>
      <c r="BW30" s="21" t="e">
        <f>((BX29+(Crescimento!#REF!-(BX29*0.64))/0.8)/1000)-Crescimento!#REF!</f>
        <v>#REF!</v>
      </c>
      <c r="BX30" s="22" t="e">
        <f>-53.07 + (304.89 * (BW30)) + (90.79 *(Crescimento!#REF!-Crescimento!#REF!)) - (3.13 * (Crescimento!#REF!-Crescimento!#REF!)^2)</f>
        <v>#REF!</v>
      </c>
      <c r="BY30" s="23"/>
      <c r="BZ30" s="21" t="e">
        <f>((CA29+(Crescimento!#REF!-(CA29*0.64))/0.8)/1000)-Crescimento!#REF!</f>
        <v>#REF!</v>
      </c>
      <c r="CA30" s="22" t="e">
        <f>-53.07 + (304.89 * (BZ30)) + (90.79 *(Crescimento!#REF!-Crescimento!#REF!)) - (3.13 * (Crescimento!#REF!-Crescimento!#REF!)^2)</f>
        <v>#REF!</v>
      </c>
      <c r="CB30" s="23"/>
      <c r="CC30" s="21" t="e">
        <f>((CD29+(Crescimento!#REF!-(CD29*0.64))/0.8)/1000)-Crescimento!#REF!</f>
        <v>#REF!</v>
      </c>
      <c r="CD30" s="22" t="e">
        <f>-53.07 + (304.89 * (CC30)) + (90.79 *(Crescimento!#REF!-Crescimento!#REF!)) - (3.13 * (Crescimento!#REF!-Crescimento!#REF!)^2)</f>
        <v>#REF!</v>
      </c>
      <c r="CE30" s="23"/>
      <c r="CF30" s="21" t="e">
        <f>((CG29+(Crescimento!#REF!-(CG29*0.64))/0.8)/1000)-Crescimento!#REF!</f>
        <v>#REF!</v>
      </c>
      <c r="CG30" s="22" t="e">
        <f>-53.07 + (304.89 * (CF30)) + (90.79 *(Crescimento!#REF!-Crescimento!#REF!)) - (3.13 * (Crescimento!#REF!-Crescimento!#REF!)^2)</f>
        <v>#REF!</v>
      </c>
      <c r="CH30" s="23"/>
      <c r="CI30" s="21" t="e">
        <f>((CJ29+(Crescimento!#REF!-(CJ29*0.64))/0.8)/1000)-Crescimento!#REF!</f>
        <v>#REF!</v>
      </c>
      <c r="CJ30" s="22" t="e">
        <f>-53.07 + (304.89 * (CI30)) + (90.79 *(Crescimento!#REF!-Crescimento!#REF!)) - (3.13 * (Crescimento!#REF!-Crescimento!#REF!)^2)</f>
        <v>#REF!</v>
      </c>
      <c r="CK30" s="23"/>
      <c r="CL30" s="21" t="e">
        <f>((CM29+(Crescimento!#REF!-(CM29*0.64))/0.8)/1000)-Crescimento!#REF!</f>
        <v>#REF!</v>
      </c>
      <c r="CM30" s="22" t="e">
        <f>-53.07 + (304.89 * (CL30)) + (90.79 *(Crescimento!#REF!-Crescimento!#REF!)) - (3.13 * (Crescimento!#REF!-Crescimento!#REF!)^2)</f>
        <v>#REF!</v>
      </c>
      <c r="CN30" s="23"/>
      <c r="CO30" s="21" t="e">
        <f>((CP29+(Crescimento!#REF!-(CP29*0.64))/0.8)/1000)-Crescimento!#REF!</f>
        <v>#REF!</v>
      </c>
      <c r="CP30" s="22" t="e">
        <f>-53.07 + (304.89 * (CO30)) + (90.79 *(Crescimento!#REF!-Crescimento!#REF!)) - (3.13 * (Crescimento!#REF!-Crescimento!#REF!)^2)</f>
        <v>#REF!</v>
      </c>
      <c r="CQ30" s="23"/>
      <c r="CR30" s="21" t="e">
        <f>((CS29+(Crescimento!#REF!-(CS29*0.64))/0.8)/1000)-Crescimento!#REF!</f>
        <v>#REF!</v>
      </c>
      <c r="CS30" s="22" t="e">
        <f>-53.07 + (304.89 * (CR30)) + (90.79 *(Crescimento!#REF!-Crescimento!#REF!)) - (3.13 * (Crescimento!#REF!-Crescimento!#REF!)^2)</f>
        <v>#REF!</v>
      </c>
      <c r="CX30" s="16" t="e">
        <f>((CY29+(Crescimento!#REF!-(CY29*0.64))/0.8)/1000)-Crescimento!#REF!</f>
        <v>#REF!</v>
      </c>
      <c r="CY30" s="17" t="e">
        <f>-53.07 + (304.89 * (CX30)) + (90.79 *(Crescimento!#REF!-Crescimento!#REF!)) - (3.13 * (Crescimento!#REF!-Crescimento!#REF!)^2)</f>
        <v>#REF!</v>
      </c>
      <c r="DA30" s="16" t="e">
        <f>((DB29+(Crescimento!#REF!-(DB29*0.64))/0.8)/1000)-Crescimento!#REF!</f>
        <v>#REF!</v>
      </c>
      <c r="DB30" s="17" t="e">
        <f>-53.07 + (304.89 * (DA30)) + (90.79 *(Crescimento!#REF!-Crescimento!#REF!)) - (3.13 * (Crescimento!#REF!-Crescimento!#REF!)^2)</f>
        <v>#REF!</v>
      </c>
      <c r="DD30" s="16" t="e">
        <f>(DE29+(Crescimento!#REF!-(DE29*0.64))/0.8)/1000</f>
        <v>#REF!</v>
      </c>
      <c r="DE30" s="17" t="e">
        <f>-53.07 + (304.89 * (DD30)) + (90.79 *Crescimento!#REF!) - (3.13 * Crescimento!#REF!*Crescimento!#REF!)</f>
        <v>#REF!</v>
      </c>
      <c r="DG30" s="16" t="e">
        <f>((DH29+(Crescimento!#REF!-(DH29*0.64))/0.8)/1000)-Crescimento!#REF!</f>
        <v>#REF!</v>
      </c>
      <c r="DH30" s="17" t="e">
        <f>-53.07 + (304.89 * (DG30)) + (90.79 *(Crescimento!#REF!-Crescimento!#REF!)) - (3.13 * (Crescimento!#REF!-Crescimento!#REF!)^2)</f>
        <v>#REF!</v>
      </c>
      <c r="DJ30" s="16" t="e">
        <f>((DK29+(Crescimento!#REF!-(DK29*0.64))/0.8)/1000)-Crescimento!#REF!</f>
        <v>#REF!</v>
      </c>
      <c r="DK30" s="17" t="e">
        <f>-53.07 + (304.89 * (DJ30)) + (90.79 *(Crescimento!#REF!-Crescimento!#REF!)) - (3.13 * (Crescimento!#REF!-Crescimento!#REF!)^2)</f>
        <v>#REF!</v>
      </c>
      <c r="DM30" s="16" t="e">
        <f>((DN29+(Crescimento!#REF!-(DN29*0.64))/0.8)/1000)-Crescimento!#REF!</f>
        <v>#REF!</v>
      </c>
      <c r="DN30" s="17" t="e">
        <f>-53.07 + (304.89 * (DM30)) + (90.79 *(Crescimento!#REF!-Crescimento!#REF!)) - (3.13 * (Crescimento!#REF!-Crescimento!#REF!)^2)</f>
        <v>#REF!</v>
      </c>
      <c r="DP30" s="16" t="e">
        <f>(DQ29+(Crescimento!#REF!-(DQ29*0.64))/0.8)/1000</f>
        <v>#REF!</v>
      </c>
      <c r="DQ30" s="17" t="e">
        <f>-53.07 + (304.89 * (DP30)) + (90.79 *(Crescimento!#REF!-Crescimento!#REF!)) - (3.13 * (Crescimento!#REF!-Crescimento!#REF!)^2)</f>
        <v>#REF!</v>
      </c>
      <c r="DS30" s="16" t="e">
        <f>((DT29+(Crescimento!#REF!-(DT29*0.64))/0.8)/1000)-Crescimento!#REF!</f>
        <v>#REF!</v>
      </c>
      <c r="DT30" s="17" t="e">
        <f>-53.07 + (304.89 * (DS30)) + (90.79 *(Crescimento!#REF!-Crescimento!#REF!)) - (3.13 * (Crescimento!#REF!-Crescimento!#REF!)^2)</f>
        <v>#REF!</v>
      </c>
      <c r="DV30" s="16" t="e">
        <f>((DW29+(Crescimento!#REF!-(DW29*0.64))/0.8)/1000)-Crescimento!#REF!</f>
        <v>#REF!</v>
      </c>
      <c r="DW30" s="17" t="e">
        <f>-53.07 + (304.89 * (DV30)) + (90.79 *(Crescimento!#REF!-Crescimento!#REF!)) - (3.13 * (Crescimento!#REF!-Crescimento!#REF!)^2)</f>
        <v>#REF!</v>
      </c>
      <c r="DY30" s="16" t="e">
        <f>((DZ29+(Crescimento!#REF!-(DZ29*0.64))/0.8)/1000)-Crescimento!#REF!</f>
        <v>#REF!</v>
      </c>
      <c r="DZ30" s="17" t="e">
        <f>-53.07 + (304.89 * (DY30)) + (90.79 *(Crescimento!#REF!-Crescimento!#REF!)) - (3.13 * (Crescimento!#REF!-Crescimento!#REF!)^2)</f>
        <v>#REF!</v>
      </c>
      <c r="EB30" s="16" t="e">
        <f>((EC29+(Crescimento!#REF!-(EC29*0.64))/0.8)/1000)-Crescimento!#REF!</f>
        <v>#REF!</v>
      </c>
      <c r="EC30" s="17" t="e">
        <f>-53.07 + (304.89 * (EB30)) + (90.79 *(Crescimento!#REF!-Crescimento!#REF!)) - (3.13 * (Crescimento!#REF!-Crescimento!#REF!)^2)</f>
        <v>#REF!</v>
      </c>
      <c r="EE30" s="16" t="e">
        <f>((EF29+(Crescimento!#REF!-(EF29*0.64))/0.8)/1000)-Crescimento!#REF!</f>
        <v>#REF!</v>
      </c>
      <c r="EF30" s="17" t="e">
        <f>-53.07 + (304.89 * (EE30)) + (90.79 *(Crescimento!#REF!-Crescimento!#REF!)) - (3.13 * (Crescimento!#REF!-Crescimento!#REF!)^2)</f>
        <v>#REF!</v>
      </c>
      <c r="EH30" s="16" t="e">
        <f>((EI29+(Crescimento!#REF!-(EI29*0.64))/0.8)/1000)-Crescimento!#REF!</f>
        <v>#REF!</v>
      </c>
      <c r="EI30" s="17" t="e">
        <f>-53.07 + (304.89 * (EH30)) + (90.79 *(Crescimento!#REF!-Crescimento!#REF!)) - (3.13 * (Crescimento!#REF!-Crescimento!#REF!)^2)</f>
        <v>#REF!</v>
      </c>
      <c r="EK30" s="16" t="e">
        <f>((EL29+(Crescimento!#REF!-(EL29*0.64))/0.8)/1000)-Crescimento!#REF!</f>
        <v>#REF!</v>
      </c>
      <c r="EL30" s="17" t="e">
        <f>-53.07 + (304.89 * (EK30)) + (90.79 *(Crescimento!#REF!-Crescimento!#REF!)) - (3.13 * (Crescimento!#REF!-Crescimento!#REF!)^2)</f>
        <v>#REF!</v>
      </c>
      <c r="EN30" s="16" t="e">
        <f>((EO29+(Crescimento!#REF!-(EO29*0.64))/0.8)/1000)-Crescimento!#REF!</f>
        <v>#REF!</v>
      </c>
      <c r="EO30" s="17" t="e">
        <f>-53.07 + (304.89 * (EN30)) + (90.79 *(Crescimento!#REF!-Crescimento!#REF!)) - (3.13 * (Crescimento!#REF!-Crescimento!#REF!)^2)</f>
        <v>#REF!</v>
      </c>
      <c r="EQ30" s="16" t="e">
        <f>((ER29+(Crescimento!#REF!-(ER29*0.64))/0.8)/1000)-Crescimento!#REF!</f>
        <v>#REF!</v>
      </c>
      <c r="ER30" s="17" t="e">
        <f>-53.07 + (304.89 * (EQ30)) + (90.79 *(Crescimento!#REF!-Crescimento!#REF!)) - (3.13 * (Crescimento!#REF!-Crescimento!#REF!)^2)</f>
        <v>#REF!</v>
      </c>
      <c r="ET30" s="16" t="e">
        <f>((EU29+(Crescimento!#REF!-(EU29*0.64))/0.8)/1000)-Crescimento!#REF!</f>
        <v>#REF!</v>
      </c>
      <c r="EU30" s="17" t="e">
        <f>-53.07 + (304.89 * (ET30)) + (90.79 *(Crescimento!#REF!-Crescimento!#REF!)) - (3.13 * (Crescimento!#REF!-Crescimento!#REF!)^2)</f>
        <v>#REF!</v>
      </c>
      <c r="EW30" s="16" t="e">
        <f>((EX29+('Vacas e Bezerros'!#REF!-(EX29*0.64))/0.8)/1000)-'Vacas e Bezerros'!#REF!</f>
        <v>#REF!</v>
      </c>
      <c r="EX30" s="17" t="e">
        <f>-53.07 + (304.89 * (EW30)) + (90.79 *('Vacas e Bezerros'!#REF!-'Vacas e Bezerros'!#REF!)) - (3.13 * ('Vacas e Bezerros'!#REF!-'Vacas e Bezerros'!#REF!)^2)</f>
        <v>#REF!</v>
      </c>
      <c r="EZ30" s="16" t="e">
        <f>((FA29+('Vacas e Bezerros'!#REF!-(FA29*0.64))/0.8)/1000)-'Vacas e Bezerros'!#REF!</f>
        <v>#REF!</v>
      </c>
      <c r="FA30" s="17" t="e">
        <f>-53.07 + (304.89 * (EZ30)) + (90.79 *('Vacas e Bezerros'!#REF!-'Vacas e Bezerros'!#REF!)) - (3.13 * ('Vacas e Bezerros'!#REF!-'Vacas e Bezerros'!#REF!)^2)</f>
        <v>#REF!</v>
      </c>
      <c r="FC30" s="16" t="e">
        <f>((FD29+('Vacas e Bezerros'!#REF!-(FD29*0.64))/0.8)/1000)-'Vacas e Bezerros'!#REF!</f>
        <v>#REF!</v>
      </c>
      <c r="FD30" s="17" t="e">
        <f>-53.07 + (304.89 * (FC30)) + (90.79 *('Vacas e Bezerros'!#REF!-'Vacas e Bezerros'!#REF!)) - (3.13 * ('Vacas e Bezerros'!#REF!-'Vacas e Bezerros'!#REF!)^2)</f>
        <v>#REF!</v>
      </c>
      <c r="FF30" s="16" t="e">
        <f>((FG29+('Vacas e Bezerros'!#REF!-(FG29*0.64))/0.8)/1000)-'Vacas e Bezerros'!#REF!</f>
        <v>#REF!</v>
      </c>
      <c r="FG30" s="17" t="e">
        <f>-53.07 + (304.89 * (FF30)) + (90.79 *('Vacas e Bezerros'!#REF!-'Vacas e Bezerros'!#REF!)) - (3.13 * ('Vacas e Bezerros'!#REF!-'Vacas e Bezerros'!#REF!)^2)</f>
        <v>#REF!</v>
      </c>
      <c r="FI30" s="16" t="e">
        <f>((FJ29+('Vacas e Bezerros'!#REF!-(FJ29*0.64))/0.8)/1000)-'Vacas e Bezerros'!#REF!</f>
        <v>#REF!</v>
      </c>
      <c r="FJ30" s="17" t="e">
        <f>-53.07 + (304.89 * (FI30)) + (90.79 *('Vacas e Bezerros'!#REF!-'Vacas e Bezerros'!#REF!)) - (3.13 * ('Vacas e Bezerros'!#REF!-'Vacas e Bezerros'!#REF!)^2)</f>
        <v>#REF!</v>
      </c>
      <c r="FL30" s="16" t="e">
        <f>((FM29+('Vacas e Bezerros'!#REF!-(FM29*0.64))/0.8)/1000)-'Vacas e Bezerros'!#REF!</f>
        <v>#REF!</v>
      </c>
      <c r="FM30" s="17" t="e">
        <f>-53.07 + (304.89 * (FL30)) + (90.79 *('Vacas e Bezerros'!#REF!-'Vacas e Bezerros'!#REF!)) - (3.13 * ('Vacas e Bezerros'!#REF!-'Vacas e Bezerros'!#REF!)^2)</f>
        <v>#REF!</v>
      </c>
      <c r="FO30" s="16" t="e">
        <f>((FP29+('Vacas e Bezerros'!#REF!-(FP29*0.64))/0.8)/1000)-'Vacas e Bezerros'!#REF!</f>
        <v>#REF!</v>
      </c>
      <c r="FP30" s="17" t="e">
        <f>-53.07 + (304.89 * (FO30)) + (90.79 *('Vacas e Bezerros'!#REF!-'Vacas e Bezerros'!#REF!)) - (3.13 * ('Vacas e Bezerros'!#REF!-'Vacas e Bezerros'!#REF!)^2)</f>
        <v>#REF!</v>
      </c>
      <c r="FR30" s="16" t="e">
        <f>((FS29+('Vacas e Bezerros'!#REF!-(FS29*0.64))/0.8)/1000)-'Vacas e Bezerros'!#REF!</f>
        <v>#REF!</v>
      </c>
      <c r="FS30" s="17" t="e">
        <f>-53.07 + (304.89 * (FR30)) + (90.79 *('Vacas e Bezerros'!#REF!-'Vacas e Bezerros'!#REF!)) - (3.13 * ('Vacas e Bezerros'!#REF!-'Vacas e Bezerros'!#REF!)^2)</f>
        <v>#REF!</v>
      </c>
      <c r="FU30" s="16" t="e">
        <f>((FV29+('Vacas e Bezerros'!#REF!-(FV29*0.64))/0.8)/1000)-'Vacas e Bezerros'!#REF!</f>
        <v>#REF!</v>
      </c>
      <c r="FV30" s="17" t="e">
        <f>-53.07 + (304.89 * (FU30)) + (90.79 *('Vacas e Bezerros'!#REF!-'Vacas e Bezerros'!#REF!)) - (3.13 * ('Vacas e Bezerros'!#REF!-'Vacas e Bezerros'!#REF!)^2)</f>
        <v>#REF!</v>
      </c>
      <c r="FX30" s="16" t="e">
        <f>((FY29+('Vacas e Bezerros'!#REF!-(FY29*0.64))/0.8)/1000)-'Vacas e Bezerros'!#REF!</f>
        <v>#REF!</v>
      </c>
      <c r="FY30" s="17" t="e">
        <f>-53.07 + (304.89 * (FX30)) + (90.79 *('Vacas e Bezerros'!#REF!-'Vacas e Bezerros'!#REF!)) - (3.13 * ('Vacas e Bezerros'!#REF!-'Vacas e Bezerros'!#REF!)^2)</f>
        <v>#REF!</v>
      </c>
      <c r="GA30" s="16" t="e">
        <f>((GB29+('Vacas e Bezerros'!#REF!-(GB29*0.64))/0.8)/1000)-'Vacas e Bezerros'!#REF!</f>
        <v>#REF!</v>
      </c>
      <c r="GB30" s="17" t="e">
        <f>-53.07 + (304.89 * (GA30)) + (90.79 *('Vacas e Bezerros'!#REF!-'Vacas e Bezerros'!#REF!)) - (3.13 * ('Vacas e Bezerros'!#REF!-'Vacas e Bezerros'!#REF!)^2)</f>
        <v>#REF!</v>
      </c>
      <c r="GD30" s="16" t="e">
        <f>((GE29+('Vacas e Bezerros'!#REF!-(GE29*0.64))/0.8)/1000)-'Vacas e Bezerros'!#REF!</f>
        <v>#REF!</v>
      </c>
      <c r="GE30" s="17" t="e">
        <f>-53.07 + (304.89 * (GD30)) + (90.79 *('Vacas e Bezerros'!#REF!-'Vacas e Bezerros'!#REF!)) - (3.13 * ('Vacas e Bezerros'!#REF!-'Vacas e Bezerros'!#REF!)^2)</f>
        <v>#REF!</v>
      </c>
      <c r="GG30" s="16" t="e">
        <f>((GH29+('Vacas e Bezerros'!#REF!-(GH29*0.64))/0.8)/1000)-'Vacas e Bezerros'!#REF!</f>
        <v>#REF!</v>
      </c>
      <c r="GH30" s="17" t="e">
        <f>-53.07 + (304.89 * (GG30)) + (90.79 *('Vacas e Bezerros'!#REF!-'Vacas e Bezerros'!#REF!)) - (3.13 * ('Vacas e Bezerros'!#REF!-'Vacas e Bezerros'!#REF!)^2)</f>
        <v>#REF!</v>
      </c>
      <c r="GJ30" s="16" t="e">
        <f>((GK29+('Vacas e Bezerros'!#REF!-(GK29*0.64))/0.8)/1000)-'Vacas e Bezerros'!#REF!</f>
        <v>#REF!</v>
      </c>
      <c r="GK30" s="17" t="e">
        <f>-53.07 + (304.89 * (GJ30)) + (90.79 *('Vacas e Bezerros'!#REF!-'Vacas e Bezerros'!#REF!)) - (3.13 * ('Vacas e Bezerros'!#REF!-'Vacas e Bezerros'!#REF!)^2)</f>
        <v>#REF!</v>
      </c>
      <c r="GM30" s="16" t="e">
        <f>((GN29+('Vacas e Bezerros'!#REF!-(GN29*0.64))/0.8)/1000)-'Vacas e Bezerros'!#REF!</f>
        <v>#REF!</v>
      </c>
      <c r="GN30" s="17" t="e">
        <f>-53.07 + (304.89 * (GM30)) + (90.79 *('Vacas e Bezerros'!#REF!-'Vacas e Bezerros'!#REF!)) - (3.13 * ('Vacas e Bezerros'!#REF!-'Vacas e Bezerros'!#REF!)^2)</f>
        <v>#REF!</v>
      </c>
    </row>
    <row r="31" spans="3:196" x14ac:dyDescent="0.25">
      <c r="C31" s="16">
        <f>(D30+('Vacas e Bezerros'!$AA$28-(D30*0.64))/0.8)/1000</f>
        <v>0.35719668016155687</v>
      </c>
      <c r="D31" s="17">
        <f>-53.07 + (304.89 * (C31-'Vacas e Bezerros'!$C$206)) + (90.79 *('Vacas e Bezerros'!$AA$22)) - (3.13 *('Vacas e Bezerros'!$AA$22)^2)</f>
        <v>165.01876457544017</v>
      </c>
      <c r="F31" s="16" t="e">
        <f>(G30+(Crescimento!#REF!-(G30*0.64))/0.8)/1000</f>
        <v>#REF!</v>
      </c>
      <c r="G31" s="17" t="e">
        <f>-53.07 + (304.89 * (F31)) + (90.79 *Crescimento!#REF!) - (3.13 * Crescimento!#REF!*Crescimento!#REF!)</f>
        <v>#REF!</v>
      </c>
      <c r="H31" s="1"/>
      <c r="I31" s="16" t="e">
        <f>(J30+(Crescimento!#REF!-(J30*0.64))/0.8)/1000</f>
        <v>#REF!</v>
      </c>
      <c r="J31" s="17" t="e">
        <f>-53.07 + (304.89 * (I31)) + (90.79 *Crescimento!#REF!) - (3.13 * Crescimento!#REF!*Crescimento!#REF!)</f>
        <v>#REF!</v>
      </c>
      <c r="L31" s="16" t="e">
        <f>(M30+(Crescimento!#REF!-(M30*0.64))/0.8)/1000</f>
        <v>#REF!</v>
      </c>
      <c r="M31" s="17" t="e">
        <f>-53.07 + (304.89 * (L31)) + (90.79 *Crescimento!#REF!) - (3.13 * Crescimento!#REF!*Crescimento!#REF!)</f>
        <v>#REF!</v>
      </c>
      <c r="O31" s="16" t="e">
        <f>(P30+(Crescimento!#REF!-(P30*0.64))/0.8)/1000</f>
        <v>#REF!</v>
      </c>
      <c r="P31" s="17" t="e">
        <f>-53.07 + (304.89 * (O31)) + (90.79 *Crescimento!#REF!) - (3.13 * Crescimento!#REF!*Crescimento!#REF!)</f>
        <v>#REF!</v>
      </c>
      <c r="R31" s="16" t="e">
        <f>(S30+(Crescimento!#REF!-(S30*0.64))/0.8)/1000</f>
        <v>#REF!</v>
      </c>
      <c r="S31" s="17" t="e">
        <f>-53.07 + (304.89 * (R31)) + (90.79 *Crescimento!#REF!) - (3.13 * Crescimento!#REF!*Crescimento!#REF!)</f>
        <v>#REF!</v>
      </c>
      <c r="U31" s="16" t="e">
        <f>(V30+(Crescimento!#REF!-(V30*0.64))/0.8)/1000</f>
        <v>#REF!</v>
      </c>
      <c r="V31" s="17" t="e">
        <f>-53.07 + (304.89 * (U31)) + (90.79 *Crescimento!#REF!) - (3.13 * Crescimento!#REF!*Crescimento!#REF!)</f>
        <v>#REF!</v>
      </c>
      <c r="X31" s="16" t="e">
        <f>(Y30+(Crescimento!#REF!-(Y30*0.64))/0.8)/1000</f>
        <v>#REF!</v>
      </c>
      <c r="Y31" s="17" t="e">
        <f>-53.07 + (304.89 * (X31)) + (90.79 *Crescimento!#REF!) - (3.13 * Crescimento!#REF!*Crescimento!#REF!)</f>
        <v>#REF!</v>
      </c>
      <c r="Z31" s="6"/>
      <c r="AA31" s="16" t="e">
        <f>(AB30+(Crescimento!#REF!-(AB30*0.64))/0.8)/1000</f>
        <v>#REF!</v>
      </c>
      <c r="AB31" s="17" t="e">
        <f>-53.07 + (304.89 * (AA31)) + (90.79 *Crescimento!#REF!) - (3.13 * Crescimento!#REF!*Crescimento!#REF!)</f>
        <v>#REF!</v>
      </c>
      <c r="AC31" s="6"/>
      <c r="AD31" s="16" t="e">
        <f>(AE30+(Crescimento!#REF!-(AE30*0.64))/0.8)/1000</f>
        <v>#REF!</v>
      </c>
      <c r="AE31" s="17" t="e">
        <f>-53.07 + (304.89 * (AD31)) + (90.79 *Crescimento!#REF!) - (3.13 * Crescimento!#REF!*Crescimento!#REF!)</f>
        <v>#REF!</v>
      </c>
      <c r="AF31" s="17"/>
      <c r="AG31" s="16" t="e">
        <f>(AH30+(Crescimento!#REF!-(AH30*0.64))/0.8)/1000</f>
        <v>#REF!</v>
      </c>
      <c r="AH31" s="17" t="e">
        <f>-53.07 + (304.89 * (AG31)) + (90.79 *Crescimento!#REF!) - (3.13 * Crescimento!#REF!*Crescimento!#REF!)</f>
        <v>#REF!</v>
      </c>
      <c r="AJ31" s="16" t="e">
        <f>(AK30+(Crescimento!#REF!-(AK30*0.64))/0.8)/1000</f>
        <v>#REF!</v>
      </c>
      <c r="AK31" s="17" t="e">
        <f>-53.07 + (304.89 * (AJ31)) + (90.79 *Crescimento!#REF!) - (3.13 * Crescimento!#REF!*Crescimento!#REF!)</f>
        <v>#REF!</v>
      </c>
      <c r="AM31" s="16" t="e">
        <f>(AN30+(Crescimento!#REF!-(AN30*0.64))/0.8)/1000</f>
        <v>#REF!</v>
      </c>
      <c r="AN31" s="17" t="e">
        <f>-53.07 + (304.89 * (AM31)) + (90.79 *Crescimento!#REF!) - (3.13 * Crescimento!#REF!*Crescimento!#REF!)</f>
        <v>#REF!</v>
      </c>
      <c r="AP31" s="16" t="e">
        <f>(AQ30+(Crescimento!#REF!-(AQ30*0.64))/0.8)/1000</f>
        <v>#REF!</v>
      </c>
      <c r="AQ31" s="17" t="e">
        <f>-53.07 + (304.89 * (AP31)) + (90.79 *Crescimento!#REF!) - (3.13 * Crescimento!#REF!*Crescimento!#REF!)</f>
        <v>#REF!</v>
      </c>
      <c r="AS31" s="16" t="e">
        <f>(AT30+(Crescimento!#REF!-(AT30*0.64))/0.8)/1000</f>
        <v>#REF!</v>
      </c>
      <c r="AT31" s="17" t="e">
        <f>-53.07 + (304.89 * (AS31)) + (90.79 *Crescimento!#REF!) - (3.13 * Crescimento!#REF!*Crescimento!#REF!)</f>
        <v>#REF!</v>
      </c>
      <c r="AV31" s="16" t="e">
        <f>(AW30+(Crescimento!#REF!-(AW30*0.64))/0.8)/1000</f>
        <v>#REF!</v>
      </c>
      <c r="AW31" s="17" t="e">
        <f>-53.07 + (304.89 * (AV31)) + (90.79 *Crescimento!#REF!) - (3.13 * Crescimento!#REF!*Crescimento!#REF!)</f>
        <v>#REF!</v>
      </c>
      <c r="AY31" s="21" t="e">
        <f>((AZ30+(Crescimento!#REF!-(AZ30*0.64))/0.8)/1000)-Crescimento!#REF!</f>
        <v>#REF!</v>
      </c>
      <c r="AZ31" s="22" t="e">
        <f>-53.07 + (304.89 * (AY31)) + (90.79 *(Crescimento!#REF!-Crescimento!#REF!)) - (3.13 * (Crescimento!#REF!-Crescimento!#REF!)^2)</f>
        <v>#REF!</v>
      </c>
      <c r="BA31" s="23"/>
      <c r="BB31" s="21" t="e">
        <f>((BC30+(Crescimento!#REF!-(BC30*0.64))/0.8)/1000)-Crescimento!#REF!</f>
        <v>#REF!</v>
      </c>
      <c r="BC31" s="22" t="e">
        <f>-53.07 + (304.89 * (BB31)) + (90.79 *(Crescimento!#REF!-Crescimento!#REF!)) - (3.13 * (Crescimento!#REF!-Crescimento!#REF!)^2)</f>
        <v>#REF!</v>
      </c>
      <c r="BD31" s="23"/>
      <c r="BE31" s="21" t="e">
        <f>((BF30+(Crescimento!#REF!-(BF30*0.64))/0.8)/1000)-Crescimento!#REF!</f>
        <v>#REF!</v>
      </c>
      <c r="BF31" s="22" t="e">
        <f>-53.07 + (304.89 * (BE31)) + (90.79 *(Crescimento!#REF!-Crescimento!#REF!)) - (3.13 * (Crescimento!#REF!-Crescimento!#REF!)^2)</f>
        <v>#REF!</v>
      </c>
      <c r="BG31" s="23"/>
      <c r="BH31" s="21" t="e">
        <f>((BI30+(Crescimento!#REF!-(BI30*0.64))/0.8)/1000)-Crescimento!#REF!</f>
        <v>#REF!</v>
      </c>
      <c r="BI31" s="22" t="e">
        <f>-53.07 + (304.89 * (BH31)) + (90.79 *(Crescimento!#REF!-Crescimento!#REF!)) - (3.13 * (Crescimento!#REF!-Crescimento!#REF!)^2)</f>
        <v>#REF!</v>
      </c>
      <c r="BJ31" s="23"/>
      <c r="BK31" s="21" t="e">
        <f>((BL30+(Crescimento!#REF!-(BL30*0.64))/0.8)/1000)-Crescimento!#REF!</f>
        <v>#REF!</v>
      </c>
      <c r="BL31" s="22" t="e">
        <f>-53.07 + (304.89 * (BK31)) + (90.79 *(Crescimento!#REF!-Crescimento!#REF!)) - (3.13 * (Crescimento!#REF!-Crescimento!#REF!)^2)</f>
        <v>#REF!</v>
      </c>
      <c r="BM31" s="23"/>
      <c r="BN31" s="21" t="e">
        <f>((BO30+(Crescimento!#REF!-(BO30*0.64))/0.8)/1000)-Crescimento!#REF!</f>
        <v>#REF!</v>
      </c>
      <c r="BO31" s="22" t="e">
        <f>-53.07 + (304.89 * (BN31)) + (90.79 *(Crescimento!#REF!-Crescimento!#REF!)) - (3.13 * (Crescimento!#REF!-Crescimento!#REF!)^2)</f>
        <v>#REF!</v>
      </c>
      <c r="BP31" s="23"/>
      <c r="BQ31" s="21" t="e">
        <f>((BR30+(Crescimento!#REF!-(BR30*0.64))/0.8)/1000)-Crescimento!#REF!</f>
        <v>#REF!</v>
      </c>
      <c r="BR31" s="22" t="e">
        <f>-53.07 + (304.89 * (BQ31)) + (90.79 *(Crescimento!#REF!-Crescimento!#REF!)) - (3.13 * (Crescimento!#REF!-Crescimento!#REF!)^2)</f>
        <v>#REF!</v>
      </c>
      <c r="BS31" s="23"/>
      <c r="BT31" s="21" t="e">
        <f>((BU30+(Crescimento!#REF!-(BU30*0.64))/0.8)/1000)-Crescimento!#REF!</f>
        <v>#REF!</v>
      </c>
      <c r="BU31" s="22" t="e">
        <f>-53.07 + (304.89 * (BT31)) + (90.79 *(Crescimento!#REF!-Crescimento!#REF!)) - (3.13 * (Crescimento!#REF!-Crescimento!#REF!)^2)</f>
        <v>#REF!</v>
      </c>
      <c r="BV31" s="23"/>
      <c r="BW31" s="21" t="e">
        <f>((BX30+(Crescimento!#REF!-(BX30*0.64))/0.8)/1000)-Crescimento!#REF!</f>
        <v>#REF!</v>
      </c>
      <c r="BX31" s="22" t="e">
        <f>-53.07 + (304.89 * (BW31)) + (90.79 *(Crescimento!#REF!-Crescimento!#REF!)) - (3.13 * (Crescimento!#REF!-Crescimento!#REF!)^2)</f>
        <v>#REF!</v>
      </c>
      <c r="BY31" s="23"/>
      <c r="BZ31" s="21" t="e">
        <f>((CA30+(Crescimento!#REF!-(CA30*0.64))/0.8)/1000)-Crescimento!#REF!</f>
        <v>#REF!</v>
      </c>
      <c r="CA31" s="22" t="e">
        <f>-53.07 + (304.89 * (BZ31)) + (90.79 *(Crescimento!#REF!-Crescimento!#REF!)) - (3.13 * (Crescimento!#REF!-Crescimento!#REF!)^2)</f>
        <v>#REF!</v>
      </c>
      <c r="CB31" s="23"/>
      <c r="CC31" s="21" t="e">
        <f>((CD30+(Crescimento!#REF!-(CD30*0.64))/0.8)/1000)-Crescimento!#REF!</f>
        <v>#REF!</v>
      </c>
      <c r="CD31" s="22" t="e">
        <f>-53.07 + (304.89 * (CC31)) + (90.79 *(Crescimento!#REF!-Crescimento!#REF!)) - (3.13 * (Crescimento!#REF!-Crescimento!#REF!)^2)</f>
        <v>#REF!</v>
      </c>
      <c r="CE31" s="23"/>
      <c r="CF31" s="21" t="e">
        <f>((CG30+(Crescimento!#REF!-(CG30*0.64))/0.8)/1000)-Crescimento!#REF!</f>
        <v>#REF!</v>
      </c>
      <c r="CG31" s="22" t="e">
        <f>-53.07 + (304.89 * (CF31)) + (90.79 *(Crescimento!#REF!-Crescimento!#REF!)) - (3.13 * (Crescimento!#REF!-Crescimento!#REF!)^2)</f>
        <v>#REF!</v>
      </c>
      <c r="CH31" s="23"/>
      <c r="CI31" s="21" t="e">
        <f>((CJ30+(Crescimento!#REF!-(CJ30*0.64))/0.8)/1000)-Crescimento!#REF!</f>
        <v>#REF!</v>
      </c>
      <c r="CJ31" s="22" t="e">
        <f>-53.07 + (304.89 * (CI31)) + (90.79 *(Crescimento!#REF!-Crescimento!#REF!)) - (3.13 * (Crescimento!#REF!-Crescimento!#REF!)^2)</f>
        <v>#REF!</v>
      </c>
      <c r="CK31" s="23"/>
      <c r="CL31" s="21" t="e">
        <f>((CM30+(Crescimento!#REF!-(CM30*0.64))/0.8)/1000)-Crescimento!#REF!</f>
        <v>#REF!</v>
      </c>
      <c r="CM31" s="22" t="e">
        <f>-53.07 + (304.89 * (CL31)) + (90.79 *(Crescimento!#REF!-Crescimento!#REF!)) - (3.13 * (Crescimento!#REF!-Crescimento!#REF!)^2)</f>
        <v>#REF!</v>
      </c>
      <c r="CN31" s="23"/>
      <c r="CO31" s="21" t="e">
        <f>((CP30+(Crescimento!#REF!-(CP30*0.64))/0.8)/1000)-Crescimento!#REF!</f>
        <v>#REF!</v>
      </c>
      <c r="CP31" s="22" t="e">
        <f>-53.07 + (304.89 * (CO31)) + (90.79 *(Crescimento!#REF!-Crescimento!#REF!)) - (3.13 * (Crescimento!#REF!-Crescimento!#REF!)^2)</f>
        <v>#REF!</v>
      </c>
      <c r="CQ31" s="23"/>
      <c r="CR31" s="21" t="e">
        <f>((CS30+(Crescimento!#REF!-(CS30*0.64))/0.8)/1000)-Crescimento!#REF!</f>
        <v>#REF!</v>
      </c>
      <c r="CS31" s="22" t="e">
        <f>-53.07 + (304.89 * (CR31)) + (90.79 *(Crescimento!#REF!-Crescimento!#REF!)) - (3.13 * (Crescimento!#REF!-Crescimento!#REF!)^2)</f>
        <v>#REF!</v>
      </c>
      <c r="CX31" s="16" t="e">
        <f>((CY30+(Crescimento!#REF!-(CY30*0.64))/0.8)/1000)-Crescimento!#REF!</f>
        <v>#REF!</v>
      </c>
      <c r="CY31" s="17" t="e">
        <f>-53.07 + (304.89 * (CX31)) + (90.79 *(Crescimento!#REF!-Crescimento!#REF!)) - (3.13 * (Crescimento!#REF!-Crescimento!#REF!)^2)</f>
        <v>#REF!</v>
      </c>
      <c r="DA31" s="16" t="e">
        <f>((DB30+(Crescimento!#REF!-(DB30*0.64))/0.8)/1000)-Crescimento!#REF!</f>
        <v>#REF!</v>
      </c>
      <c r="DB31" s="17" t="e">
        <f>-53.07 + (304.89 * (DA31)) + (90.79 *(Crescimento!#REF!-Crescimento!#REF!)) - (3.13 * (Crescimento!#REF!-Crescimento!#REF!)^2)</f>
        <v>#REF!</v>
      </c>
      <c r="DD31" s="16" t="e">
        <f>(DE30+(Crescimento!#REF!-(DE30*0.64))/0.8)/1000</f>
        <v>#REF!</v>
      </c>
      <c r="DE31" s="17" t="e">
        <f>-53.07 + (304.89 * (DD31)) + (90.79 *Crescimento!#REF!) - (3.13 * Crescimento!#REF!*Crescimento!#REF!)</f>
        <v>#REF!</v>
      </c>
      <c r="DG31" s="16" t="e">
        <f>((DH30+(Crescimento!#REF!-(DH30*0.64))/0.8)/1000)-Crescimento!#REF!</f>
        <v>#REF!</v>
      </c>
      <c r="DH31" s="17" t="e">
        <f>-53.07 + (304.89 * (DG31)) + (90.79 *(Crescimento!#REF!-Crescimento!#REF!)) - (3.13 * (Crescimento!#REF!-Crescimento!#REF!)^2)</f>
        <v>#REF!</v>
      </c>
      <c r="DJ31" s="16" t="e">
        <f>((DK30+(Crescimento!#REF!-(DK30*0.64))/0.8)/1000)-Crescimento!#REF!</f>
        <v>#REF!</v>
      </c>
      <c r="DK31" s="17" t="e">
        <f>-53.07 + (304.89 * (DJ31)) + (90.79 *(Crescimento!#REF!-Crescimento!#REF!)) - (3.13 * (Crescimento!#REF!-Crescimento!#REF!)^2)</f>
        <v>#REF!</v>
      </c>
      <c r="DM31" s="16" t="e">
        <f>((DN30+(Crescimento!#REF!-(DN30*0.64))/0.8)/1000)-Crescimento!#REF!</f>
        <v>#REF!</v>
      </c>
      <c r="DN31" s="17" t="e">
        <f>-53.07 + (304.89 * (DM31)) + (90.79 *(Crescimento!#REF!-Crescimento!#REF!)) - (3.13 * (Crescimento!#REF!-Crescimento!#REF!)^2)</f>
        <v>#REF!</v>
      </c>
      <c r="DP31" s="16" t="e">
        <f>(DQ30+(Crescimento!#REF!-(DQ30*0.64))/0.8)/1000</f>
        <v>#REF!</v>
      </c>
      <c r="DQ31" s="17" t="e">
        <f>-53.07 + (304.89 * (DP31)) + (90.79 *(Crescimento!#REF!-Crescimento!#REF!)) - (3.13 * (Crescimento!#REF!-Crescimento!#REF!)^2)</f>
        <v>#REF!</v>
      </c>
      <c r="DS31" s="16" t="e">
        <f>((DT30+(Crescimento!#REF!-(DT30*0.64))/0.8)/1000)-Crescimento!#REF!</f>
        <v>#REF!</v>
      </c>
      <c r="DT31" s="17" t="e">
        <f>-53.07 + (304.89 * (DS31)) + (90.79 *(Crescimento!#REF!-Crescimento!#REF!)) - (3.13 * (Crescimento!#REF!-Crescimento!#REF!)^2)</f>
        <v>#REF!</v>
      </c>
      <c r="DV31" s="16" t="e">
        <f>((DW30+(Crescimento!#REF!-(DW30*0.64))/0.8)/1000)-Crescimento!#REF!</f>
        <v>#REF!</v>
      </c>
      <c r="DW31" s="17" t="e">
        <f>-53.07 + (304.89 * (DV31)) + (90.79 *(Crescimento!#REF!-Crescimento!#REF!)) - (3.13 * (Crescimento!#REF!-Crescimento!#REF!)^2)</f>
        <v>#REF!</v>
      </c>
      <c r="DY31" s="16" t="e">
        <f>((DZ30+(Crescimento!#REF!-(DZ30*0.64))/0.8)/1000)-Crescimento!#REF!</f>
        <v>#REF!</v>
      </c>
      <c r="DZ31" s="17" t="e">
        <f>-53.07 + (304.89 * (DY31)) + (90.79 *(Crescimento!#REF!-Crescimento!#REF!)) - (3.13 * (Crescimento!#REF!-Crescimento!#REF!)^2)</f>
        <v>#REF!</v>
      </c>
      <c r="EB31" s="16" t="e">
        <f>((EC30+(Crescimento!#REF!-(EC30*0.64))/0.8)/1000)-Crescimento!#REF!</f>
        <v>#REF!</v>
      </c>
      <c r="EC31" s="17" t="e">
        <f>-53.07 + (304.89 * (EB31)) + (90.79 *(Crescimento!#REF!-Crescimento!#REF!)) - (3.13 * (Crescimento!#REF!-Crescimento!#REF!)^2)</f>
        <v>#REF!</v>
      </c>
      <c r="EE31" s="16" t="e">
        <f>((EF30+(Crescimento!#REF!-(EF30*0.64))/0.8)/1000)-Crescimento!#REF!</f>
        <v>#REF!</v>
      </c>
      <c r="EF31" s="17" t="e">
        <f>-53.07 + (304.89 * (EE31)) + (90.79 *(Crescimento!#REF!-Crescimento!#REF!)) - (3.13 * (Crescimento!#REF!-Crescimento!#REF!)^2)</f>
        <v>#REF!</v>
      </c>
      <c r="EH31" s="16" t="e">
        <f>((EI30+(Crescimento!#REF!-(EI30*0.64))/0.8)/1000)-Crescimento!#REF!</f>
        <v>#REF!</v>
      </c>
      <c r="EI31" s="17" t="e">
        <f>-53.07 + (304.89 * (EH31)) + (90.79 *(Crescimento!#REF!-Crescimento!#REF!)) - (3.13 * (Crescimento!#REF!-Crescimento!#REF!)^2)</f>
        <v>#REF!</v>
      </c>
      <c r="EK31" s="16" t="e">
        <f>((EL30+(Crescimento!#REF!-(EL30*0.64))/0.8)/1000)-Crescimento!#REF!</f>
        <v>#REF!</v>
      </c>
      <c r="EL31" s="17" t="e">
        <f>-53.07 + (304.89 * (EK31)) + (90.79 *(Crescimento!#REF!-Crescimento!#REF!)) - (3.13 * (Crescimento!#REF!-Crescimento!#REF!)^2)</f>
        <v>#REF!</v>
      </c>
      <c r="EN31" s="16" t="e">
        <f>((EO30+(Crescimento!#REF!-(EO30*0.64))/0.8)/1000)-Crescimento!#REF!</f>
        <v>#REF!</v>
      </c>
      <c r="EO31" s="17" t="e">
        <f>-53.07 + (304.89 * (EN31)) + (90.79 *(Crescimento!#REF!-Crescimento!#REF!)) - (3.13 * (Crescimento!#REF!-Crescimento!#REF!)^2)</f>
        <v>#REF!</v>
      </c>
      <c r="EQ31" s="16" t="e">
        <f>((ER30+(Crescimento!#REF!-(ER30*0.64))/0.8)/1000)-Crescimento!#REF!</f>
        <v>#REF!</v>
      </c>
      <c r="ER31" s="17" t="e">
        <f>-53.07 + (304.89 * (EQ31)) + (90.79 *(Crescimento!#REF!-Crescimento!#REF!)) - (3.13 * (Crescimento!#REF!-Crescimento!#REF!)^2)</f>
        <v>#REF!</v>
      </c>
      <c r="ET31" s="16" t="e">
        <f>((EU30+(Crescimento!#REF!-(EU30*0.64))/0.8)/1000)-Crescimento!#REF!</f>
        <v>#REF!</v>
      </c>
      <c r="EU31" s="17" t="e">
        <f>-53.07 + (304.89 * (ET31)) + (90.79 *(Crescimento!#REF!-Crescimento!#REF!)) - (3.13 * (Crescimento!#REF!-Crescimento!#REF!)^2)</f>
        <v>#REF!</v>
      </c>
      <c r="EW31" s="16" t="e">
        <f>((EX30+('Vacas e Bezerros'!#REF!-(EX30*0.64))/0.8)/1000)-'Vacas e Bezerros'!#REF!</f>
        <v>#REF!</v>
      </c>
      <c r="EX31" s="17" t="e">
        <f>-53.07 + (304.89 * (EW31)) + (90.79 *('Vacas e Bezerros'!#REF!-'Vacas e Bezerros'!#REF!)) - (3.13 * ('Vacas e Bezerros'!#REF!-'Vacas e Bezerros'!#REF!)^2)</f>
        <v>#REF!</v>
      </c>
      <c r="EZ31" s="16" t="e">
        <f>((FA30+('Vacas e Bezerros'!#REF!-(FA30*0.64))/0.8)/1000)-'Vacas e Bezerros'!#REF!</f>
        <v>#REF!</v>
      </c>
      <c r="FA31" s="17" t="e">
        <f>-53.07 + (304.89 * (EZ31)) + (90.79 *('Vacas e Bezerros'!#REF!-'Vacas e Bezerros'!#REF!)) - (3.13 * ('Vacas e Bezerros'!#REF!-'Vacas e Bezerros'!#REF!)^2)</f>
        <v>#REF!</v>
      </c>
      <c r="FC31" s="16" t="e">
        <f>((FD30+('Vacas e Bezerros'!#REF!-(FD30*0.64))/0.8)/1000)-'Vacas e Bezerros'!#REF!</f>
        <v>#REF!</v>
      </c>
      <c r="FD31" s="17" t="e">
        <f>-53.07 + (304.89 * (FC31)) + (90.79 *('Vacas e Bezerros'!#REF!-'Vacas e Bezerros'!#REF!)) - (3.13 * ('Vacas e Bezerros'!#REF!-'Vacas e Bezerros'!#REF!)^2)</f>
        <v>#REF!</v>
      </c>
      <c r="FF31" s="16" t="e">
        <f>((FG30+('Vacas e Bezerros'!#REF!-(FG30*0.64))/0.8)/1000)-'Vacas e Bezerros'!#REF!</f>
        <v>#REF!</v>
      </c>
      <c r="FG31" s="17" t="e">
        <f>-53.07 + (304.89 * (FF31)) + (90.79 *('Vacas e Bezerros'!#REF!-'Vacas e Bezerros'!#REF!)) - (3.13 * ('Vacas e Bezerros'!#REF!-'Vacas e Bezerros'!#REF!)^2)</f>
        <v>#REF!</v>
      </c>
      <c r="FI31" s="16" t="e">
        <f>((FJ30+('Vacas e Bezerros'!#REF!-(FJ30*0.64))/0.8)/1000)-'Vacas e Bezerros'!#REF!</f>
        <v>#REF!</v>
      </c>
      <c r="FJ31" s="17" t="e">
        <f>-53.07 + (304.89 * (FI31)) + (90.79 *('Vacas e Bezerros'!#REF!-'Vacas e Bezerros'!#REF!)) - (3.13 * ('Vacas e Bezerros'!#REF!-'Vacas e Bezerros'!#REF!)^2)</f>
        <v>#REF!</v>
      </c>
      <c r="FL31" s="16" t="e">
        <f>((FM30+('Vacas e Bezerros'!#REF!-(FM30*0.64))/0.8)/1000)-'Vacas e Bezerros'!#REF!</f>
        <v>#REF!</v>
      </c>
      <c r="FM31" s="17" t="e">
        <f>-53.07 + (304.89 * (FL31)) + (90.79 *('Vacas e Bezerros'!#REF!-'Vacas e Bezerros'!#REF!)) - (3.13 * ('Vacas e Bezerros'!#REF!-'Vacas e Bezerros'!#REF!)^2)</f>
        <v>#REF!</v>
      </c>
      <c r="FO31" s="16" t="e">
        <f>((FP30+('Vacas e Bezerros'!#REF!-(FP30*0.64))/0.8)/1000)-'Vacas e Bezerros'!#REF!</f>
        <v>#REF!</v>
      </c>
      <c r="FP31" s="17" t="e">
        <f>-53.07 + (304.89 * (FO31)) + (90.79 *('Vacas e Bezerros'!#REF!-'Vacas e Bezerros'!#REF!)) - (3.13 * ('Vacas e Bezerros'!#REF!-'Vacas e Bezerros'!#REF!)^2)</f>
        <v>#REF!</v>
      </c>
      <c r="FR31" s="16" t="e">
        <f>((FS30+('Vacas e Bezerros'!#REF!-(FS30*0.64))/0.8)/1000)-'Vacas e Bezerros'!#REF!</f>
        <v>#REF!</v>
      </c>
      <c r="FS31" s="17" t="e">
        <f>-53.07 + (304.89 * (FR31)) + (90.79 *('Vacas e Bezerros'!#REF!-'Vacas e Bezerros'!#REF!)) - (3.13 * ('Vacas e Bezerros'!#REF!-'Vacas e Bezerros'!#REF!)^2)</f>
        <v>#REF!</v>
      </c>
      <c r="FU31" s="16" t="e">
        <f>((FV30+('Vacas e Bezerros'!#REF!-(FV30*0.64))/0.8)/1000)-'Vacas e Bezerros'!#REF!</f>
        <v>#REF!</v>
      </c>
      <c r="FV31" s="17" t="e">
        <f>-53.07 + (304.89 * (FU31)) + (90.79 *('Vacas e Bezerros'!#REF!-'Vacas e Bezerros'!#REF!)) - (3.13 * ('Vacas e Bezerros'!#REF!-'Vacas e Bezerros'!#REF!)^2)</f>
        <v>#REF!</v>
      </c>
      <c r="FX31" s="16" t="e">
        <f>((FY30+('Vacas e Bezerros'!#REF!-(FY30*0.64))/0.8)/1000)-'Vacas e Bezerros'!#REF!</f>
        <v>#REF!</v>
      </c>
      <c r="FY31" s="17" t="e">
        <f>-53.07 + (304.89 * (FX31)) + (90.79 *('Vacas e Bezerros'!#REF!-'Vacas e Bezerros'!#REF!)) - (3.13 * ('Vacas e Bezerros'!#REF!-'Vacas e Bezerros'!#REF!)^2)</f>
        <v>#REF!</v>
      </c>
      <c r="GA31" s="16" t="e">
        <f>((GB30+('Vacas e Bezerros'!#REF!-(GB30*0.64))/0.8)/1000)-'Vacas e Bezerros'!#REF!</f>
        <v>#REF!</v>
      </c>
      <c r="GB31" s="17" t="e">
        <f>-53.07 + (304.89 * (GA31)) + (90.79 *('Vacas e Bezerros'!#REF!-'Vacas e Bezerros'!#REF!)) - (3.13 * ('Vacas e Bezerros'!#REF!-'Vacas e Bezerros'!#REF!)^2)</f>
        <v>#REF!</v>
      </c>
      <c r="GD31" s="16" t="e">
        <f>((GE30+('Vacas e Bezerros'!#REF!-(GE30*0.64))/0.8)/1000)-'Vacas e Bezerros'!#REF!</f>
        <v>#REF!</v>
      </c>
      <c r="GE31" s="17" t="e">
        <f>-53.07 + (304.89 * (GD31)) + (90.79 *('Vacas e Bezerros'!#REF!-'Vacas e Bezerros'!#REF!)) - (3.13 * ('Vacas e Bezerros'!#REF!-'Vacas e Bezerros'!#REF!)^2)</f>
        <v>#REF!</v>
      </c>
      <c r="GG31" s="16" t="e">
        <f>((GH30+('Vacas e Bezerros'!#REF!-(GH30*0.64))/0.8)/1000)-'Vacas e Bezerros'!#REF!</f>
        <v>#REF!</v>
      </c>
      <c r="GH31" s="17" t="e">
        <f>-53.07 + (304.89 * (GG31)) + (90.79 *('Vacas e Bezerros'!#REF!-'Vacas e Bezerros'!#REF!)) - (3.13 * ('Vacas e Bezerros'!#REF!-'Vacas e Bezerros'!#REF!)^2)</f>
        <v>#REF!</v>
      </c>
      <c r="GJ31" s="16" t="e">
        <f>((GK30+('Vacas e Bezerros'!#REF!-(GK30*0.64))/0.8)/1000)-'Vacas e Bezerros'!#REF!</f>
        <v>#REF!</v>
      </c>
      <c r="GK31" s="17" t="e">
        <f>-53.07 + (304.89 * (GJ31)) + (90.79 *('Vacas e Bezerros'!#REF!-'Vacas e Bezerros'!#REF!)) - (3.13 * ('Vacas e Bezerros'!#REF!-'Vacas e Bezerros'!#REF!)^2)</f>
        <v>#REF!</v>
      </c>
      <c r="GM31" s="16" t="e">
        <f>((GN30+('Vacas e Bezerros'!#REF!-(GN30*0.64))/0.8)/1000)-'Vacas e Bezerros'!#REF!</f>
        <v>#REF!</v>
      </c>
      <c r="GN31" s="17" t="e">
        <f>-53.07 + (304.89 * (GM31)) + (90.79 *('Vacas e Bezerros'!#REF!-'Vacas e Bezerros'!#REF!)) - (3.13 * ('Vacas e Bezerros'!#REF!-'Vacas e Bezerros'!#REF!)^2)</f>
        <v>#REF!</v>
      </c>
    </row>
    <row r="32" spans="3:196" x14ac:dyDescent="0.25">
      <c r="C32" s="16">
        <f>(D31+('Vacas e Bezerros'!$AA$28-(D31*0.64))/0.8)/1000</f>
        <v>0.35719668016155687</v>
      </c>
      <c r="D32" s="17">
        <f>-53.07 + (304.89 * (C32-'Vacas e Bezerros'!$C$206)) + (90.79 *('Vacas e Bezerros'!$AA$22)) - (3.13 *('Vacas e Bezerros'!$AA$22)^2)</f>
        <v>165.01876457544017</v>
      </c>
      <c r="F32" s="16" t="e">
        <f>(G31+(Crescimento!#REF!-(G31*0.64))/0.8)/1000</f>
        <v>#REF!</v>
      </c>
      <c r="G32" s="17" t="e">
        <f>-53.07 + (304.89 * (F32)) + (90.79 *Crescimento!#REF!) - (3.13 * Crescimento!#REF!*Crescimento!#REF!)</f>
        <v>#REF!</v>
      </c>
      <c r="H32" s="1"/>
      <c r="I32" s="16" t="e">
        <f>(J31+(Crescimento!#REF!-(J31*0.64))/0.8)/1000</f>
        <v>#REF!</v>
      </c>
      <c r="J32" s="17" t="e">
        <f>-53.07 + (304.89 * (I32)) + (90.79 *Crescimento!#REF!) - (3.13 * Crescimento!#REF!*Crescimento!#REF!)</f>
        <v>#REF!</v>
      </c>
      <c r="L32" s="16" t="e">
        <f>(M31+(Crescimento!#REF!-(M31*0.64))/0.8)/1000</f>
        <v>#REF!</v>
      </c>
      <c r="M32" s="17" t="e">
        <f>-53.07 + (304.89 * (L32)) + (90.79 *Crescimento!#REF!) - (3.13 * Crescimento!#REF!*Crescimento!#REF!)</f>
        <v>#REF!</v>
      </c>
      <c r="O32" s="16" t="e">
        <f>(P31+(Crescimento!#REF!-(P31*0.64))/0.8)/1000</f>
        <v>#REF!</v>
      </c>
      <c r="P32" s="17" t="e">
        <f>-53.07 + (304.89 * (O32)) + (90.79 *Crescimento!#REF!) - (3.13 * Crescimento!#REF!*Crescimento!#REF!)</f>
        <v>#REF!</v>
      </c>
      <c r="R32" s="16" t="e">
        <f>(S31+(Crescimento!#REF!-(S31*0.64))/0.8)/1000</f>
        <v>#REF!</v>
      </c>
      <c r="S32" s="17" t="e">
        <f>-53.07 + (304.89 * (R32)) + (90.79 *Crescimento!#REF!) - (3.13 * Crescimento!#REF!*Crescimento!#REF!)</f>
        <v>#REF!</v>
      </c>
      <c r="U32" s="16" t="e">
        <f>(V31+(Crescimento!#REF!-(V31*0.64))/0.8)/1000</f>
        <v>#REF!</v>
      </c>
      <c r="V32" s="17" t="e">
        <f>-53.07 + (304.89 * (U32)) + (90.79 *Crescimento!#REF!) - (3.13 * Crescimento!#REF!*Crescimento!#REF!)</f>
        <v>#REF!</v>
      </c>
      <c r="X32" s="16" t="e">
        <f>(Y31+(Crescimento!#REF!-(Y31*0.64))/0.8)/1000</f>
        <v>#REF!</v>
      </c>
      <c r="Y32" s="17" t="e">
        <f>-53.07 + (304.89 * (X32)) + (90.79 *Crescimento!#REF!) - (3.13 * Crescimento!#REF!*Crescimento!#REF!)</f>
        <v>#REF!</v>
      </c>
      <c r="Z32" s="6"/>
      <c r="AA32" s="16" t="e">
        <f>(AB31+(Crescimento!#REF!-(AB31*0.64))/0.8)/1000</f>
        <v>#REF!</v>
      </c>
      <c r="AB32" s="17" t="e">
        <f>-53.07 + (304.89 * (AA32)) + (90.79 *Crescimento!#REF!) - (3.13 * Crescimento!#REF!*Crescimento!#REF!)</f>
        <v>#REF!</v>
      </c>
      <c r="AC32" s="6"/>
      <c r="AD32" s="16" t="e">
        <f>(AE31+(Crescimento!#REF!-(AE31*0.64))/0.8)/1000</f>
        <v>#REF!</v>
      </c>
      <c r="AE32" s="17" t="e">
        <f>-53.07 + (304.89 * (AD32)) + (90.79 *Crescimento!#REF!) - (3.13 * Crescimento!#REF!*Crescimento!#REF!)</f>
        <v>#REF!</v>
      </c>
      <c r="AF32" s="17"/>
      <c r="AG32" s="16" t="e">
        <f>(AH31+(Crescimento!#REF!-(AH31*0.64))/0.8)/1000</f>
        <v>#REF!</v>
      </c>
      <c r="AH32" s="17" t="e">
        <f>-53.07 + (304.89 * (AG32)) + (90.79 *Crescimento!#REF!) - (3.13 * Crescimento!#REF!*Crescimento!#REF!)</f>
        <v>#REF!</v>
      </c>
      <c r="AJ32" s="16" t="e">
        <f>(AK31+(Crescimento!#REF!-(AK31*0.64))/0.8)/1000</f>
        <v>#REF!</v>
      </c>
      <c r="AK32" s="17" t="e">
        <f>-53.07 + (304.89 * (AJ32)) + (90.79 *Crescimento!#REF!) - (3.13 * Crescimento!#REF!*Crescimento!#REF!)</f>
        <v>#REF!</v>
      </c>
      <c r="AM32" s="16" t="e">
        <f>(AN31+(Crescimento!#REF!-(AN31*0.64))/0.8)/1000</f>
        <v>#REF!</v>
      </c>
      <c r="AN32" s="17" t="e">
        <f>-53.07 + (304.89 * (AM32)) + (90.79 *Crescimento!#REF!) - (3.13 * Crescimento!#REF!*Crescimento!#REF!)</f>
        <v>#REF!</v>
      </c>
      <c r="AP32" s="16" t="e">
        <f>(AQ31+(Crescimento!#REF!-(AQ31*0.64))/0.8)/1000</f>
        <v>#REF!</v>
      </c>
      <c r="AQ32" s="17" t="e">
        <f>-53.07 + (304.89 * (AP32)) + (90.79 *Crescimento!#REF!) - (3.13 * Crescimento!#REF!*Crescimento!#REF!)</f>
        <v>#REF!</v>
      </c>
      <c r="AS32" s="16" t="e">
        <f>(AT31+(Crescimento!#REF!-(AT31*0.64))/0.8)/1000</f>
        <v>#REF!</v>
      </c>
      <c r="AT32" s="17" t="e">
        <f>-53.07 + (304.89 * (AS32)) + (90.79 *Crescimento!#REF!) - (3.13 * Crescimento!#REF!*Crescimento!#REF!)</f>
        <v>#REF!</v>
      </c>
      <c r="AV32" s="16" t="e">
        <f>(AW31+(Crescimento!#REF!-(AW31*0.64))/0.8)/1000</f>
        <v>#REF!</v>
      </c>
      <c r="AW32" s="17" t="e">
        <f>-53.07 + (304.89 * (AV32)) + (90.79 *Crescimento!#REF!) - (3.13 * Crescimento!#REF!*Crescimento!#REF!)</f>
        <v>#REF!</v>
      </c>
      <c r="AY32" s="21" t="e">
        <f>((AZ31+(Crescimento!#REF!-(AZ31*0.64))/0.8)/1000)-Crescimento!#REF!</f>
        <v>#REF!</v>
      </c>
      <c r="AZ32" s="22" t="e">
        <f>-53.07 + (304.89 * (AY32)) + (90.79 *(Crescimento!#REF!-Crescimento!#REF!)) - (3.13 * (Crescimento!#REF!-Crescimento!#REF!)^2)</f>
        <v>#REF!</v>
      </c>
      <c r="BA32" s="23"/>
      <c r="BB32" s="21" t="e">
        <f>((BC31+(Crescimento!#REF!-(BC31*0.64))/0.8)/1000)-Crescimento!#REF!</f>
        <v>#REF!</v>
      </c>
      <c r="BC32" s="22" t="e">
        <f>-53.07 + (304.89 * (BB32)) + (90.79 *(Crescimento!#REF!-Crescimento!#REF!)) - (3.13 * (Crescimento!#REF!-Crescimento!#REF!)^2)</f>
        <v>#REF!</v>
      </c>
      <c r="BD32" s="23"/>
      <c r="BE32" s="21" t="e">
        <f>((BF31+(Crescimento!#REF!-(BF31*0.64))/0.8)/1000)-Crescimento!#REF!</f>
        <v>#REF!</v>
      </c>
      <c r="BF32" s="22" t="e">
        <f>-53.07 + (304.89 * (BE32)) + (90.79 *(Crescimento!#REF!-Crescimento!#REF!)) - (3.13 * (Crescimento!#REF!-Crescimento!#REF!)^2)</f>
        <v>#REF!</v>
      </c>
      <c r="BG32" s="23"/>
      <c r="BH32" s="21" t="e">
        <f>((BI31+(Crescimento!#REF!-(BI31*0.64))/0.8)/1000)-Crescimento!#REF!</f>
        <v>#REF!</v>
      </c>
      <c r="BI32" s="22" t="e">
        <f>-53.07 + (304.89 * (BH32)) + (90.79 *(Crescimento!#REF!-Crescimento!#REF!)) - (3.13 * (Crescimento!#REF!-Crescimento!#REF!)^2)</f>
        <v>#REF!</v>
      </c>
      <c r="BJ32" s="23"/>
      <c r="BK32" s="21" t="e">
        <f>((BL31+(Crescimento!#REF!-(BL31*0.64))/0.8)/1000)-Crescimento!#REF!</f>
        <v>#REF!</v>
      </c>
      <c r="BL32" s="22" t="e">
        <f>-53.07 + (304.89 * (BK32)) + (90.79 *(Crescimento!#REF!-Crescimento!#REF!)) - (3.13 * (Crescimento!#REF!-Crescimento!#REF!)^2)</f>
        <v>#REF!</v>
      </c>
      <c r="BM32" s="23"/>
      <c r="BN32" s="21" t="e">
        <f>((BO31+(Crescimento!#REF!-(BO31*0.64))/0.8)/1000)-Crescimento!#REF!</f>
        <v>#REF!</v>
      </c>
      <c r="BO32" s="22" t="e">
        <f>-53.07 + (304.89 * (BN32)) + (90.79 *(Crescimento!#REF!-Crescimento!#REF!)) - (3.13 * (Crescimento!#REF!-Crescimento!#REF!)^2)</f>
        <v>#REF!</v>
      </c>
      <c r="BP32" s="23"/>
      <c r="BQ32" s="21" t="e">
        <f>((BR31+(Crescimento!#REF!-(BR31*0.64))/0.8)/1000)-Crescimento!#REF!</f>
        <v>#REF!</v>
      </c>
      <c r="BR32" s="22" t="e">
        <f>-53.07 + (304.89 * (BQ32)) + (90.79 *(Crescimento!#REF!-Crescimento!#REF!)) - (3.13 * (Crescimento!#REF!-Crescimento!#REF!)^2)</f>
        <v>#REF!</v>
      </c>
      <c r="BS32" s="23"/>
      <c r="BT32" s="21" t="e">
        <f>((BU31+(Crescimento!#REF!-(BU31*0.64))/0.8)/1000)-Crescimento!#REF!</f>
        <v>#REF!</v>
      </c>
      <c r="BU32" s="22" t="e">
        <f>-53.07 + (304.89 * (BT32)) + (90.79 *(Crescimento!#REF!-Crescimento!#REF!)) - (3.13 * (Crescimento!#REF!-Crescimento!#REF!)^2)</f>
        <v>#REF!</v>
      </c>
      <c r="BV32" s="23"/>
      <c r="BW32" s="21" t="e">
        <f>((BX31+(Crescimento!#REF!-(BX31*0.64))/0.8)/1000)-Crescimento!#REF!</f>
        <v>#REF!</v>
      </c>
      <c r="BX32" s="22" t="e">
        <f>-53.07 + (304.89 * (BW32)) + (90.79 *(Crescimento!#REF!-Crescimento!#REF!)) - (3.13 * (Crescimento!#REF!-Crescimento!#REF!)^2)</f>
        <v>#REF!</v>
      </c>
      <c r="BY32" s="23"/>
      <c r="BZ32" s="21" t="e">
        <f>((CA31+(Crescimento!#REF!-(CA31*0.64))/0.8)/1000)-Crescimento!#REF!</f>
        <v>#REF!</v>
      </c>
      <c r="CA32" s="22" t="e">
        <f>-53.07 + (304.89 * (BZ32)) + (90.79 *(Crescimento!#REF!-Crescimento!#REF!)) - (3.13 * (Crescimento!#REF!-Crescimento!#REF!)^2)</f>
        <v>#REF!</v>
      </c>
      <c r="CB32" s="23"/>
      <c r="CC32" s="21" t="e">
        <f>((CD31+(Crescimento!#REF!-(CD31*0.64))/0.8)/1000)-Crescimento!#REF!</f>
        <v>#REF!</v>
      </c>
      <c r="CD32" s="22" t="e">
        <f>-53.07 + (304.89 * (CC32)) + (90.79 *(Crescimento!#REF!-Crescimento!#REF!)) - (3.13 * (Crescimento!#REF!-Crescimento!#REF!)^2)</f>
        <v>#REF!</v>
      </c>
      <c r="CE32" s="23"/>
      <c r="CF32" s="21" t="e">
        <f>((CG31+(Crescimento!#REF!-(CG31*0.64))/0.8)/1000)-Crescimento!#REF!</f>
        <v>#REF!</v>
      </c>
      <c r="CG32" s="22" t="e">
        <f>-53.07 + (304.89 * (CF32)) + (90.79 *(Crescimento!#REF!-Crescimento!#REF!)) - (3.13 * (Crescimento!#REF!-Crescimento!#REF!)^2)</f>
        <v>#REF!</v>
      </c>
      <c r="CH32" s="23"/>
      <c r="CI32" s="21" t="e">
        <f>((CJ31+(Crescimento!#REF!-(CJ31*0.64))/0.8)/1000)-Crescimento!#REF!</f>
        <v>#REF!</v>
      </c>
      <c r="CJ32" s="22" t="e">
        <f>-53.07 + (304.89 * (CI32)) + (90.79 *(Crescimento!#REF!-Crescimento!#REF!)) - (3.13 * (Crescimento!#REF!-Crescimento!#REF!)^2)</f>
        <v>#REF!</v>
      </c>
      <c r="CK32" s="23"/>
      <c r="CL32" s="21" t="e">
        <f>((CM31+(Crescimento!#REF!-(CM31*0.64))/0.8)/1000)-Crescimento!#REF!</f>
        <v>#REF!</v>
      </c>
      <c r="CM32" s="22" t="e">
        <f>-53.07 + (304.89 * (CL32)) + (90.79 *(Crescimento!#REF!-Crescimento!#REF!)) - (3.13 * (Crescimento!#REF!-Crescimento!#REF!)^2)</f>
        <v>#REF!</v>
      </c>
      <c r="CN32" s="23"/>
      <c r="CO32" s="21" t="e">
        <f>((CP31+(Crescimento!#REF!-(CP31*0.64))/0.8)/1000)-Crescimento!#REF!</f>
        <v>#REF!</v>
      </c>
      <c r="CP32" s="22" t="e">
        <f>-53.07 + (304.89 * (CO32)) + (90.79 *(Crescimento!#REF!-Crescimento!#REF!)) - (3.13 * (Crescimento!#REF!-Crescimento!#REF!)^2)</f>
        <v>#REF!</v>
      </c>
      <c r="CQ32" s="23"/>
      <c r="CR32" s="21" t="e">
        <f>((CS31+(Crescimento!#REF!-(CS31*0.64))/0.8)/1000)-Crescimento!#REF!</f>
        <v>#REF!</v>
      </c>
      <c r="CS32" s="22" t="e">
        <f>-53.07 + (304.89 * (CR32)) + (90.79 *(Crescimento!#REF!-Crescimento!#REF!)) - (3.13 * (Crescimento!#REF!-Crescimento!#REF!)^2)</f>
        <v>#REF!</v>
      </c>
      <c r="CX32" s="16" t="e">
        <f>((CY31+(Crescimento!#REF!-(CY31*0.64))/0.8)/1000)-Crescimento!#REF!</f>
        <v>#REF!</v>
      </c>
      <c r="CY32" s="17" t="e">
        <f>-53.07 + (304.89 * (CX32)) + (90.79 *(Crescimento!#REF!-Crescimento!#REF!)) - (3.13 * (Crescimento!#REF!-Crescimento!#REF!)^2)</f>
        <v>#REF!</v>
      </c>
      <c r="DA32" s="16" t="e">
        <f>((DB31+(Crescimento!#REF!-(DB31*0.64))/0.8)/1000)-Crescimento!#REF!</f>
        <v>#REF!</v>
      </c>
      <c r="DB32" s="17" t="e">
        <f>-53.07 + (304.89 * (DA32)) + (90.79 *(Crescimento!#REF!-Crescimento!#REF!)) - (3.13 * (Crescimento!#REF!-Crescimento!#REF!)^2)</f>
        <v>#REF!</v>
      </c>
      <c r="DD32" s="16" t="e">
        <f>(DE31+(Crescimento!#REF!-(DE31*0.64))/0.8)/1000</f>
        <v>#REF!</v>
      </c>
      <c r="DE32" s="17" t="e">
        <f>-53.07 + (304.89 * (DD32)) + (90.79 *Crescimento!#REF!) - (3.13 * Crescimento!#REF!*Crescimento!#REF!)</f>
        <v>#REF!</v>
      </c>
      <c r="DG32" s="16" t="e">
        <f>((DH31+(Crescimento!#REF!-(DH31*0.64))/0.8)/1000)-Crescimento!#REF!</f>
        <v>#REF!</v>
      </c>
      <c r="DH32" s="17" t="e">
        <f>-53.07 + (304.89 * (DG32)) + (90.79 *(Crescimento!#REF!-Crescimento!#REF!)) - (3.13 * (Crescimento!#REF!-Crescimento!#REF!)^2)</f>
        <v>#REF!</v>
      </c>
      <c r="DJ32" s="16" t="e">
        <f>((DK31+(Crescimento!#REF!-(DK31*0.64))/0.8)/1000)-Crescimento!#REF!</f>
        <v>#REF!</v>
      </c>
      <c r="DK32" s="17" t="e">
        <f>-53.07 + (304.89 * (DJ32)) + (90.79 *(Crescimento!#REF!-Crescimento!#REF!)) - (3.13 * (Crescimento!#REF!-Crescimento!#REF!)^2)</f>
        <v>#REF!</v>
      </c>
      <c r="DM32" s="16" t="e">
        <f>((DN31+(Crescimento!#REF!-(DN31*0.64))/0.8)/1000)-Crescimento!#REF!</f>
        <v>#REF!</v>
      </c>
      <c r="DN32" s="17" t="e">
        <f>-53.07 + (304.89 * (DM32)) + (90.79 *(Crescimento!#REF!-Crescimento!#REF!)) - (3.13 * (Crescimento!#REF!-Crescimento!#REF!)^2)</f>
        <v>#REF!</v>
      </c>
      <c r="DP32" s="16" t="e">
        <f>(DQ31+(Crescimento!#REF!-(DQ31*0.64))/0.8)/1000</f>
        <v>#REF!</v>
      </c>
      <c r="DQ32" s="17" t="e">
        <f>-53.07 + (304.89 * (DP32)) + (90.79 *(Crescimento!#REF!-Crescimento!#REF!)) - (3.13 * (Crescimento!#REF!-Crescimento!#REF!)^2)</f>
        <v>#REF!</v>
      </c>
      <c r="DS32" s="16" t="e">
        <f>((DT31+(Crescimento!#REF!-(DT31*0.64))/0.8)/1000)-Crescimento!#REF!</f>
        <v>#REF!</v>
      </c>
      <c r="DT32" s="17" t="e">
        <f>-53.07 + (304.89 * (DS32)) + (90.79 *(Crescimento!#REF!-Crescimento!#REF!)) - (3.13 * (Crescimento!#REF!-Crescimento!#REF!)^2)</f>
        <v>#REF!</v>
      </c>
      <c r="DV32" s="16" t="e">
        <f>((DW31+(Crescimento!#REF!-(DW31*0.64))/0.8)/1000)-Crescimento!#REF!</f>
        <v>#REF!</v>
      </c>
      <c r="DW32" s="17" t="e">
        <f>-53.07 + (304.89 * (DV32)) + (90.79 *(Crescimento!#REF!-Crescimento!#REF!)) - (3.13 * (Crescimento!#REF!-Crescimento!#REF!)^2)</f>
        <v>#REF!</v>
      </c>
      <c r="DY32" s="16" t="e">
        <f>((DZ31+(Crescimento!#REF!-(DZ31*0.64))/0.8)/1000)-Crescimento!#REF!</f>
        <v>#REF!</v>
      </c>
      <c r="DZ32" s="17" t="e">
        <f>-53.07 + (304.89 * (DY32)) + (90.79 *(Crescimento!#REF!-Crescimento!#REF!)) - (3.13 * (Crescimento!#REF!-Crescimento!#REF!)^2)</f>
        <v>#REF!</v>
      </c>
      <c r="EB32" s="16" t="e">
        <f>((EC31+(Crescimento!#REF!-(EC31*0.64))/0.8)/1000)-Crescimento!#REF!</f>
        <v>#REF!</v>
      </c>
      <c r="EC32" s="17" t="e">
        <f>-53.07 + (304.89 * (EB32)) + (90.79 *(Crescimento!#REF!-Crescimento!#REF!)) - (3.13 * (Crescimento!#REF!-Crescimento!#REF!)^2)</f>
        <v>#REF!</v>
      </c>
      <c r="EE32" s="16" t="e">
        <f>((EF31+(Crescimento!#REF!-(EF31*0.64))/0.8)/1000)-Crescimento!#REF!</f>
        <v>#REF!</v>
      </c>
      <c r="EF32" s="17" t="e">
        <f>-53.07 + (304.89 * (EE32)) + (90.79 *(Crescimento!#REF!-Crescimento!#REF!)) - (3.13 * (Crescimento!#REF!-Crescimento!#REF!)^2)</f>
        <v>#REF!</v>
      </c>
      <c r="EH32" s="16" t="e">
        <f>((EI31+(Crescimento!#REF!-(EI31*0.64))/0.8)/1000)-Crescimento!#REF!</f>
        <v>#REF!</v>
      </c>
      <c r="EI32" s="17" t="e">
        <f>-53.07 + (304.89 * (EH32)) + (90.79 *(Crescimento!#REF!-Crescimento!#REF!)) - (3.13 * (Crescimento!#REF!-Crescimento!#REF!)^2)</f>
        <v>#REF!</v>
      </c>
      <c r="EK32" s="16" t="e">
        <f>((EL31+(Crescimento!#REF!-(EL31*0.64))/0.8)/1000)-Crescimento!#REF!</f>
        <v>#REF!</v>
      </c>
      <c r="EL32" s="17" t="e">
        <f>-53.07 + (304.89 * (EK32)) + (90.79 *(Crescimento!#REF!-Crescimento!#REF!)) - (3.13 * (Crescimento!#REF!-Crescimento!#REF!)^2)</f>
        <v>#REF!</v>
      </c>
      <c r="EN32" s="16" t="e">
        <f>((EO31+(Crescimento!#REF!-(EO31*0.64))/0.8)/1000)-Crescimento!#REF!</f>
        <v>#REF!</v>
      </c>
      <c r="EO32" s="17" t="e">
        <f>-53.07 + (304.89 * (EN32)) + (90.79 *(Crescimento!#REF!-Crescimento!#REF!)) - (3.13 * (Crescimento!#REF!-Crescimento!#REF!)^2)</f>
        <v>#REF!</v>
      </c>
      <c r="EQ32" s="16" t="e">
        <f>((ER31+(Crescimento!#REF!-(ER31*0.64))/0.8)/1000)-Crescimento!#REF!</f>
        <v>#REF!</v>
      </c>
      <c r="ER32" s="17" t="e">
        <f>-53.07 + (304.89 * (EQ32)) + (90.79 *(Crescimento!#REF!-Crescimento!#REF!)) - (3.13 * (Crescimento!#REF!-Crescimento!#REF!)^2)</f>
        <v>#REF!</v>
      </c>
      <c r="ET32" s="16" t="e">
        <f>((EU31+(Crescimento!#REF!-(EU31*0.64))/0.8)/1000)-Crescimento!#REF!</f>
        <v>#REF!</v>
      </c>
      <c r="EU32" s="17" t="e">
        <f>-53.07 + (304.89 * (ET32)) + (90.79 *(Crescimento!#REF!-Crescimento!#REF!)) - (3.13 * (Crescimento!#REF!-Crescimento!#REF!)^2)</f>
        <v>#REF!</v>
      </c>
      <c r="EW32" s="16" t="e">
        <f>((EX31+('Vacas e Bezerros'!#REF!-(EX31*0.64))/0.8)/1000)-'Vacas e Bezerros'!#REF!</f>
        <v>#REF!</v>
      </c>
      <c r="EX32" s="17" t="e">
        <f>-53.07 + (304.89 * (EW32)) + (90.79 *('Vacas e Bezerros'!#REF!-'Vacas e Bezerros'!#REF!)) - (3.13 * ('Vacas e Bezerros'!#REF!-'Vacas e Bezerros'!#REF!)^2)</f>
        <v>#REF!</v>
      </c>
      <c r="EZ32" s="16" t="e">
        <f>((FA31+('Vacas e Bezerros'!#REF!-(FA31*0.64))/0.8)/1000)-'Vacas e Bezerros'!#REF!</f>
        <v>#REF!</v>
      </c>
      <c r="FA32" s="17" t="e">
        <f>-53.07 + (304.89 * (EZ32)) + (90.79 *('Vacas e Bezerros'!#REF!-'Vacas e Bezerros'!#REF!)) - (3.13 * ('Vacas e Bezerros'!#REF!-'Vacas e Bezerros'!#REF!)^2)</f>
        <v>#REF!</v>
      </c>
      <c r="FC32" s="16" t="e">
        <f>((FD31+('Vacas e Bezerros'!#REF!-(FD31*0.64))/0.8)/1000)-'Vacas e Bezerros'!#REF!</f>
        <v>#REF!</v>
      </c>
      <c r="FD32" s="17" t="e">
        <f>-53.07 + (304.89 * (FC32)) + (90.79 *('Vacas e Bezerros'!#REF!-'Vacas e Bezerros'!#REF!)) - (3.13 * ('Vacas e Bezerros'!#REF!-'Vacas e Bezerros'!#REF!)^2)</f>
        <v>#REF!</v>
      </c>
      <c r="FF32" s="16" t="e">
        <f>((FG31+('Vacas e Bezerros'!#REF!-(FG31*0.64))/0.8)/1000)-'Vacas e Bezerros'!#REF!</f>
        <v>#REF!</v>
      </c>
      <c r="FG32" s="17" t="e">
        <f>-53.07 + (304.89 * (FF32)) + (90.79 *('Vacas e Bezerros'!#REF!-'Vacas e Bezerros'!#REF!)) - (3.13 * ('Vacas e Bezerros'!#REF!-'Vacas e Bezerros'!#REF!)^2)</f>
        <v>#REF!</v>
      </c>
      <c r="FI32" s="16" t="e">
        <f>((FJ31+('Vacas e Bezerros'!#REF!-(FJ31*0.64))/0.8)/1000)-'Vacas e Bezerros'!#REF!</f>
        <v>#REF!</v>
      </c>
      <c r="FJ32" s="17" t="e">
        <f>-53.07 + (304.89 * (FI32)) + (90.79 *('Vacas e Bezerros'!#REF!-'Vacas e Bezerros'!#REF!)) - (3.13 * ('Vacas e Bezerros'!#REF!-'Vacas e Bezerros'!#REF!)^2)</f>
        <v>#REF!</v>
      </c>
      <c r="FL32" s="16" t="e">
        <f>((FM31+('Vacas e Bezerros'!#REF!-(FM31*0.64))/0.8)/1000)-'Vacas e Bezerros'!#REF!</f>
        <v>#REF!</v>
      </c>
      <c r="FM32" s="17" t="e">
        <f>-53.07 + (304.89 * (FL32)) + (90.79 *('Vacas e Bezerros'!#REF!-'Vacas e Bezerros'!#REF!)) - (3.13 * ('Vacas e Bezerros'!#REF!-'Vacas e Bezerros'!#REF!)^2)</f>
        <v>#REF!</v>
      </c>
      <c r="FO32" s="16" t="e">
        <f>((FP31+('Vacas e Bezerros'!#REF!-(FP31*0.64))/0.8)/1000)-'Vacas e Bezerros'!#REF!</f>
        <v>#REF!</v>
      </c>
      <c r="FP32" s="17" t="e">
        <f>-53.07 + (304.89 * (FO32)) + (90.79 *('Vacas e Bezerros'!#REF!-'Vacas e Bezerros'!#REF!)) - (3.13 * ('Vacas e Bezerros'!#REF!-'Vacas e Bezerros'!#REF!)^2)</f>
        <v>#REF!</v>
      </c>
      <c r="FR32" s="16" t="e">
        <f>((FS31+('Vacas e Bezerros'!#REF!-(FS31*0.64))/0.8)/1000)-'Vacas e Bezerros'!#REF!</f>
        <v>#REF!</v>
      </c>
      <c r="FS32" s="17" t="e">
        <f>-53.07 + (304.89 * (FR32)) + (90.79 *('Vacas e Bezerros'!#REF!-'Vacas e Bezerros'!#REF!)) - (3.13 * ('Vacas e Bezerros'!#REF!-'Vacas e Bezerros'!#REF!)^2)</f>
        <v>#REF!</v>
      </c>
      <c r="FU32" s="16" t="e">
        <f>((FV31+('Vacas e Bezerros'!#REF!-(FV31*0.64))/0.8)/1000)-'Vacas e Bezerros'!#REF!</f>
        <v>#REF!</v>
      </c>
      <c r="FV32" s="17" t="e">
        <f>-53.07 + (304.89 * (FU32)) + (90.79 *('Vacas e Bezerros'!#REF!-'Vacas e Bezerros'!#REF!)) - (3.13 * ('Vacas e Bezerros'!#REF!-'Vacas e Bezerros'!#REF!)^2)</f>
        <v>#REF!</v>
      </c>
      <c r="FX32" s="16" t="e">
        <f>((FY31+('Vacas e Bezerros'!#REF!-(FY31*0.64))/0.8)/1000)-'Vacas e Bezerros'!#REF!</f>
        <v>#REF!</v>
      </c>
      <c r="FY32" s="17" t="e">
        <f>-53.07 + (304.89 * (FX32)) + (90.79 *('Vacas e Bezerros'!#REF!-'Vacas e Bezerros'!#REF!)) - (3.13 * ('Vacas e Bezerros'!#REF!-'Vacas e Bezerros'!#REF!)^2)</f>
        <v>#REF!</v>
      </c>
      <c r="GA32" s="16" t="e">
        <f>((GB31+('Vacas e Bezerros'!#REF!-(GB31*0.64))/0.8)/1000)-'Vacas e Bezerros'!#REF!</f>
        <v>#REF!</v>
      </c>
      <c r="GB32" s="17" t="e">
        <f>-53.07 + (304.89 * (GA32)) + (90.79 *('Vacas e Bezerros'!#REF!-'Vacas e Bezerros'!#REF!)) - (3.13 * ('Vacas e Bezerros'!#REF!-'Vacas e Bezerros'!#REF!)^2)</f>
        <v>#REF!</v>
      </c>
      <c r="GD32" s="16" t="e">
        <f>((GE31+('Vacas e Bezerros'!#REF!-(GE31*0.64))/0.8)/1000)-'Vacas e Bezerros'!#REF!</f>
        <v>#REF!</v>
      </c>
      <c r="GE32" s="17" t="e">
        <f>-53.07 + (304.89 * (GD32)) + (90.79 *('Vacas e Bezerros'!#REF!-'Vacas e Bezerros'!#REF!)) - (3.13 * ('Vacas e Bezerros'!#REF!-'Vacas e Bezerros'!#REF!)^2)</f>
        <v>#REF!</v>
      </c>
      <c r="GG32" s="16" t="e">
        <f>((GH31+('Vacas e Bezerros'!#REF!-(GH31*0.64))/0.8)/1000)-'Vacas e Bezerros'!#REF!</f>
        <v>#REF!</v>
      </c>
      <c r="GH32" s="17" t="e">
        <f>-53.07 + (304.89 * (GG32)) + (90.79 *('Vacas e Bezerros'!#REF!-'Vacas e Bezerros'!#REF!)) - (3.13 * ('Vacas e Bezerros'!#REF!-'Vacas e Bezerros'!#REF!)^2)</f>
        <v>#REF!</v>
      </c>
      <c r="GJ32" s="16" t="e">
        <f>((GK31+('Vacas e Bezerros'!#REF!-(GK31*0.64))/0.8)/1000)-'Vacas e Bezerros'!#REF!</f>
        <v>#REF!</v>
      </c>
      <c r="GK32" s="17" t="e">
        <f>-53.07 + (304.89 * (GJ32)) + (90.79 *('Vacas e Bezerros'!#REF!-'Vacas e Bezerros'!#REF!)) - (3.13 * ('Vacas e Bezerros'!#REF!-'Vacas e Bezerros'!#REF!)^2)</f>
        <v>#REF!</v>
      </c>
      <c r="GM32" s="16" t="e">
        <f>((GN31+('Vacas e Bezerros'!#REF!-(GN31*0.64))/0.8)/1000)-'Vacas e Bezerros'!#REF!</f>
        <v>#REF!</v>
      </c>
      <c r="GN32" s="17" t="e">
        <f>-53.07 + (304.89 * (GM32)) + (90.79 *('Vacas e Bezerros'!#REF!-'Vacas e Bezerros'!#REF!)) - (3.13 * ('Vacas e Bezerros'!#REF!-'Vacas e Bezerros'!#REF!)^2)</f>
        <v>#REF!</v>
      </c>
    </row>
    <row r="33" spans="3:196" x14ac:dyDescent="0.25">
      <c r="C33" s="16">
        <f>(D32+('Vacas e Bezerros'!$AA$28-(D32*0.64))/0.8)/1000</f>
        <v>0.35719668016155687</v>
      </c>
      <c r="D33" s="17">
        <f>-53.07 + (304.89 * (C33-'Vacas e Bezerros'!$C$206)) + (90.79 *('Vacas e Bezerros'!$AA$22)) - (3.13 *('Vacas e Bezerros'!$AA$22)^2)</f>
        <v>165.01876457544017</v>
      </c>
      <c r="F33" s="16" t="e">
        <f>(G32+(Crescimento!#REF!-(G32*0.64))/0.8)/1000</f>
        <v>#REF!</v>
      </c>
      <c r="G33" s="17" t="e">
        <f>-53.07 + (304.89 * (F33)) + (90.79 *Crescimento!#REF!) - (3.13 * Crescimento!#REF!*Crescimento!#REF!)</f>
        <v>#REF!</v>
      </c>
      <c r="H33" s="1"/>
      <c r="I33" s="16" t="e">
        <f>(J32+(Crescimento!#REF!-(J32*0.64))/0.8)/1000</f>
        <v>#REF!</v>
      </c>
      <c r="J33" s="17" t="e">
        <f>-53.07 + (304.89 * (I33)) + (90.79 *Crescimento!#REF!) - (3.13 * Crescimento!#REF!*Crescimento!#REF!)</f>
        <v>#REF!</v>
      </c>
      <c r="L33" s="16" t="e">
        <f>(M32+(Crescimento!#REF!-(M32*0.64))/0.8)/1000</f>
        <v>#REF!</v>
      </c>
      <c r="M33" s="17" t="e">
        <f>-53.07 + (304.89 * (L33)) + (90.79 *Crescimento!#REF!) - (3.13 * Crescimento!#REF!*Crescimento!#REF!)</f>
        <v>#REF!</v>
      </c>
      <c r="O33" s="16" t="e">
        <f>(P32+(Crescimento!#REF!-(P32*0.64))/0.8)/1000</f>
        <v>#REF!</v>
      </c>
      <c r="P33" s="17" t="e">
        <f>-53.07 + (304.89 * (O33)) + (90.79 *Crescimento!#REF!) - (3.13 * Crescimento!#REF!*Crescimento!#REF!)</f>
        <v>#REF!</v>
      </c>
      <c r="R33" s="16" t="e">
        <f>(S32+(Crescimento!#REF!-(S32*0.64))/0.8)/1000</f>
        <v>#REF!</v>
      </c>
      <c r="S33" s="17" t="e">
        <f>-53.07 + (304.89 * (R33)) + (90.79 *Crescimento!#REF!) - (3.13 * Crescimento!#REF!*Crescimento!#REF!)</f>
        <v>#REF!</v>
      </c>
      <c r="U33" s="16" t="e">
        <f>(V32+(Crescimento!#REF!-(V32*0.64))/0.8)/1000</f>
        <v>#REF!</v>
      </c>
      <c r="V33" s="17" t="e">
        <f>-53.07 + (304.89 * (U33)) + (90.79 *Crescimento!#REF!) - (3.13 * Crescimento!#REF!*Crescimento!#REF!)</f>
        <v>#REF!</v>
      </c>
      <c r="X33" s="16" t="e">
        <f>(Y32+(Crescimento!#REF!-(Y32*0.64))/0.8)/1000</f>
        <v>#REF!</v>
      </c>
      <c r="Y33" s="17" t="e">
        <f>-53.07 + (304.89 * (X33)) + (90.79 *Crescimento!#REF!) - (3.13 * Crescimento!#REF!*Crescimento!#REF!)</f>
        <v>#REF!</v>
      </c>
      <c r="Z33" s="6"/>
      <c r="AA33" s="16" t="e">
        <f>(AB32+(Crescimento!#REF!-(AB32*0.64))/0.8)/1000</f>
        <v>#REF!</v>
      </c>
      <c r="AB33" s="17" t="e">
        <f>-53.07 + (304.89 * (AA33)) + (90.79 *Crescimento!#REF!) - (3.13 * Crescimento!#REF!*Crescimento!#REF!)</f>
        <v>#REF!</v>
      </c>
      <c r="AC33" s="6"/>
      <c r="AD33" s="16" t="e">
        <f>(AE32+(Crescimento!#REF!-(AE32*0.64))/0.8)/1000</f>
        <v>#REF!</v>
      </c>
      <c r="AE33" s="17" t="e">
        <f>-53.07 + (304.89 * (AD33)) + (90.79 *Crescimento!#REF!) - (3.13 * Crescimento!#REF!*Crescimento!#REF!)</f>
        <v>#REF!</v>
      </c>
      <c r="AF33" s="17"/>
      <c r="AG33" s="16" t="e">
        <f>(AH32+(Crescimento!#REF!-(AH32*0.64))/0.8)/1000</f>
        <v>#REF!</v>
      </c>
      <c r="AH33" s="17" t="e">
        <f>-53.07 + (304.89 * (AG33)) + (90.79 *Crescimento!#REF!) - (3.13 * Crescimento!#REF!*Crescimento!#REF!)</f>
        <v>#REF!</v>
      </c>
      <c r="AJ33" s="16" t="e">
        <f>(AK32+(Crescimento!#REF!-(AK32*0.64))/0.8)/1000</f>
        <v>#REF!</v>
      </c>
      <c r="AK33" s="17" t="e">
        <f>-53.07 + (304.89 * (AJ33)) + (90.79 *Crescimento!#REF!) - (3.13 * Crescimento!#REF!*Crescimento!#REF!)</f>
        <v>#REF!</v>
      </c>
      <c r="AM33" s="16" t="e">
        <f>(AN32+(Crescimento!#REF!-(AN32*0.64))/0.8)/1000</f>
        <v>#REF!</v>
      </c>
      <c r="AN33" s="17" t="e">
        <f>-53.07 + (304.89 * (AM33)) + (90.79 *Crescimento!#REF!) - (3.13 * Crescimento!#REF!*Crescimento!#REF!)</f>
        <v>#REF!</v>
      </c>
      <c r="AP33" s="16" t="e">
        <f>(AQ32+(Crescimento!#REF!-(AQ32*0.64))/0.8)/1000</f>
        <v>#REF!</v>
      </c>
      <c r="AQ33" s="17" t="e">
        <f>-53.07 + (304.89 * (AP33)) + (90.79 *Crescimento!#REF!) - (3.13 * Crescimento!#REF!*Crescimento!#REF!)</f>
        <v>#REF!</v>
      </c>
      <c r="AS33" s="16" t="e">
        <f>(AT32+(Crescimento!#REF!-(AT32*0.64))/0.8)/1000</f>
        <v>#REF!</v>
      </c>
      <c r="AT33" s="17" t="e">
        <f>-53.07 + (304.89 * (AS33)) + (90.79 *Crescimento!#REF!) - (3.13 * Crescimento!#REF!*Crescimento!#REF!)</f>
        <v>#REF!</v>
      </c>
      <c r="AV33" s="16" t="e">
        <f>(AW32+(Crescimento!#REF!-(AW32*0.64))/0.8)/1000</f>
        <v>#REF!</v>
      </c>
      <c r="AW33" s="17" t="e">
        <f>-53.07 + (304.89 * (AV33)) + (90.79 *Crescimento!#REF!) - (3.13 * Crescimento!#REF!*Crescimento!#REF!)</f>
        <v>#REF!</v>
      </c>
      <c r="AY33" s="21" t="e">
        <f>((AZ32+(Crescimento!#REF!-(AZ32*0.64))/0.8)/1000)-Crescimento!#REF!</f>
        <v>#REF!</v>
      </c>
      <c r="AZ33" s="22" t="e">
        <f>-53.07 + (304.89 * (AY33)) + (90.79 *(Crescimento!#REF!-Crescimento!#REF!)) - (3.13 * (Crescimento!#REF!-Crescimento!#REF!)^2)</f>
        <v>#REF!</v>
      </c>
      <c r="BA33" s="23"/>
      <c r="BB33" s="21" t="e">
        <f>((BC32+(Crescimento!#REF!-(BC32*0.64))/0.8)/1000)-Crescimento!#REF!</f>
        <v>#REF!</v>
      </c>
      <c r="BC33" s="22" t="e">
        <f>-53.07 + (304.89 * (BB33)) + (90.79 *(Crescimento!#REF!-Crescimento!#REF!)) - (3.13 * (Crescimento!#REF!-Crescimento!#REF!)^2)</f>
        <v>#REF!</v>
      </c>
      <c r="BD33" s="23"/>
      <c r="BE33" s="21" t="e">
        <f>((BF32+(Crescimento!#REF!-(BF32*0.64))/0.8)/1000)-Crescimento!#REF!</f>
        <v>#REF!</v>
      </c>
      <c r="BF33" s="22" t="e">
        <f>-53.07 + (304.89 * (BE33)) + (90.79 *(Crescimento!#REF!-Crescimento!#REF!)) - (3.13 * (Crescimento!#REF!-Crescimento!#REF!)^2)</f>
        <v>#REF!</v>
      </c>
      <c r="BG33" s="23"/>
      <c r="BH33" s="21" t="e">
        <f>((BI32+(Crescimento!#REF!-(BI32*0.64))/0.8)/1000)-Crescimento!#REF!</f>
        <v>#REF!</v>
      </c>
      <c r="BI33" s="22" t="e">
        <f>-53.07 + (304.89 * (BH33)) + (90.79 *(Crescimento!#REF!-Crescimento!#REF!)) - (3.13 * (Crescimento!#REF!-Crescimento!#REF!)^2)</f>
        <v>#REF!</v>
      </c>
      <c r="BJ33" s="23"/>
      <c r="BK33" s="21" t="e">
        <f>((BL32+(Crescimento!#REF!-(BL32*0.64))/0.8)/1000)-Crescimento!#REF!</f>
        <v>#REF!</v>
      </c>
      <c r="BL33" s="22" t="e">
        <f>-53.07 + (304.89 * (BK33)) + (90.79 *(Crescimento!#REF!-Crescimento!#REF!)) - (3.13 * (Crescimento!#REF!-Crescimento!#REF!)^2)</f>
        <v>#REF!</v>
      </c>
      <c r="BM33" s="23"/>
      <c r="BN33" s="21" t="e">
        <f>((BO32+(Crescimento!#REF!-(BO32*0.64))/0.8)/1000)-Crescimento!#REF!</f>
        <v>#REF!</v>
      </c>
      <c r="BO33" s="22" t="e">
        <f>-53.07 + (304.89 * (BN33)) + (90.79 *(Crescimento!#REF!-Crescimento!#REF!)) - (3.13 * (Crescimento!#REF!-Crescimento!#REF!)^2)</f>
        <v>#REF!</v>
      </c>
      <c r="BP33" s="23"/>
      <c r="BQ33" s="21" t="e">
        <f>((BR32+(Crescimento!#REF!-(BR32*0.64))/0.8)/1000)-Crescimento!#REF!</f>
        <v>#REF!</v>
      </c>
      <c r="BR33" s="22" t="e">
        <f>-53.07 + (304.89 * (BQ33)) + (90.79 *(Crescimento!#REF!-Crescimento!#REF!)) - (3.13 * (Crescimento!#REF!-Crescimento!#REF!)^2)</f>
        <v>#REF!</v>
      </c>
      <c r="BS33" s="23"/>
      <c r="BT33" s="21" t="e">
        <f>((BU32+(Crescimento!#REF!-(BU32*0.64))/0.8)/1000)-Crescimento!#REF!</f>
        <v>#REF!</v>
      </c>
      <c r="BU33" s="22" t="e">
        <f>-53.07 + (304.89 * (BT33)) + (90.79 *(Crescimento!#REF!-Crescimento!#REF!)) - (3.13 * (Crescimento!#REF!-Crescimento!#REF!)^2)</f>
        <v>#REF!</v>
      </c>
      <c r="BV33" s="23"/>
      <c r="BW33" s="21" t="e">
        <f>((BX32+(Crescimento!#REF!-(BX32*0.64))/0.8)/1000)-Crescimento!#REF!</f>
        <v>#REF!</v>
      </c>
      <c r="BX33" s="22" t="e">
        <f>-53.07 + (304.89 * (BW33)) + (90.79 *(Crescimento!#REF!-Crescimento!#REF!)) - (3.13 * (Crescimento!#REF!-Crescimento!#REF!)^2)</f>
        <v>#REF!</v>
      </c>
      <c r="BY33" s="23"/>
      <c r="BZ33" s="21" t="e">
        <f>((CA32+(Crescimento!#REF!-(CA32*0.64))/0.8)/1000)-Crescimento!#REF!</f>
        <v>#REF!</v>
      </c>
      <c r="CA33" s="22" t="e">
        <f>-53.07 + (304.89 * (BZ33)) + (90.79 *(Crescimento!#REF!-Crescimento!#REF!)) - (3.13 * (Crescimento!#REF!-Crescimento!#REF!)^2)</f>
        <v>#REF!</v>
      </c>
      <c r="CB33" s="23"/>
      <c r="CC33" s="21" t="e">
        <f>((CD32+(Crescimento!#REF!-(CD32*0.64))/0.8)/1000)-Crescimento!#REF!</f>
        <v>#REF!</v>
      </c>
      <c r="CD33" s="22" t="e">
        <f>-53.07 + (304.89 * (CC33)) + (90.79 *(Crescimento!#REF!-Crescimento!#REF!)) - (3.13 * (Crescimento!#REF!-Crescimento!#REF!)^2)</f>
        <v>#REF!</v>
      </c>
      <c r="CE33" s="23"/>
      <c r="CF33" s="21" t="e">
        <f>((CG32+(Crescimento!#REF!-(CG32*0.64))/0.8)/1000)-Crescimento!#REF!</f>
        <v>#REF!</v>
      </c>
      <c r="CG33" s="22" t="e">
        <f>-53.07 + (304.89 * (CF33)) + (90.79 *(Crescimento!#REF!-Crescimento!#REF!)) - (3.13 * (Crescimento!#REF!-Crescimento!#REF!)^2)</f>
        <v>#REF!</v>
      </c>
      <c r="CH33" s="23"/>
      <c r="CI33" s="21" t="e">
        <f>((CJ32+(Crescimento!#REF!-(CJ32*0.64))/0.8)/1000)-Crescimento!#REF!</f>
        <v>#REF!</v>
      </c>
      <c r="CJ33" s="22" t="e">
        <f>-53.07 + (304.89 * (CI33)) + (90.79 *(Crescimento!#REF!-Crescimento!#REF!)) - (3.13 * (Crescimento!#REF!-Crescimento!#REF!)^2)</f>
        <v>#REF!</v>
      </c>
      <c r="CK33" s="23"/>
      <c r="CL33" s="21" t="e">
        <f>((CM32+(Crescimento!#REF!-(CM32*0.64))/0.8)/1000)-Crescimento!#REF!</f>
        <v>#REF!</v>
      </c>
      <c r="CM33" s="22" t="e">
        <f>-53.07 + (304.89 * (CL33)) + (90.79 *(Crescimento!#REF!-Crescimento!#REF!)) - (3.13 * (Crescimento!#REF!-Crescimento!#REF!)^2)</f>
        <v>#REF!</v>
      </c>
      <c r="CN33" s="23"/>
      <c r="CO33" s="21" t="e">
        <f>((CP32+(Crescimento!#REF!-(CP32*0.64))/0.8)/1000)-Crescimento!#REF!</f>
        <v>#REF!</v>
      </c>
      <c r="CP33" s="22" t="e">
        <f>-53.07 + (304.89 * (CO33)) + (90.79 *(Crescimento!#REF!-Crescimento!#REF!)) - (3.13 * (Crescimento!#REF!-Crescimento!#REF!)^2)</f>
        <v>#REF!</v>
      </c>
      <c r="CQ33" s="23"/>
      <c r="CR33" s="21" t="e">
        <f>((CS32+(Crescimento!#REF!-(CS32*0.64))/0.8)/1000)-Crescimento!#REF!</f>
        <v>#REF!</v>
      </c>
      <c r="CS33" s="22" t="e">
        <f>-53.07 + (304.89 * (CR33)) + (90.79 *(Crescimento!#REF!-Crescimento!#REF!)) - (3.13 * (Crescimento!#REF!-Crescimento!#REF!)^2)</f>
        <v>#REF!</v>
      </c>
      <c r="CX33" s="16" t="e">
        <f>((CY32+(Crescimento!#REF!-(CY32*0.64))/0.8)/1000)-Crescimento!#REF!</f>
        <v>#REF!</v>
      </c>
      <c r="CY33" s="17" t="e">
        <f>-53.07 + (304.89 * (CX33)) + (90.79 *(Crescimento!#REF!-Crescimento!#REF!)) - (3.13 * (Crescimento!#REF!-Crescimento!#REF!)^2)</f>
        <v>#REF!</v>
      </c>
      <c r="DA33" s="16" t="e">
        <f>((DB32+(Crescimento!#REF!-(DB32*0.64))/0.8)/1000)-Crescimento!#REF!</f>
        <v>#REF!</v>
      </c>
      <c r="DB33" s="17" t="e">
        <f>-53.07 + (304.89 * (DA33)) + (90.79 *(Crescimento!#REF!-Crescimento!#REF!)) - (3.13 * (Crescimento!#REF!-Crescimento!#REF!)^2)</f>
        <v>#REF!</v>
      </c>
      <c r="DD33" s="16" t="e">
        <f>(DE32+(Crescimento!#REF!-(DE32*0.64))/0.8)/1000</f>
        <v>#REF!</v>
      </c>
      <c r="DE33" s="17" t="e">
        <f>-53.07 + (304.89 * (DD33)) + (90.79 *Crescimento!#REF!) - (3.13 * Crescimento!#REF!*Crescimento!#REF!)</f>
        <v>#REF!</v>
      </c>
      <c r="DG33" s="16" t="e">
        <f>((DH32+(Crescimento!#REF!-(DH32*0.64))/0.8)/1000)-Crescimento!#REF!</f>
        <v>#REF!</v>
      </c>
      <c r="DH33" s="17" t="e">
        <f>-53.07 + (304.89 * (DG33)) + (90.79 *(Crescimento!#REF!-Crescimento!#REF!)) - (3.13 * (Crescimento!#REF!-Crescimento!#REF!)^2)</f>
        <v>#REF!</v>
      </c>
      <c r="DJ33" s="16" t="e">
        <f>((DK32+(Crescimento!#REF!-(DK32*0.64))/0.8)/1000)-Crescimento!#REF!</f>
        <v>#REF!</v>
      </c>
      <c r="DK33" s="17" t="e">
        <f>-53.07 + (304.89 * (DJ33)) + (90.79 *(Crescimento!#REF!-Crescimento!#REF!)) - (3.13 * (Crescimento!#REF!-Crescimento!#REF!)^2)</f>
        <v>#REF!</v>
      </c>
      <c r="DM33" s="16" t="e">
        <f>((DN32+(Crescimento!#REF!-(DN32*0.64))/0.8)/1000)-Crescimento!#REF!</f>
        <v>#REF!</v>
      </c>
      <c r="DN33" s="17" t="e">
        <f>-53.07 + (304.89 * (DM33)) + (90.79 *(Crescimento!#REF!-Crescimento!#REF!)) - (3.13 * (Crescimento!#REF!-Crescimento!#REF!)^2)</f>
        <v>#REF!</v>
      </c>
      <c r="DP33" s="16" t="e">
        <f>(DQ32+(Crescimento!#REF!-(DQ32*0.64))/0.8)/1000</f>
        <v>#REF!</v>
      </c>
      <c r="DQ33" s="17" t="e">
        <f>-53.07 + (304.89 * (DP33)) + (90.79 *(Crescimento!#REF!-Crescimento!#REF!)) - (3.13 * (Crescimento!#REF!-Crescimento!#REF!)^2)</f>
        <v>#REF!</v>
      </c>
      <c r="DS33" s="16" t="e">
        <f>((DT32+(Crescimento!#REF!-(DT32*0.64))/0.8)/1000)-Crescimento!#REF!</f>
        <v>#REF!</v>
      </c>
      <c r="DT33" s="17" t="e">
        <f>-53.07 + (304.89 * (DS33)) + (90.79 *(Crescimento!#REF!-Crescimento!#REF!)) - (3.13 * (Crescimento!#REF!-Crescimento!#REF!)^2)</f>
        <v>#REF!</v>
      </c>
      <c r="DV33" s="16" t="e">
        <f>((DW32+(Crescimento!#REF!-(DW32*0.64))/0.8)/1000)-Crescimento!#REF!</f>
        <v>#REF!</v>
      </c>
      <c r="DW33" s="17" t="e">
        <f>-53.07 + (304.89 * (DV33)) + (90.79 *(Crescimento!#REF!-Crescimento!#REF!)) - (3.13 * (Crescimento!#REF!-Crescimento!#REF!)^2)</f>
        <v>#REF!</v>
      </c>
      <c r="DY33" s="16" t="e">
        <f>((DZ32+(Crescimento!#REF!-(DZ32*0.64))/0.8)/1000)-Crescimento!#REF!</f>
        <v>#REF!</v>
      </c>
      <c r="DZ33" s="17" t="e">
        <f>-53.07 + (304.89 * (DY33)) + (90.79 *(Crescimento!#REF!-Crescimento!#REF!)) - (3.13 * (Crescimento!#REF!-Crescimento!#REF!)^2)</f>
        <v>#REF!</v>
      </c>
      <c r="EB33" s="16" t="e">
        <f>((EC32+(Crescimento!#REF!-(EC32*0.64))/0.8)/1000)-Crescimento!#REF!</f>
        <v>#REF!</v>
      </c>
      <c r="EC33" s="17" t="e">
        <f>-53.07 + (304.89 * (EB33)) + (90.79 *(Crescimento!#REF!-Crescimento!#REF!)) - (3.13 * (Crescimento!#REF!-Crescimento!#REF!)^2)</f>
        <v>#REF!</v>
      </c>
      <c r="EE33" s="16" t="e">
        <f>((EF32+(Crescimento!#REF!-(EF32*0.64))/0.8)/1000)-Crescimento!#REF!</f>
        <v>#REF!</v>
      </c>
      <c r="EF33" s="17" t="e">
        <f>-53.07 + (304.89 * (EE33)) + (90.79 *(Crescimento!#REF!-Crescimento!#REF!)) - (3.13 * (Crescimento!#REF!-Crescimento!#REF!)^2)</f>
        <v>#REF!</v>
      </c>
      <c r="EH33" s="16" t="e">
        <f>((EI32+(Crescimento!#REF!-(EI32*0.64))/0.8)/1000)-Crescimento!#REF!</f>
        <v>#REF!</v>
      </c>
      <c r="EI33" s="17" t="e">
        <f>-53.07 + (304.89 * (EH33)) + (90.79 *(Crescimento!#REF!-Crescimento!#REF!)) - (3.13 * (Crescimento!#REF!-Crescimento!#REF!)^2)</f>
        <v>#REF!</v>
      </c>
      <c r="EK33" s="16" t="e">
        <f>((EL32+(Crescimento!#REF!-(EL32*0.64))/0.8)/1000)-Crescimento!#REF!</f>
        <v>#REF!</v>
      </c>
      <c r="EL33" s="17" t="e">
        <f>-53.07 + (304.89 * (EK33)) + (90.79 *(Crescimento!#REF!-Crescimento!#REF!)) - (3.13 * (Crescimento!#REF!-Crescimento!#REF!)^2)</f>
        <v>#REF!</v>
      </c>
      <c r="EN33" s="16" t="e">
        <f>((EO32+(Crescimento!#REF!-(EO32*0.64))/0.8)/1000)-Crescimento!#REF!</f>
        <v>#REF!</v>
      </c>
      <c r="EO33" s="17" t="e">
        <f>-53.07 + (304.89 * (EN33)) + (90.79 *(Crescimento!#REF!-Crescimento!#REF!)) - (3.13 * (Crescimento!#REF!-Crescimento!#REF!)^2)</f>
        <v>#REF!</v>
      </c>
      <c r="EQ33" s="16" t="e">
        <f>((ER32+(Crescimento!#REF!-(ER32*0.64))/0.8)/1000)-Crescimento!#REF!</f>
        <v>#REF!</v>
      </c>
      <c r="ER33" s="17" t="e">
        <f>-53.07 + (304.89 * (EQ33)) + (90.79 *(Crescimento!#REF!-Crescimento!#REF!)) - (3.13 * (Crescimento!#REF!-Crescimento!#REF!)^2)</f>
        <v>#REF!</v>
      </c>
      <c r="ET33" s="16" t="e">
        <f>((EU32+(Crescimento!#REF!-(EU32*0.64))/0.8)/1000)-Crescimento!#REF!</f>
        <v>#REF!</v>
      </c>
      <c r="EU33" s="17" t="e">
        <f>-53.07 + (304.89 * (ET33)) + (90.79 *(Crescimento!#REF!-Crescimento!#REF!)) - (3.13 * (Crescimento!#REF!-Crescimento!#REF!)^2)</f>
        <v>#REF!</v>
      </c>
      <c r="EW33" s="16" t="e">
        <f>((EX32+('Vacas e Bezerros'!#REF!-(EX32*0.64))/0.8)/1000)-'Vacas e Bezerros'!#REF!</f>
        <v>#REF!</v>
      </c>
      <c r="EX33" s="17" t="e">
        <f>-53.07 + (304.89 * (EW33)) + (90.79 *('Vacas e Bezerros'!#REF!-'Vacas e Bezerros'!#REF!)) - (3.13 * ('Vacas e Bezerros'!#REF!-'Vacas e Bezerros'!#REF!)^2)</f>
        <v>#REF!</v>
      </c>
      <c r="EZ33" s="16" t="e">
        <f>((FA32+('Vacas e Bezerros'!#REF!-(FA32*0.64))/0.8)/1000)-'Vacas e Bezerros'!#REF!</f>
        <v>#REF!</v>
      </c>
      <c r="FA33" s="17" t="e">
        <f>-53.07 + (304.89 * (EZ33)) + (90.79 *('Vacas e Bezerros'!#REF!-'Vacas e Bezerros'!#REF!)) - (3.13 * ('Vacas e Bezerros'!#REF!-'Vacas e Bezerros'!#REF!)^2)</f>
        <v>#REF!</v>
      </c>
      <c r="FC33" s="16" t="e">
        <f>((FD32+('Vacas e Bezerros'!#REF!-(FD32*0.64))/0.8)/1000)-'Vacas e Bezerros'!#REF!</f>
        <v>#REF!</v>
      </c>
      <c r="FD33" s="17" t="e">
        <f>-53.07 + (304.89 * (FC33)) + (90.79 *('Vacas e Bezerros'!#REF!-'Vacas e Bezerros'!#REF!)) - (3.13 * ('Vacas e Bezerros'!#REF!-'Vacas e Bezerros'!#REF!)^2)</f>
        <v>#REF!</v>
      </c>
      <c r="FF33" s="16" t="e">
        <f>((FG32+('Vacas e Bezerros'!#REF!-(FG32*0.64))/0.8)/1000)-'Vacas e Bezerros'!#REF!</f>
        <v>#REF!</v>
      </c>
      <c r="FG33" s="17" t="e">
        <f>-53.07 + (304.89 * (FF33)) + (90.79 *('Vacas e Bezerros'!#REF!-'Vacas e Bezerros'!#REF!)) - (3.13 * ('Vacas e Bezerros'!#REF!-'Vacas e Bezerros'!#REF!)^2)</f>
        <v>#REF!</v>
      </c>
      <c r="FI33" s="16" t="e">
        <f>((FJ32+('Vacas e Bezerros'!#REF!-(FJ32*0.64))/0.8)/1000)-'Vacas e Bezerros'!#REF!</f>
        <v>#REF!</v>
      </c>
      <c r="FJ33" s="17" t="e">
        <f>-53.07 + (304.89 * (FI33)) + (90.79 *('Vacas e Bezerros'!#REF!-'Vacas e Bezerros'!#REF!)) - (3.13 * ('Vacas e Bezerros'!#REF!-'Vacas e Bezerros'!#REF!)^2)</f>
        <v>#REF!</v>
      </c>
      <c r="FL33" s="16" t="e">
        <f>((FM32+('Vacas e Bezerros'!#REF!-(FM32*0.64))/0.8)/1000)-'Vacas e Bezerros'!#REF!</f>
        <v>#REF!</v>
      </c>
      <c r="FM33" s="17" t="e">
        <f>-53.07 + (304.89 * (FL33)) + (90.79 *('Vacas e Bezerros'!#REF!-'Vacas e Bezerros'!#REF!)) - (3.13 * ('Vacas e Bezerros'!#REF!-'Vacas e Bezerros'!#REF!)^2)</f>
        <v>#REF!</v>
      </c>
      <c r="FO33" s="16" t="e">
        <f>((FP32+('Vacas e Bezerros'!#REF!-(FP32*0.64))/0.8)/1000)-'Vacas e Bezerros'!#REF!</f>
        <v>#REF!</v>
      </c>
      <c r="FP33" s="17" t="e">
        <f>-53.07 + (304.89 * (FO33)) + (90.79 *('Vacas e Bezerros'!#REF!-'Vacas e Bezerros'!#REF!)) - (3.13 * ('Vacas e Bezerros'!#REF!-'Vacas e Bezerros'!#REF!)^2)</f>
        <v>#REF!</v>
      </c>
      <c r="FR33" s="16" t="e">
        <f>((FS32+('Vacas e Bezerros'!#REF!-(FS32*0.64))/0.8)/1000)-'Vacas e Bezerros'!#REF!</f>
        <v>#REF!</v>
      </c>
      <c r="FS33" s="17" t="e">
        <f>-53.07 + (304.89 * (FR33)) + (90.79 *('Vacas e Bezerros'!#REF!-'Vacas e Bezerros'!#REF!)) - (3.13 * ('Vacas e Bezerros'!#REF!-'Vacas e Bezerros'!#REF!)^2)</f>
        <v>#REF!</v>
      </c>
      <c r="FU33" s="16" t="e">
        <f>((FV32+('Vacas e Bezerros'!#REF!-(FV32*0.64))/0.8)/1000)-'Vacas e Bezerros'!#REF!</f>
        <v>#REF!</v>
      </c>
      <c r="FV33" s="17" t="e">
        <f>-53.07 + (304.89 * (FU33)) + (90.79 *('Vacas e Bezerros'!#REF!-'Vacas e Bezerros'!#REF!)) - (3.13 * ('Vacas e Bezerros'!#REF!-'Vacas e Bezerros'!#REF!)^2)</f>
        <v>#REF!</v>
      </c>
      <c r="FX33" s="16" t="e">
        <f>((FY32+('Vacas e Bezerros'!#REF!-(FY32*0.64))/0.8)/1000)-'Vacas e Bezerros'!#REF!</f>
        <v>#REF!</v>
      </c>
      <c r="FY33" s="17" t="e">
        <f>-53.07 + (304.89 * (FX33)) + (90.79 *('Vacas e Bezerros'!#REF!-'Vacas e Bezerros'!#REF!)) - (3.13 * ('Vacas e Bezerros'!#REF!-'Vacas e Bezerros'!#REF!)^2)</f>
        <v>#REF!</v>
      </c>
      <c r="GA33" s="16" t="e">
        <f>((GB32+('Vacas e Bezerros'!#REF!-(GB32*0.64))/0.8)/1000)-'Vacas e Bezerros'!#REF!</f>
        <v>#REF!</v>
      </c>
      <c r="GB33" s="17" t="e">
        <f>-53.07 + (304.89 * (GA33)) + (90.79 *('Vacas e Bezerros'!#REF!-'Vacas e Bezerros'!#REF!)) - (3.13 * ('Vacas e Bezerros'!#REF!-'Vacas e Bezerros'!#REF!)^2)</f>
        <v>#REF!</v>
      </c>
      <c r="GD33" s="16" t="e">
        <f>((GE32+('Vacas e Bezerros'!#REF!-(GE32*0.64))/0.8)/1000)-'Vacas e Bezerros'!#REF!</f>
        <v>#REF!</v>
      </c>
      <c r="GE33" s="17" t="e">
        <f>-53.07 + (304.89 * (GD33)) + (90.79 *('Vacas e Bezerros'!#REF!-'Vacas e Bezerros'!#REF!)) - (3.13 * ('Vacas e Bezerros'!#REF!-'Vacas e Bezerros'!#REF!)^2)</f>
        <v>#REF!</v>
      </c>
      <c r="GG33" s="16" t="e">
        <f>((GH32+('Vacas e Bezerros'!#REF!-(GH32*0.64))/0.8)/1000)-'Vacas e Bezerros'!#REF!</f>
        <v>#REF!</v>
      </c>
      <c r="GH33" s="17" t="e">
        <f>-53.07 + (304.89 * (GG33)) + (90.79 *('Vacas e Bezerros'!#REF!-'Vacas e Bezerros'!#REF!)) - (3.13 * ('Vacas e Bezerros'!#REF!-'Vacas e Bezerros'!#REF!)^2)</f>
        <v>#REF!</v>
      </c>
      <c r="GJ33" s="16" t="e">
        <f>((GK32+('Vacas e Bezerros'!#REF!-(GK32*0.64))/0.8)/1000)-'Vacas e Bezerros'!#REF!</f>
        <v>#REF!</v>
      </c>
      <c r="GK33" s="17" t="e">
        <f>-53.07 + (304.89 * (GJ33)) + (90.79 *('Vacas e Bezerros'!#REF!-'Vacas e Bezerros'!#REF!)) - (3.13 * ('Vacas e Bezerros'!#REF!-'Vacas e Bezerros'!#REF!)^2)</f>
        <v>#REF!</v>
      </c>
      <c r="GM33" s="16" t="e">
        <f>((GN32+('Vacas e Bezerros'!#REF!-(GN32*0.64))/0.8)/1000)-'Vacas e Bezerros'!#REF!</f>
        <v>#REF!</v>
      </c>
      <c r="GN33" s="17" t="e">
        <f>-53.07 + (304.89 * (GM33)) + (90.79 *('Vacas e Bezerros'!#REF!-'Vacas e Bezerros'!#REF!)) - (3.13 * ('Vacas e Bezerros'!#REF!-'Vacas e Bezerros'!#REF!)^2)</f>
        <v>#REF!</v>
      </c>
    </row>
    <row r="34" spans="3:196" x14ac:dyDescent="0.25">
      <c r="C34" s="16">
        <f>(D33+('Vacas e Bezerros'!$AA$28-(D33*0.64))/0.8)/1000</f>
        <v>0.35719668016155687</v>
      </c>
      <c r="D34" s="17">
        <f>-53.07 + (304.89 * (C34-'Vacas e Bezerros'!$C$206)) + (90.79 *('Vacas e Bezerros'!$AA$22)) - (3.13 *('Vacas e Bezerros'!$AA$22)^2)</f>
        <v>165.01876457544017</v>
      </c>
      <c r="F34" s="16" t="e">
        <f>(G33+(Crescimento!#REF!-(G33*0.64))/0.8)/1000</f>
        <v>#REF!</v>
      </c>
      <c r="G34" s="17" t="e">
        <f>-53.07 + (304.89 * (F34)) + (90.79 *Crescimento!#REF!) - (3.13 * Crescimento!#REF!*Crescimento!#REF!)</f>
        <v>#REF!</v>
      </c>
      <c r="H34" s="1"/>
      <c r="I34" s="16" t="e">
        <f>(J33+(Crescimento!#REF!-(J33*0.64))/0.8)/1000</f>
        <v>#REF!</v>
      </c>
      <c r="J34" s="17" t="e">
        <f>-53.07 + (304.89 * (I34)) + (90.79 *Crescimento!#REF!) - (3.13 * Crescimento!#REF!*Crescimento!#REF!)</f>
        <v>#REF!</v>
      </c>
      <c r="L34" s="16" t="e">
        <f>(M33+(Crescimento!#REF!-(M33*0.64))/0.8)/1000</f>
        <v>#REF!</v>
      </c>
      <c r="M34" s="17" t="e">
        <f>-53.07 + (304.89 * (L34)) + (90.79 *Crescimento!#REF!) - (3.13 * Crescimento!#REF!*Crescimento!#REF!)</f>
        <v>#REF!</v>
      </c>
      <c r="O34" s="16" t="e">
        <f>(P33+(Crescimento!#REF!-(P33*0.64))/0.8)/1000</f>
        <v>#REF!</v>
      </c>
      <c r="P34" s="17" t="e">
        <f>-53.07 + (304.89 * (O34)) + (90.79 *Crescimento!#REF!) - (3.13 * Crescimento!#REF!*Crescimento!#REF!)</f>
        <v>#REF!</v>
      </c>
      <c r="R34" s="16" t="e">
        <f>(S33+(Crescimento!#REF!-(S33*0.64))/0.8)/1000</f>
        <v>#REF!</v>
      </c>
      <c r="S34" s="17" t="e">
        <f>-53.07 + (304.89 * (R34)) + (90.79 *Crescimento!#REF!) - (3.13 * Crescimento!#REF!*Crescimento!#REF!)</f>
        <v>#REF!</v>
      </c>
      <c r="U34" s="16" t="e">
        <f>(V33+(Crescimento!#REF!-(V33*0.64))/0.8)/1000</f>
        <v>#REF!</v>
      </c>
      <c r="V34" s="17" t="e">
        <f>-53.07 + (304.89 * (U34)) + (90.79 *Crescimento!#REF!) - (3.13 * Crescimento!#REF!*Crescimento!#REF!)</f>
        <v>#REF!</v>
      </c>
      <c r="X34" s="16" t="e">
        <f>(Y33+(Crescimento!#REF!-(Y33*0.64))/0.8)/1000</f>
        <v>#REF!</v>
      </c>
      <c r="Y34" s="17" t="e">
        <f>-53.07 + (304.89 * (X34)) + (90.79 *Crescimento!#REF!) - (3.13 * Crescimento!#REF!*Crescimento!#REF!)</f>
        <v>#REF!</v>
      </c>
      <c r="Z34" s="6"/>
      <c r="AA34" s="16" t="e">
        <f>(AB33+(Crescimento!#REF!-(AB33*0.64))/0.8)/1000</f>
        <v>#REF!</v>
      </c>
      <c r="AB34" s="17" t="e">
        <f>-53.07 + (304.89 * (AA34)) + (90.79 *Crescimento!#REF!) - (3.13 * Crescimento!#REF!*Crescimento!#REF!)</f>
        <v>#REF!</v>
      </c>
      <c r="AC34" s="6"/>
      <c r="AD34" s="16" t="e">
        <f>(AE33+(Crescimento!#REF!-(AE33*0.64))/0.8)/1000</f>
        <v>#REF!</v>
      </c>
      <c r="AE34" s="17" t="e">
        <f>-53.07 + (304.89 * (AD34)) + (90.79 *Crescimento!#REF!) - (3.13 * Crescimento!#REF!*Crescimento!#REF!)</f>
        <v>#REF!</v>
      </c>
      <c r="AF34" s="17"/>
      <c r="AG34" s="16" t="e">
        <f>(AH33+(Crescimento!#REF!-(AH33*0.64))/0.8)/1000</f>
        <v>#REF!</v>
      </c>
      <c r="AH34" s="17" t="e">
        <f>-53.07 + (304.89 * (AG34)) + (90.79 *Crescimento!#REF!) - (3.13 * Crescimento!#REF!*Crescimento!#REF!)</f>
        <v>#REF!</v>
      </c>
      <c r="AJ34" s="16" t="e">
        <f>(AK33+(Crescimento!#REF!-(AK33*0.64))/0.8)/1000</f>
        <v>#REF!</v>
      </c>
      <c r="AK34" s="17" t="e">
        <f>-53.07 + (304.89 * (AJ34)) + (90.79 *Crescimento!#REF!) - (3.13 * Crescimento!#REF!*Crescimento!#REF!)</f>
        <v>#REF!</v>
      </c>
      <c r="AM34" s="16" t="e">
        <f>(AN33+(Crescimento!#REF!-(AN33*0.64))/0.8)/1000</f>
        <v>#REF!</v>
      </c>
      <c r="AN34" s="17" t="e">
        <f>-53.07 + (304.89 * (AM34)) + (90.79 *Crescimento!#REF!) - (3.13 * Crescimento!#REF!*Crescimento!#REF!)</f>
        <v>#REF!</v>
      </c>
      <c r="AP34" s="16" t="e">
        <f>(AQ33+(Crescimento!#REF!-(AQ33*0.64))/0.8)/1000</f>
        <v>#REF!</v>
      </c>
      <c r="AQ34" s="17" t="e">
        <f>-53.07 + (304.89 * (AP34)) + (90.79 *Crescimento!#REF!) - (3.13 * Crescimento!#REF!*Crescimento!#REF!)</f>
        <v>#REF!</v>
      </c>
      <c r="AS34" s="16" t="e">
        <f>(AT33+(Crescimento!#REF!-(AT33*0.64))/0.8)/1000</f>
        <v>#REF!</v>
      </c>
      <c r="AT34" s="17" t="e">
        <f>-53.07 + (304.89 * (AS34)) + (90.79 *Crescimento!#REF!) - (3.13 * Crescimento!#REF!*Crescimento!#REF!)</f>
        <v>#REF!</v>
      </c>
      <c r="AV34" s="16" t="e">
        <f>(AW33+(Crescimento!#REF!-(AW33*0.64))/0.8)/1000</f>
        <v>#REF!</v>
      </c>
      <c r="AW34" s="17" t="e">
        <f>-53.07 + (304.89 * (AV34)) + (90.79 *Crescimento!#REF!) - (3.13 * Crescimento!#REF!*Crescimento!#REF!)</f>
        <v>#REF!</v>
      </c>
      <c r="AY34" s="21" t="e">
        <f>((AZ33+(Crescimento!#REF!-(AZ33*0.64))/0.8)/1000)-Crescimento!#REF!</f>
        <v>#REF!</v>
      </c>
      <c r="AZ34" s="22" t="e">
        <f>-53.07 + (304.89 * (AY34)) + (90.79 *(Crescimento!#REF!-Crescimento!#REF!)) - (3.13 * (Crescimento!#REF!-Crescimento!#REF!)^2)</f>
        <v>#REF!</v>
      </c>
      <c r="BA34" s="23"/>
      <c r="BB34" s="21" t="e">
        <f>((BC33+(Crescimento!#REF!-(BC33*0.64))/0.8)/1000)-Crescimento!#REF!</f>
        <v>#REF!</v>
      </c>
      <c r="BC34" s="22" t="e">
        <f>-53.07 + (304.89 * (BB34)) + (90.79 *(Crescimento!#REF!-Crescimento!#REF!)) - (3.13 * (Crescimento!#REF!-Crescimento!#REF!)^2)</f>
        <v>#REF!</v>
      </c>
      <c r="BD34" s="23"/>
      <c r="BE34" s="21" t="e">
        <f>((BF33+(Crescimento!#REF!-(BF33*0.64))/0.8)/1000)-Crescimento!#REF!</f>
        <v>#REF!</v>
      </c>
      <c r="BF34" s="22" t="e">
        <f>-53.07 + (304.89 * (BE34)) + (90.79 *(Crescimento!#REF!-Crescimento!#REF!)) - (3.13 * (Crescimento!#REF!-Crescimento!#REF!)^2)</f>
        <v>#REF!</v>
      </c>
      <c r="BG34" s="23"/>
      <c r="BH34" s="21" t="e">
        <f>((BI33+(Crescimento!#REF!-(BI33*0.64))/0.8)/1000)-Crescimento!#REF!</f>
        <v>#REF!</v>
      </c>
      <c r="BI34" s="22" t="e">
        <f>-53.07 + (304.89 * (BH34)) + (90.79 *(Crescimento!#REF!-Crescimento!#REF!)) - (3.13 * (Crescimento!#REF!-Crescimento!#REF!)^2)</f>
        <v>#REF!</v>
      </c>
      <c r="BJ34" s="23"/>
      <c r="BK34" s="21" t="e">
        <f>((BL33+(Crescimento!#REF!-(BL33*0.64))/0.8)/1000)-Crescimento!#REF!</f>
        <v>#REF!</v>
      </c>
      <c r="BL34" s="22" t="e">
        <f>-53.07 + (304.89 * (BK34)) + (90.79 *(Crescimento!#REF!-Crescimento!#REF!)) - (3.13 * (Crescimento!#REF!-Crescimento!#REF!)^2)</f>
        <v>#REF!</v>
      </c>
      <c r="BM34" s="23"/>
      <c r="BN34" s="21" t="e">
        <f>((BO33+(Crescimento!#REF!-(BO33*0.64))/0.8)/1000)-Crescimento!#REF!</f>
        <v>#REF!</v>
      </c>
      <c r="BO34" s="22" t="e">
        <f>-53.07 + (304.89 * (BN34)) + (90.79 *(Crescimento!#REF!-Crescimento!#REF!)) - (3.13 * (Crescimento!#REF!-Crescimento!#REF!)^2)</f>
        <v>#REF!</v>
      </c>
      <c r="BP34" s="23"/>
      <c r="BQ34" s="21" t="e">
        <f>((BR33+(Crescimento!#REF!-(BR33*0.64))/0.8)/1000)-Crescimento!#REF!</f>
        <v>#REF!</v>
      </c>
      <c r="BR34" s="22" t="e">
        <f>-53.07 + (304.89 * (BQ34)) + (90.79 *(Crescimento!#REF!-Crescimento!#REF!)) - (3.13 * (Crescimento!#REF!-Crescimento!#REF!)^2)</f>
        <v>#REF!</v>
      </c>
      <c r="BS34" s="23"/>
      <c r="BT34" s="21" t="e">
        <f>((BU33+(Crescimento!#REF!-(BU33*0.64))/0.8)/1000)-Crescimento!#REF!</f>
        <v>#REF!</v>
      </c>
      <c r="BU34" s="22" t="e">
        <f>-53.07 + (304.89 * (BT34)) + (90.79 *(Crescimento!#REF!-Crescimento!#REF!)) - (3.13 * (Crescimento!#REF!-Crescimento!#REF!)^2)</f>
        <v>#REF!</v>
      </c>
      <c r="BV34" s="23"/>
      <c r="BW34" s="21" t="e">
        <f>((BX33+(Crescimento!#REF!-(BX33*0.64))/0.8)/1000)-Crescimento!#REF!</f>
        <v>#REF!</v>
      </c>
      <c r="BX34" s="22" t="e">
        <f>-53.07 + (304.89 * (BW34)) + (90.79 *(Crescimento!#REF!-Crescimento!#REF!)) - (3.13 * (Crescimento!#REF!-Crescimento!#REF!)^2)</f>
        <v>#REF!</v>
      </c>
      <c r="BY34" s="23"/>
      <c r="BZ34" s="21" t="e">
        <f>((CA33+(Crescimento!#REF!-(CA33*0.64))/0.8)/1000)-Crescimento!#REF!</f>
        <v>#REF!</v>
      </c>
      <c r="CA34" s="22" t="e">
        <f>-53.07 + (304.89 * (BZ34)) + (90.79 *(Crescimento!#REF!-Crescimento!#REF!)) - (3.13 * (Crescimento!#REF!-Crescimento!#REF!)^2)</f>
        <v>#REF!</v>
      </c>
      <c r="CB34" s="23"/>
      <c r="CC34" s="21" t="e">
        <f>((CD33+(Crescimento!#REF!-(CD33*0.64))/0.8)/1000)-Crescimento!#REF!</f>
        <v>#REF!</v>
      </c>
      <c r="CD34" s="22" t="e">
        <f>-53.07 + (304.89 * (CC34)) + (90.79 *(Crescimento!#REF!-Crescimento!#REF!)) - (3.13 * (Crescimento!#REF!-Crescimento!#REF!)^2)</f>
        <v>#REF!</v>
      </c>
      <c r="CE34" s="23"/>
      <c r="CF34" s="21" t="e">
        <f>((CG33+(Crescimento!#REF!-(CG33*0.64))/0.8)/1000)-Crescimento!#REF!</f>
        <v>#REF!</v>
      </c>
      <c r="CG34" s="22" t="e">
        <f>-53.07 + (304.89 * (CF34)) + (90.79 *(Crescimento!#REF!-Crescimento!#REF!)) - (3.13 * (Crescimento!#REF!-Crescimento!#REF!)^2)</f>
        <v>#REF!</v>
      </c>
      <c r="CH34" s="23"/>
      <c r="CI34" s="21" t="e">
        <f>((CJ33+(Crescimento!#REF!-(CJ33*0.64))/0.8)/1000)-Crescimento!#REF!</f>
        <v>#REF!</v>
      </c>
      <c r="CJ34" s="22" t="e">
        <f>-53.07 + (304.89 * (CI34)) + (90.79 *(Crescimento!#REF!-Crescimento!#REF!)) - (3.13 * (Crescimento!#REF!-Crescimento!#REF!)^2)</f>
        <v>#REF!</v>
      </c>
      <c r="CK34" s="23"/>
      <c r="CL34" s="21" t="e">
        <f>((CM33+(Crescimento!#REF!-(CM33*0.64))/0.8)/1000)-Crescimento!#REF!</f>
        <v>#REF!</v>
      </c>
      <c r="CM34" s="22" t="e">
        <f>-53.07 + (304.89 * (CL34)) + (90.79 *(Crescimento!#REF!-Crescimento!#REF!)) - (3.13 * (Crescimento!#REF!-Crescimento!#REF!)^2)</f>
        <v>#REF!</v>
      </c>
      <c r="CN34" s="23"/>
      <c r="CO34" s="21" t="e">
        <f>((CP33+(Crescimento!#REF!-(CP33*0.64))/0.8)/1000)-Crescimento!#REF!</f>
        <v>#REF!</v>
      </c>
      <c r="CP34" s="22" t="e">
        <f>-53.07 + (304.89 * (CO34)) + (90.79 *(Crescimento!#REF!-Crescimento!#REF!)) - (3.13 * (Crescimento!#REF!-Crescimento!#REF!)^2)</f>
        <v>#REF!</v>
      </c>
      <c r="CQ34" s="23"/>
      <c r="CR34" s="21" t="e">
        <f>((CS33+(Crescimento!#REF!-(CS33*0.64))/0.8)/1000)-Crescimento!#REF!</f>
        <v>#REF!</v>
      </c>
      <c r="CS34" s="22" t="e">
        <f>-53.07 + (304.89 * (CR34)) + (90.79 *(Crescimento!#REF!-Crescimento!#REF!)) - (3.13 * (Crescimento!#REF!-Crescimento!#REF!)^2)</f>
        <v>#REF!</v>
      </c>
      <c r="CX34" s="16" t="e">
        <f>((CY33+(Crescimento!#REF!-(CY33*0.64))/0.8)/1000)-Crescimento!#REF!</f>
        <v>#REF!</v>
      </c>
      <c r="CY34" s="17" t="e">
        <f>-53.07 + (304.89 * (CX34)) + (90.79 *(Crescimento!#REF!-Crescimento!#REF!)) - (3.13 * (Crescimento!#REF!-Crescimento!#REF!)^2)</f>
        <v>#REF!</v>
      </c>
      <c r="DA34" s="16" t="e">
        <f>((DB33+(Crescimento!#REF!-(DB33*0.64))/0.8)/1000)-Crescimento!#REF!</f>
        <v>#REF!</v>
      </c>
      <c r="DB34" s="17" t="e">
        <f>-53.07 + (304.89 * (DA34)) + (90.79 *(Crescimento!#REF!-Crescimento!#REF!)) - (3.13 * (Crescimento!#REF!-Crescimento!#REF!)^2)</f>
        <v>#REF!</v>
      </c>
      <c r="DD34" s="16" t="e">
        <f>(DE33+(Crescimento!#REF!-(DE33*0.64))/0.8)/1000</f>
        <v>#REF!</v>
      </c>
      <c r="DE34" s="17" t="e">
        <f>-53.07 + (304.89 * (DD34)) + (90.79 *Crescimento!#REF!) - (3.13 * Crescimento!#REF!*Crescimento!#REF!)</f>
        <v>#REF!</v>
      </c>
      <c r="DG34" s="16" t="e">
        <f>((DH33+(Crescimento!#REF!-(DH33*0.64))/0.8)/1000)-Crescimento!#REF!</f>
        <v>#REF!</v>
      </c>
      <c r="DH34" s="17" t="e">
        <f>-53.07 + (304.89 * (DG34)) + (90.79 *(Crescimento!#REF!-Crescimento!#REF!)) - (3.13 * (Crescimento!#REF!-Crescimento!#REF!)^2)</f>
        <v>#REF!</v>
      </c>
      <c r="DJ34" s="16" t="e">
        <f>((DK33+(Crescimento!#REF!-(DK33*0.64))/0.8)/1000)-Crescimento!#REF!</f>
        <v>#REF!</v>
      </c>
      <c r="DK34" s="17" t="e">
        <f>-53.07 + (304.89 * (DJ34)) + (90.79 *(Crescimento!#REF!-Crescimento!#REF!)) - (3.13 * (Crescimento!#REF!-Crescimento!#REF!)^2)</f>
        <v>#REF!</v>
      </c>
      <c r="DM34" s="16" t="e">
        <f>((DN33+(Crescimento!#REF!-(DN33*0.64))/0.8)/1000)-Crescimento!#REF!</f>
        <v>#REF!</v>
      </c>
      <c r="DN34" s="17" t="e">
        <f>-53.07 + (304.89 * (DM34)) + (90.79 *(Crescimento!#REF!-Crescimento!#REF!)) - (3.13 * (Crescimento!#REF!-Crescimento!#REF!)^2)</f>
        <v>#REF!</v>
      </c>
      <c r="DP34" s="16" t="e">
        <f>(DQ33+(Crescimento!#REF!-(DQ33*0.64))/0.8)/1000</f>
        <v>#REF!</v>
      </c>
      <c r="DQ34" s="17" t="e">
        <f>-53.07 + (304.89 * (DP34)) + (90.79 *(Crescimento!#REF!-Crescimento!#REF!)) - (3.13 * (Crescimento!#REF!-Crescimento!#REF!)^2)</f>
        <v>#REF!</v>
      </c>
      <c r="DS34" s="16" t="e">
        <f>((DT33+(Crescimento!#REF!-(DT33*0.64))/0.8)/1000)-Crescimento!#REF!</f>
        <v>#REF!</v>
      </c>
      <c r="DT34" s="17" t="e">
        <f>-53.07 + (304.89 * (DS34)) + (90.79 *(Crescimento!#REF!-Crescimento!#REF!)) - (3.13 * (Crescimento!#REF!-Crescimento!#REF!)^2)</f>
        <v>#REF!</v>
      </c>
      <c r="DV34" s="16" t="e">
        <f>((DW33+(Crescimento!#REF!-(DW33*0.64))/0.8)/1000)-Crescimento!#REF!</f>
        <v>#REF!</v>
      </c>
      <c r="DW34" s="17" t="e">
        <f>-53.07 + (304.89 * (DV34)) + (90.79 *(Crescimento!#REF!-Crescimento!#REF!)) - (3.13 * (Crescimento!#REF!-Crescimento!#REF!)^2)</f>
        <v>#REF!</v>
      </c>
      <c r="DY34" s="16" t="e">
        <f>((DZ33+(Crescimento!#REF!-(DZ33*0.64))/0.8)/1000)-Crescimento!#REF!</f>
        <v>#REF!</v>
      </c>
      <c r="DZ34" s="17" t="e">
        <f>-53.07 + (304.89 * (DY34)) + (90.79 *(Crescimento!#REF!-Crescimento!#REF!)) - (3.13 * (Crescimento!#REF!-Crescimento!#REF!)^2)</f>
        <v>#REF!</v>
      </c>
      <c r="EB34" s="16" t="e">
        <f>((EC33+(Crescimento!#REF!-(EC33*0.64))/0.8)/1000)-Crescimento!#REF!</f>
        <v>#REF!</v>
      </c>
      <c r="EC34" s="17" t="e">
        <f>-53.07 + (304.89 * (EB34)) + (90.79 *(Crescimento!#REF!-Crescimento!#REF!)) - (3.13 * (Crescimento!#REF!-Crescimento!#REF!)^2)</f>
        <v>#REF!</v>
      </c>
      <c r="EE34" s="16" t="e">
        <f>((EF33+(Crescimento!#REF!-(EF33*0.64))/0.8)/1000)-Crescimento!#REF!</f>
        <v>#REF!</v>
      </c>
      <c r="EF34" s="17" t="e">
        <f>-53.07 + (304.89 * (EE34)) + (90.79 *(Crescimento!#REF!-Crescimento!#REF!)) - (3.13 * (Crescimento!#REF!-Crescimento!#REF!)^2)</f>
        <v>#REF!</v>
      </c>
      <c r="EH34" s="16" t="e">
        <f>((EI33+(Crescimento!#REF!-(EI33*0.64))/0.8)/1000)-Crescimento!#REF!</f>
        <v>#REF!</v>
      </c>
      <c r="EI34" s="17" t="e">
        <f>-53.07 + (304.89 * (EH34)) + (90.79 *(Crescimento!#REF!-Crescimento!#REF!)) - (3.13 * (Crescimento!#REF!-Crescimento!#REF!)^2)</f>
        <v>#REF!</v>
      </c>
      <c r="EK34" s="16" t="e">
        <f>((EL33+(Crescimento!#REF!-(EL33*0.64))/0.8)/1000)-Crescimento!#REF!</f>
        <v>#REF!</v>
      </c>
      <c r="EL34" s="17" t="e">
        <f>-53.07 + (304.89 * (EK34)) + (90.79 *(Crescimento!#REF!-Crescimento!#REF!)) - (3.13 * (Crescimento!#REF!-Crescimento!#REF!)^2)</f>
        <v>#REF!</v>
      </c>
      <c r="EN34" s="16" t="e">
        <f>((EO33+(Crescimento!#REF!-(EO33*0.64))/0.8)/1000)-Crescimento!#REF!</f>
        <v>#REF!</v>
      </c>
      <c r="EO34" s="17" t="e">
        <f>-53.07 + (304.89 * (EN34)) + (90.79 *(Crescimento!#REF!-Crescimento!#REF!)) - (3.13 * (Crescimento!#REF!-Crescimento!#REF!)^2)</f>
        <v>#REF!</v>
      </c>
      <c r="EQ34" s="16" t="e">
        <f>((ER33+(Crescimento!#REF!-(ER33*0.64))/0.8)/1000)-Crescimento!#REF!</f>
        <v>#REF!</v>
      </c>
      <c r="ER34" s="17" t="e">
        <f>-53.07 + (304.89 * (EQ34)) + (90.79 *(Crescimento!#REF!-Crescimento!#REF!)) - (3.13 * (Crescimento!#REF!-Crescimento!#REF!)^2)</f>
        <v>#REF!</v>
      </c>
      <c r="ET34" s="16" t="e">
        <f>((EU33+(Crescimento!#REF!-(EU33*0.64))/0.8)/1000)-Crescimento!#REF!</f>
        <v>#REF!</v>
      </c>
      <c r="EU34" s="17" t="e">
        <f>-53.07 + (304.89 * (ET34)) + (90.79 *(Crescimento!#REF!-Crescimento!#REF!)) - (3.13 * (Crescimento!#REF!-Crescimento!#REF!)^2)</f>
        <v>#REF!</v>
      </c>
      <c r="EW34" s="16" t="e">
        <f>((EX33+('Vacas e Bezerros'!#REF!-(EX33*0.64))/0.8)/1000)-'Vacas e Bezerros'!#REF!</f>
        <v>#REF!</v>
      </c>
      <c r="EX34" s="17" t="e">
        <f>-53.07 + (304.89 * (EW34)) + (90.79 *('Vacas e Bezerros'!#REF!-'Vacas e Bezerros'!#REF!)) - (3.13 * ('Vacas e Bezerros'!#REF!-'Vacas e Bezerros'!#REF!)^2)</f>
        <v>#REF!</v>
      </c>
      <c r="EZ34" s="16" t="e">
        <f>((FA33+('Vacas e Bezerros'!#REF!-(FA33*0.64))/0.8)/1000)-'Vacas e Bezerros'!#REF!</f>
        <v>#REF!</v>
      </c>
      <c r="FA34" s="17" t="e">
        <f>-53.07 + (304.89 * (EZ34)) + (90.79 *('Vacas e Bezerros'!#REF!-'Vacas e Bezerros'!#REF!)) - (3.13 * ('Vacas e Bezerros'!#REF!-'Vacas e Bezerros'!#REF!)^2)</f>
        <v>#REF!</v>
      </c>
      <c r="FC34" s="16" t="e">
        <f>((FD33+('Vacas e Bezerros'!#REF!-(FD33*0.64))/0.8)/1000)-'Vacas e Bezerros'!#REF!</f>
        <v>#REF!</v>
      </c>
      <c r="FD34" s="17" t="e">
        <f>-53.07 + (304.89 * (FC34)) + (90.79 *('Vacas e Bezerros'!#REF!-'Vacas e Bezerros'!#REF!)) - (3.13 * ('Vacas e Bezerros'!#REF!-'Vacas e Bezerros'!#REF!)^2)</f>
        <v>#REF!</v>
      </c>
      <c r="FF34" s="16" t="e">
        <f>((FG33+('Vacas e Bezerros'!#REF!-(FG33*0.64))/0.8)/1000)-'Vacas e Bezerros'!#REF!</f>
        <v>#REF!</v>
      </c>
      <c r="FG34" s="17" t="e">
        <f>-53.07 + (304.89 * (FF34)) + (90.79 *('Vacas e Bezerros'!#REF!-'Vacas e Bezerros'!#REF!)) - (3.13 * ('Vacas e Bezerros'!#REF!-'Vacas e Bezerros'!#REF!)^2)</f>
        <v>#REF!</v>
      </c>
      <c r="FI34" s="16" t="e">
        <f>((FJ33+('Vacas e Bezerros'!#REF!-(FJ33*0.64))/0.8)/1000)-'Vacas e Bezerros'!#REF!</f>
        <v>#REF!</v>
      </c>
      <c r="FJ34" s="17" t="e">
        <f>-53.07 + (304.89 * (FI34)) + (90.79 *('Vacas e Bezerros'!#REF!-'Vacas e Bezerros'!#REF!)) - (3.13 * ('Vacas e Bezerros'!#REF!-'Vacas e Bezerros'!#REF!)^2)</f>
        <v>#REF!</v>
      </c>
      <c r="FL34" s="16" t="e">
        <f>((FM33+('Vacas e Bezerros'!#REF!-(FM33*0.64))/0.8)/1000)-'Vacas e Bezerros'!#REF!</f>
        <v>#REF!</v>
      </c>
      <c r="FM34" s="17" t="e">
        <f>-53.07 + (304.89 * (FL34)) + (90.79 *('Vacas e Bezerros'!#REF!-'Vacas e Bezerros'!#REF!)) - (3.13 * ('Vacas e Bezerros'!#REF!-'Vacas e Bezerros'!#REF!)^2)</f>
        <v>#REF!</v>
      </c>
      <c r="FO34" s="16" t="e">
        <f>((FP33+('Vacas e Bezerros'!#REF!-(FP33*0.64))/0.8)/1000)-'Vacas e Bezerros'!#REF!</f>
        <v>#REF!</v>
      </c>
      <c r="FP34" s="17" t="e">
        <f>-53.07 + (304.89 * (FO34)) + (90.79 *('Vacas e Bezerros'!#REF!-'Vacas e Bezerros'!#REF!)) - (3.13 * ('Vacas e Bezerros'!#REF!-'Vacas e Bezerros'!#REF!)^2)</f>
        <v>#REF!</v>
      </c>
      <c r="FR34" s="16" t="e">
        <f>((FS33+('Vacas e Bezerros'!#REF!-(FS33*0.64))/0.8)/1000)-'Vacas e Bezerros'!#REF!</f>
        <v>#REF!</v>
      </c>
      <c r="FS34" s="17" t="e">
        <f>-53.07 + (304.89 * (FR34)) + (90.79 *('Vacas e Bezerros'!#REF!-'Vacas e Bezerros'!#REF!)) - (3.13 * ('Vacas e Bezerros'!#REF!-'Vacas e Bezerros'!#REF!)^2)</f>
        <v>#REF!</v>
      </c>
      <c r="FU34" s="16" t="e">
        <f>((FV33+('Vacas e Bezerros'!#REF!-(FV33*0.64))/0.8)/1000)-'Vacas e Bezerros'!#REF!</f>
        <v>#REF!</v>
      </c>
      <c r="FV34" s="17" t="e">
        <f>-53.07 + (304.89 * (FU34)) + (90.79 *('Vacas e Bezerros'!#REF!-'Vacas e Bezerros'!#REF!)) - (3.13 * ('Vacas e Bezerros'!#REF!-'Vacas e Bezerros'!#REF!)^2)</f>
        <v>#REF!</v>
      </c>
      <c r="FX34" s="16" t="e">
        <f>((FY33+('Vacas e Bezerros'!#REF!-(FY33*0.64))/0.8)/1000)-'Vacas e Bezerros'!#REF!</f>
        <v>#REF!</v>
      </c>
      <c r="FY34" s="17" t="e">
        <f>-53.07 + (304.89 * (FX34)) + (90.79 *('Vacas e Bezerros'!#REF!-'Vacas e Bezerros'!#REF!)) - (3.13 * ('Vacas e Bezerros'!#REF!-'Vacas e Bezerros'!#REF!)^2)</f>
        <v>#REF!</v>
      </c>
      <c r="GA34" s="16" t="e">
        <f>((GB33+('Vacas e Bezerros'!#REF!-(GB33*0.64))/0.8)/1000)-'Vacas e Bezerros'!#REF!</f>
        <v>#REF!</v>
      </c>
      <c r="GB34" s="17" t="e">
        <f>-53.07 + (304.89 * (GA34)) + (90.79 *('Vacas e Bezerros'!#REF!-'Vacas e Bezerros'!#REF!)) - (3.13 * ('Vacas e Bezerros'!#REF!-'Vacas e Bezerros'!#REF!)^2)</f>
        <v>#REF!</v>
      </c>
      <c r="GD34" s="16" t="e">
        <f>((GE33+('Vacas e Bezerros'!#REF!-(GE33*0.64))/0.8)/1000)-'Vacas e Bezerros'!#REF!</f>
        <v>#REF!</v>
      </c>
      <c r="GE34" s="17" t="e">
        <f>-53.07 + (304.89 * (GD34)) + (90.79 *('Vacas e Bezerros'!#REF!-'Vacas e Bezerros'!#REF!)) - (3.13 * ('Vacas e Bezerros'!#REF!-'Vacas e Bezerros'!#REF!)^2)</f>
        <v>#REF!</v>
      </c>
      <c r="GG34" s="16" t="e">
        <f>((GH33+('Vacas e Bezerros'!#REF!-(GH33*0.64))/0.8)/1000)-'Vacas e Bezerros'!#REF!</f>
        <v>#REF!</v>
      </c>
      <c r="GH34" s="17" t="e">
        <f>-53.07 + (304.89 * (GG34)) + (90.79 *('Vacas e Bezerros'!#REF!-'Vacas e Bezerros'!#REF!)) - (3.13 * ('Vacas e Bezerros'!#REF!-'Vacas e Bezerros'!#REF!)^2)</f>
        <v>#REF!</v>
      </c>
      <c r="GJ34" s="16" t="e">
        <f>((GK33+('Vacas e Bezerros'!#REF!-(GK33*0.64))/0.8)/1000)-'Vacas e Bezerros'!#REF!</f>
        <v>#REF!</v>
      </c>
      <c r="GK34" s="17" t="e">
        <f>-53.07 + (304.89 * (GJ34)) + (90.79 *('Vacas e Bezerros'!#REF!-'Vacas e Bezerros'!#REF!)) - (3.13 * ('Vacas e Bezerros'!#REF!-'Vacas e Bezerros'!#REF!)^2)</f>
        <v>#REF!</v>
      </c>
      <c r="GM34" s="16" t="e">
        <f>((GN33+('Vacas e Bezerros'!#REF!-(GN33*0.64))/0.8)/1000)-'Vacas e Bezerros'!#REF!</f>
        <v>#REF!</v>
      </c>
      <c r="GN34" s="17" t="e">
        <f>-53.07 + (304.89 * (GM34)) + (90.79 *('Vacas e Bezerros'!#REF!-'Vacas e Bezerros'!#REF!)) - (3.13 * ('Vacas e Bezerros'!#REF!-'Vacas e Bezerros'!#REF!)^2)</f>
        <v>#REF!</v>
      </c>
    </row>
    <row r="35" spans="3:196" x14ac:dyDescent="0.25">
      <c r="C35" s="16">
        <f>(D34+('Vacas e Bezerros'!$AA$28-(D34*0.64))/0.8)/1000</f>
        <v>0.35719668016155687</v>
      </c>
      <c r="D35" s="17">
        <f>-53.07 + (304.89 * (C35-'Vacas e Bezerros'!$C$206)) + (90.79 *('Vacas e Bezerros'!$AA$22)) - (3.13 *('Vacas e Bezerros'!$AA$22)^2)</f>
        <v>165.01876457544017</v>
      </c>
      <c r="F35" s="16" t="e">
        <f>(G34+(Crescimento!#REF!-(G34*0.64))/0.8)/1000</f>
        <v>#REF!</v>
      </c>
      <c r="G35" s="17" t="e">
        <f>-53.07 + (304.89 * (F35)) + (90.79 *Crescimento!#REF!) - (3.13 * Crescimento!#REF!*Crescimento!#REF!)</f>
        <v>#REF!</v>
      </c>
      <c r="H35" s="1"/>
      <c r="I35" s="16" t="e">
        <f>(J34+(Crescimento!#REF!-(J34*0.64))/0.8)/1000</f>
        <v>#REF!</v>
      </c>
      <c r="J35" s="17" t="e">
        <f>-53.07 + (304.89 * (I35)) + (90.79 *Crescimento!#REF!) - (3.13 * Crescimento!#REF!*Crescimento!#REF!)</f>
        <v>#REF!</v>
      </c>
      <c r="L35" s="16" t="e">
        <f>(M34+(Crescimento!#REF!-(M34*0.64))/0.8)/1000</f>
        <v>#REF!</v>
      </c>
      <c r="M35" s="17" t="e">
        <f>-53.07 + (304.89 * (L35)) + (90.79 *Crescimento!#REF!) - (3.13 * Crescimento!#REF!*Crescimento!#REF!)</f>
        <v>#REF!</v>
      </c>
      <c r="O35" s="16" t="e">
        <f>(P34+(Crescimento!#REF!-(P34*0.64))/0.8)/1000</f>
        <v>#REF!</v>
      </c>
      <c r="P35" s="17" t="e">
        <f>-53.07 + (304.89 * (O35)) + (90.79 *Crescimento!#REF!) - (3.13 * Crescimento!#REF!*Crescimento!#REF!)</f>
        <v>#REF!</v>
      </c>
      <c r="R35" s="16" t="e">
        <f>(S34+(Crescimento!#REF!-(S34*0.64))/0.8)/1000</f>
        <v>#REF!</v>
      </c>
      <c r="S35" s="17" t="e">
        <f>-53.07 + (304.89 * (R35)) + (90.79 *Crescimento!#REF!) - (3.13 * Crescimento!#REF!*Crescimento!#REF!)</f>
        <v>#REF!</v>
      </c>
      <c r="U35" s="16" t="e">
        <f>(V34+(Crescimento!#REF!-(V34*0.64))/0.8)/1000</f>
        <v>#REF!</v>
      </c>
      <c r="V35" s="17" t="e">
        <f>-53.07 + (304.89 * (U35)) + (90.79 *Crescimento!#REF!) - (3.13 * Crescimento!#REF!*Crescimento!#REF!)</f>
        <v>#REF!</v>
      </c>
      <c r="X35" s="16" t="e">
        <f>(Y34+(Crescimento!#REF!-(Y34*0.64))/0.8)/1000</f>
        <v>#REF!</v>
      </c>
      <c r="Y35" s="17" t="e">
        <f>-53.07 + (304.89 * (X35)) + (90.79 *Crescimento!#REF!) - (3.13 * Crescimento!#REF!*Crescimento!#REF!)</f>
        <v>#REF!</v>
      </c>
      <c r="Z35" s="6"/>
      <c r="AA35" s="16" t="e">
        <f>(AB34+(Crescimento!#REF!-(AB34*0.64))/0.8)/1000</f>
        <v>#REF!</v>
      </c>
      <c r="AB35" s="17" t="e">
        <f>-53.07 + (304.89 * (AA35)) + (90.79 *Crescimento!#REF!) - (3.13 * Crescimento!#REF!*Crescimento!#REF!)</f>
        <v>#REF!</v>
      </c>
      <c r="AC35" s="6"/>
      <c r="AD35" s="16" t="e">
        <f>(AE34+(Crescimento!#REF!-(AE34*0.64))/0.8)/1000</f>
        <v>#REF!</v>
      </c>
      <c r="AE35" s="17" t="e">
        <f>-53.07 + (304.89 * (AD35)) + (90.79 *Crescimento!#REF!) - (3.13 * Crescimento!#REF!*Crescimento!#REF!)</f>
        <v>#REF!</v>
      </c>
      <c r="AF35" s="17"/>
      <c r="AG35" s="16" t="e">
        <f>(AH34+(Crescimento!#REF!-(AH34*0.64))/0.8)/1000</f>
        <v>#REF!</v>
      </c>
      <c r="AH35" s="17" t="e">
        <f>-53.07 + (304.89 * (AG35)) + (90.79 *Crescimento!#REF!) - (3.13 * Crescimento!#REF!*Crescimento!#REF!)</f>
        <v>#REF!</v>
      </c>
      <c r="AJ35" s="16" t="e">
        <f>(AK34+(Crescimento!#REF!-(AK34*0.64))/0.8)/1000</f>
        <v>#REF!</v>
      </c>
      <c r="AK35" s="17" t="e">
        <f>-53.07 + (304.89 * (AJ35)) + (90.79 *Crescimento!#REF!) - (3.13 * Crescimento!#REF!*Crescimento!#REF!)</f>
        <v>#REF!</v>
      </c>
      <c r="AM35" s="16" t="e">
        <f>(AN34+(Crescimento!#REF!-(AN34*0.64))/0.8)/1000</f>
        <v>#REF!</v>
      </c>
      <c r="AN35" s="17" t="e">
        <f>-53.07 + (304.89 * (AM35)) + (90.79 *Crescimento!#REF!) - (3.13 * Crescimento!#REF!*Crescimento!#REF!)</f>
        <v>#REF!</v>
      </c>
      <c r="AP35" s="16" t="e">
        <f>(AQ34+(Crescimento!#REF!-(AQ34*0.64))/0.8)/1000</f>
        <v>#REF!</v>
      </c>
      <c r="AQ35" s="17" t="e">
        <f>-53.07 + (304.89 * (AP35)) + (90.79 *Crescimento!#REF!) - (3.13 * Crescimento!#REF!*Crescimento!#REF!)</f>
        <v>#REF!</v>
      </c>
      <c r="AS35" s="16" t="e">
        <f>(AT34+(Crescimento!#REF!-(AT34*0.64))/0.8)/1000</f>
        <v>#REF!</v>
      </c>
      <c r="AT35" s="17" t="e">
        <f>-53.07 + (304.89 * (AS35)) + (90.79 *Crescimento!#REF!) - (3.13 * Crescimento!#REF!*Crescimento!#REF!)</f>
        <v>#REF!</v>
      </c>
      <c r="AV35" s="16" t="e">
        <f>(AW34+(Crescimento!#REF!-(AW34*0.64))/0.8)/1000</f>
        <v>#REF!</v>
      </c>
      <c r="AW35" s="17" t="e">
        <f>-53.07 + (304.89 * (AV35)) + (90.79 *Crescimento!#REF!) - (3.13 * Crescimento!#REF!*Crescimento!#REF!)</f>
        <v>#REF!</v>
      </c>
      <c r="AY35" s="21" t="e">
        <f>((AZ34+(Crescimento!#REF!-(AZ34*0.64))/0.8)/1000)-Crescimento!#REF!</f>
        <v>#REF!</v>
      </c>
      <c r="AZ35" s="22" t="e">
        <f>-53.07 + (304.89 * (AY35)) + (90.79 *(Crescimento!#REF!-Crescimento!#REF!)) - (3.13 * (Crescimento!#REF!-Crescimento!#REF!)^2)</f>
        <v>#REF!</v>
      </c>
      <c r="BA35" s="23"/>
      <c r="BB35" s="21" t="e">
        <f>((BC34+(Crescimento!#REF!-(BC34*0.64))/0.8)/1000)-Crescimento!#REF!</f>
        <v>#REF!</v>
      </c>
      <c r="BC35" s="22" t="e">
        <f>-53.07 + (304.89 * (BB35)) + (90.79 *(Crescimento!#REF!-Crescimento!#REF!)) - (3.13 * (Crescimento!#REF!-Crescimento!#REF!)^2)</f>
        <v>#REF!</v>
      </c>
      <c r="BD35" s="23"/>
      <c r="BE35" s="21" t="e">
        <f>((BF34+(Crescimento!#REF!-(BF34*0.64))/0.8)/1000)-Crescimento!#REF!</f>
        <v>#REF!</v>
      </c>
      <c r="BF35" s="22" t="e">
        <f>-53.07 + (304.89 * (BE35)) + (90.79 *(Crescimento!#REF!-Crescimento!#REF!)) - (3.13 * (Crescimento!#REF!-Crescimento!#REF!)^2)</f>
        <v>#REF!</v>
      </c>
      <c r="BG35" s="23"/>
      <c r="BH35" s="21" t="e">
        <f>((BI34+(Crescimento!#REF!-(BI34*0.64))/0.8)/1000)-Crescimento!#REF!</f>
        <v>#REF!</v>
      </c>
      <c r="BI35" s="22" t="e">
        <f>-53.07 + (304.89 * (BH35)) + (90.79 *(Crescimento!#REF!-Crescimento!#REF!)) - (3.13 * (Crescimento!#REF!-Crescimento!#REF!)^2)</f>
        <v>#REF!</v>
      </c>
      <c r="BJ35" s="23"/>
      <c r="BK35" s="21" t="e">
        <f>((BL34+(Crescimento!#REF!-(BL34*0.64))/0.8)/1000)-Crescimento!#REF!</f>
        <v>#REF!</v>
      </c>
      <c r="BL35" s="22" t="e">
        <f>-53.07 + (304.89 * (BK35)) + (90.79 *(Crescimento!#REF!-Crescimento!#REF!)) - (3.13 * (Crescimento!#REF!-Crescimento!#REF!)^2)</f>
        <v>#REF!</v>
      </c>
      <c r="BM35" s="23"/>
      <c r="BN35" s="21" t="e">
        <f>((BO34+(Crescimento!#REF!-(BO34*0.64))/0.8)/1000)-Crescimento!#REF!</f>
        <v>#REF!</v>
      </c>
      <c r="BO35" s="22" t="e">
        <f>-53.07 + (304.89 * (BN35)) + (90.79 *(Crescimento!#REF!-Crescimento!#REF!)) - (3.13 * (Crescimento!#REF!-Crescimento!#REF!)^2)</f>
        <v>#REF!</v>
      </c>
      <c r="BP35" s="23"/>
      <c r="BQ35" s="21" t="e">
        <f>((BR34+(Crescimento!#REF!-(BR34*0.64))/0.8)/1000)-Crescimento!#REF!</f>
        <v>#REF!</v>
      </c>
      <c r="BR35" s="22" t="e">
        <f>-53.07 + (304.89 * (BQ35)) + (90.79 *(Crescimento!#REF!-Crescimento!#REF!)) - (3.13 * (Crescimento!#REF!-Crescimento!#REF!)^2)</f>
        <v>#REF!</v>
      </c>
      <c r="BS35" s="23"/>
      <c r="BT35" s="21" t="e">
        <f>((BU34+(Crescimento!#REF!-(BU34*0.64))/0.8)/1000)-Crescimento!#REF!</f>
        <v>#REF!</v>
      </c>
      <c r="BU35" s="22" t="e">
        <f>-53.07 + (304.89 * (BT35)) + (90.79 *(Crescimento!#REF!-Crescimento!#REF!)) - (3.13 * (Crescimento!#REF!-Crescimento!#REF!)^2)</f>
        <v>#REF!</v>
      </c>
      <c r="BV35" s="23"/>
      <c r="BW35" s="21" t="e">
        <f>((BX34+(Crescimento!#REF!-(BX34*0.64))/0.8)/1000)-Crescimento!#REF!</f>
        <v>#REF!</v>
      </c>
      <c r="BX35" s="22" t="e">
        <f>-53.07 + (304.89 * (BW35)) + (90.79 *(Crescimento!#REF!-Crescimento!#REF!)) - (3.13 * (Crescimento!#REF!-Crescimento!#REF!)^2)</f>
        <v>#REF!</v>
      </c>
      <c r="BY35" s="23"/>
      <c r="BZ35" s="21" t="e">
        <f>((CA34+(Crescimento!#REF!-(CA34*0.64))/0.8)/1000)-Crescimento!#REF!</f>
        <v>#REF!</v>
      </c>
      <c r="CA35" s="22" t="e">
        <f>-53.07 + (304.89 * (BZ35)) + (90.79 *(Crescimento!#REF!-Crescimento!#REF!)) - (3.13 * (Crescimento!#REF!-Crescimento!#REF!)^2)</f>
        <v>#REF!</v>
      </c>
      <c r="CB35" s="23"/>
      <c r="CC35" s="21" t="e">
        <f>((CD34+(Crescimento!#REF!-(CD34*0.64))/0.8)/1000)-Crescimento!#REF!</f>
        <v>#REF!</v>
      </c>
      <c r="CD35" s="22" t="e">
        <f>-53.07 + (304.89 * (CC35)) + (90.79 *(Crescimento!#REF!-Crescimento!#REF!)) - (3.13 * (Crescimento!#REF!-Crescimento!#REF!)^2)</f>
        <v>#REF!</v>
      </c>
      <c r="CE35" s="23"/>
      <c r="CF35" s="21" t="e">
        <f>((CG34+(Crescimento!#REF!-(CG34*0.64))/0.8)/1000)-Crescimento!#REF!</f>
        <v>#REF!</v>
      </c>
      <c r="CG35" s="22" t="e">
        <f>-53.07 + (304.89 * (CF35)) + (90.79 *(Crescimento!#REF!-Crescimento!#REF!)) - (3.13 * (Crescimento!#REF!-Crescimento!#REF!)^2)</f>
        <v>#REF!</v>
      </c>
      <c r="CH35" s="23"/>
      <c r="CI35" s="21" t="e">
        <f>((CJ34+(Crescimento!#REF!-(CJ34*0.64))/0.8)/1000)-Crescimento!#REF!</f>
        <v>#REF!</v>
      </c>
      <c r="CJ35" s="22" t="e">
        <f>-53.07 + (304.89 * (CI35)) + (90.79 *(Crescimento!#REF!-Crescimento!#REF!)) - (3.13 * (Crescimento!#REF!-Crescimento!#REF!)^2)</f>
        <v>#REF!</v>
      </c>
      <c r="CK35" s="23"/>
      <c r="CL35" s="21" t="e">
        <f>((CM34+(Crescimento!#REF!-(CM34*0.64))/0.8)/1000)-Crescimento!#REF!</f>
        <v>#REF!</v>
      </c>
      <c r="CM35" s="22" t="e">
        <f>-53.07 + (304.89 * (CL35)) + (90.79 *(Crescimento!#REF!-Crescimento!#REF!)) - (3.13 * (Crescimento!#REF!-Crescimento!#REF!)^2)</f>
        <v>#REF!</v>
      </c>
      <c r="CN35" s="23"/>
      <c r="CO35" s="21" t="e">
        <f>((CP34+(Crescimento!#REF!-(CP34*0.64))/0.8)/1000)-Crescimento!#REF!</f>
        <v>#REF!</v>
      </c>
      <c r="CP35" s="22" t="e">
        <f>-53.07 + (304.89 * (CO35)) + (90.79 *(Crescimento!#REF!-Crescimento!#REF!)) - (3.13 * (Crescimento!#REF!-Crescimento!#REF!)^2)</f>
        <v>#REF!</v>
      </c>
      <c r="CQ35" s="23"/>
      <c r="CR35" s="21" t="e">
        <f>((CS34+(Crescimento!#REF!-(CS34*0.64))/0.8)/1000)-Crescimento!#REF!</f>
        <v>#REF!</v>
      </c>
      <c r="CS35" s="22" t="e">
        <f>-53.07 + (304.89 * (CR35)) + (90.79 *(Crescimento!#REF!-Crescimento!#REF!)) - (3.13 * (Crescimento!#REF!-Crescimento!#REF!)^2)</f>
        <v>#REF!</v>
      </c>
      <c r="CX35" s="16" t="e">
        <f>((CY34+(Crescimento!#REF!-(CY34*0.64))/0.8)/1000)-Crescimento!#REF!</f>
        <v>#REF!</v>
      </c>
      <c r="CY35" s="17" t="e">
        <f>-53.07 + (304.89 * (CX35)) + (90.79 *(Crescimento!#REF!-Crescimento!#REF!)) - (3.13 * (Crescimento!#REF!-Crescimento!#REF!)^2)</f>
        <v>#REF!</v>
      </c>
      <c r="DA35" s="16" t="e">
        <f>((DB34+(Crescimento!#REF!-(DB34*0.64))/0.8)/1000)-Crescimento!#REF!</f>
        <v>#REF!</v>
      </c>
      <c r="DB35" s="17" t="e">
        <f>-53.07 + (304.89 * (DA35)) + (90.79 *(Crescimento!#REF!-Crescimento!#REF!)) - (3.13 * (Crescimento!#REF!-Crescimento!#REF!)^2)</f>
        <v>#REF!</v>
      </c>
      <c r="DD35" s="16" t="e">
        <f>(DE34+(Crescimento!#REF!-(DE34*0.64))/0.8)/1000</f>
        <v>#REF!</v>
      </c>
      <c r="DE35" s="17" t="e">
        <f>-53.07 + (304.89 * (DD35)) + (90.79 *Crescimento!#REF!) - (3.13 * Crescimento!#REF!*Crescimento!#REF!)</f>
        <v>#REF!</v>
      </c>
      <c r="DG35" s="16" t="e">
        <f>((DH34+(Crescimento!#REF!-(DH34*0.64))/0.8)/1000)-Crescimento!#REF!</f>
        <v>#REF!</v>
      </c>
      <c r="DH35" s="17" t="e">
        <f>-53.07 + (304.89 * (DG35)) + (90.79 *(Crescimento!#REF!-Crescimento!#REF!)) - (3.13 * (Crescimento!#REF!-Crescimento!#REF!)^2)</f>
        <v>#REF!</v>
      </c>
      <c r="DJ35" s="16" t="e">
        <f>((DK34+(Crescimento!#REF!-(DK34*0.64))/0.8)/1000)-Crescimento!#REF!</f>
        <v>#REF!</v>
      </c>
      <c r="DK35" s="17" t="e">
        <f>-53.07 + (304.89 * (DJ35)) + (90.79 *(Crescimento!#REF!-Crescimento!#REF!)) - (3.13 * (Crescimento!#REF!-Crescimento!#REF!)^2)</f>
        <v>#REF!</v>
      </c>
      <c r="DM35" s="16" t="e">
        <f>((DN34+(Crescimento!#REF!-(DN34*0.64))/0.8)/1000)-Crescimento!#REF!</f>
        <v>#REF!</v>
      </c>
      <c r="DN35" s="17" t="e">
        <f>-53.07 + (304.89 * (DM35)) + (90.79 *(Crescimento!#REF!-Crescimento!#REF!)) - (3.13 * (Crescimento!#REF!-Crescimento!#REF!)^2)</f>
        <v>#REF!</v>
      </c>
      <c r="DP35" s="16" t="e">
        <f>(DQ34+(Crescimento!#REF!-(DQ34*0.64))/0.8)/1000</f>
        <v>#REF!</v>
      </c>
      <c r="DQ35" s="17" t="e">
        <f>-53.07 + (304.89 * (DP35)) + (90.79 *(Crescimento!#REF!-Crescimento!#REF!)) - (3.13 * (Crescimento!#REF!-Crescimento!#REF!)^2)</f>
        <v>#REF!</v>
      </c>
      <c r="DS35" s="16" t="e">
        <f>((DT34+(Crescimento!#REF!-(DT34*0.64))/0.8)/1000)-Crescimento!#REF!</f>
        <v>#REF!</v>
      </c>
      <c r="DT35" s="17" t="e">
        <f>-53.07 + (304.89 * (DS35)) + (90.79 *(Crescimento!#REF!-Crescimento!#REF!)) - (3.13 * (Crescimento!#REF!-Crescimento!#REF!)^2)</f>
        <v>#REF!</v>
      </c>
      <c r="DV35" s="16" t="e">
        <f>((DW34+(Crescimento!#REF!-(DW34*0.64))/0.8)/1000)-Crescimento!#REF!</f>
        <v>#REF!</v>
      </c>
      <c r="DW35" s="17" t="e">
        <f>-53.07 + (304.89 * (DV35)) + (90.79 *(Crescimento!#REF!-Crescimento!#REF!)) - (3.13 * (Crescimento!#REF!-Crescimento!#REF!)^2)</f>
        <v>#REF!</v>
      </c>
      <c r="DY35" s="16" t="e">
        <f>((DZ34+(Crescimento!#REF!-(DZ34*0.64))/0.8)/1000)-Crescimento!#REF!</f>
        <v>#REF!</v>
      </c>
      <c r="DZ35" s="17" t="e">
        <f>-53.07 + (304.89 * (DY35)) + (90.79 *(Crescimento!#REF!-Crescimento!#REF!)) - (3.13 * (Crescimento!#REF!-Crescimento!#REF!)^2)</f>
        <v>#REF!</v>
      </c>
      <c r="EB35" s="16" t="e">
        <f>((EC34+(Crescimento!#REF!-(EC34*0.64))/0.8)/1000)-Crescimento!#REF!</f>
        <v>#REF!</v>
      </c>
      <c r="EC35" s="17" t="e">
        <f>-53.07 + (304.89 * (EB35)) + (90.79 *(Crescimento!#REF!-Crescimento!#REF!)) - (3.13 * (Crescimento!#REF!-Crescimento!#REF!)^2)</f>
        <v>#REF!</v>
      </c>
      <c r="EE35" s="16" t="e">
        <f>((EF34+(Crescimento!#REF!-(EF34*0.64))/0.8)/1000)-Crescimento!#REF!</f>
        <v>#REF!</v>
      </c>
      <c r="EF35" s="17" t="e">
        <f>-53.07 + (304.89 * (EE35)) + (90.79 *(Crescimento!#REF!-Crescimento!#REF!)) - (3.13 * (Crescimento!#REF!-Crescimento!#REF!)^2)</f>
        <v>#REF!</v>
      </c>
      <c r="EH35" s="16" t="e">
        <f>((EI34+(Crescimento!#REF!-(EI34*0.64))/0.8)/1000)-Crescimento!#REF!</f>
        <v>#REF!</v>
      </c>
      <c r="EI35" s="17" t="e">
        <f>-53.07 + (304.89 * (EH35)) + (90.79 *(Crescimento!#REF!-Crescimento!#REF!)) - (3.13 * (Crescimento!#REF!-Crescimento!#REF!)^2)</f>
        <v>#REF!</v>
      </c>
      <c r="EK35" s="16" t="e">
        <f>((EL34+(Crescimento!#REF!-(EL34*0.64))/0.8)/1000)-Crescimento!#REF!</f>
        <v>#REF!</v>
      </c>
      <c r="EL35" s="17" t="e">
        <f>-53.07 + (304.89 * (EK35)) + (90.79 *(Crescimento!#REF!-Crescimento!#REF!)) - (3.13 * (Crescimento!#REF!-Crescimento!#REF!)^2)</f>
        <v>#REF!</v>
      </c>
      <c r="EN35" s="16" t="e">
        <f>((EO34+(Crescimento!#REF!-(EO34*0.64))/0.8)/1000)-Crescimento!#REF!</f>
        <v>#REF!</v>
      </c>
      <c r="EO35" s="17" t="e">
        <f>-53.07 + (304.89 * (EN35)) + (90.79 *(Crescimento!#REF!-Crescimento!#REF!)) - (3.13 * (Crescimento!#REF!-Crescimento!#REF!)^2)</f>
        <v>#REF!</v>
      </c>
      <c r="EQ35" s="16" t="e">
        <f>((ER34+(Crescimento!#REF!-(ER34*0.64))/0.8)/1000)-Crescimento!#REF!</f>
        <v>#REF!</v>
      </c>
      <c r="ER35" s="17" t="e">
        <f>-53.07 + (304.89 * (EQ35)) + (90.79 *(Crescimento!#REF!-Crescimento!#REF!)) - (3.13 * (Crescimento!#REF!-Crescimento!#REF!)^2)</f>
        <v>#REF!</v>
      </c>
      <c r="ET35" s="16" t="e">
        <f>((EU34+(Crescimento!#REF!-(EU34*0.64))/0.8)/1000)-Crescimento!#REF!</f>
        <v>#REF!</v>
      </c>
      <c r="EU35" s="17" t="e">
        <f>-53.07 + (304.89 * (ET35)) + (90.79 *(Crescimento!#REF!-Crescimento!#REF!)) - (3.13 * (Crescimento!#REF!-Crescimento!#REF!)^2)</f>
        <v>#REF!</v>
      </c>
      <c r="EW35" s="16" t="e">
        <f>((EX34+('Vacas e Bezerros'!#REF!-(EX34*0.64))/0.8)/1000)-'Vacas e Bezerros'!#REF!</f>
        <v>#REF!</v>
      </c>
      <c r="EX35" s="17" t="e">
        <f>-53.07 + (304.89 * (EW35)) + (90.79 *('Vacas e Bezerros'!#REF!-'Vacas e Bezerros'!#REF!)) - (3.13 * ('Vacas e Bezerros'!#REF!-'Vacas e Bezerros'!#REF!)^2)</f>
        <v>#REF!</v>
      </c>
      <c r="EZ35" s="16" t="e">
        <f>((FA34+('Vacas e Bezerros'!#REF!-(FA34*0.64))/0.8)/1000)-'Vacas e Bezerros'!#REF!</f>
        <v>#REF!</v>
      </c>
      <c r="FA35" s="17" t="e">
        <f>-53.07 + (304.89 * (EZ35)) + (90.79 *('Vacas e Bezerros'!#REF!-'Vacas e Bezerros'!#REF!)) - (3.13 * ('Vacas e Bezerros'!#REF!-'Vacas e Bezerros'!#REF!)^2)</f>
        <v>#REF!</v>
      </c>
      <c r="FC35" s="16" t="e">
        <f>((FD34+('Vacas e Bezerros'!#REF!-(FD34*0.64))/0.8)/1000)-'Vacas e Bezerros'!#REF!</f>
        <v>#REF!</v>
      </c>
      <c r="FD35" s="17" t="e">
        <f>-53.07 + (304.89 * (FC35)) + (90.79 *('Vacas e Bezerros'!#REF!-'Vacas e Bezerros'!#REF!)) - (3.13 * ('Vacas e Bezerros'!#REF!-'Vacas e Bezerros'!#REF!)^2)</f>
        <v>#REF!</v>
      </c>
      <c r="FF35" s="16" t="e">
        <f>((FG34+('Vacas e Bezerros'!#REF!-(FG34*0.64))/0.8)/1000)-'Vacas e Bezerros'!#REF!</f>
        <v>#REF!</v>
      </c>
      <c r="FG35" s="17" t="e">
        <f>-53.07 + (304.89 * (FF35)) + (90.79 *('Vacas e Bezerros'!#REF!-'Vacas e Bezerros'!#REF!)) - (3.13 * ('Vacas e Bezerros'!#REF!-'Vacas e Bezerros'!#REF!)^2)</f>
        <v>#REF!</v>
      </c>
      <c r="FI35" s="16" t="e">
        <f>((FJ34+('Vacas e Bezerros'!#REF!-(FJ34*0.64))/0.8)/1000)-'Vacas e Bezerros'!#REF!</f>
        <v>#REF!</v>
      </c>
      <c r="FJ35" s="17" t="e">
        <f>-53.07 + (304.89 * (FI35)) + (90.79 *('Vacas e Bezerros'!#REF!-'Vacas e Bezerros'!#REF!)) - (3.13 * ('Vacas e Bezerros'!#REF!-'Vacas e Bezerros'!#REF!)^2)</f>
        <v>#REF!</v>
      </c>
      <c r="FL35" s="16" t="e">
        <f>((FM34+('Vacas e Bezerros'!#REF!-(FM34*0.64))/0.8)/1000)-'Vacas e Bezerros'!#REF!</f>
        <v>#REF!</v>
      </c>
      <c r="FM35" s="17" t="e">
        <f>-53.07 + (304.89 * (FL35)) + (90.79 *('Vacas e Bezerros'!#REF!-'Vacas e Bezerros'!#REF!)) - (3.13 * ('Vacas e Bezerros'!#REF!-'Vacas e Bezerros'!#REF!)^2)</f>
        <v>#REF!</v>
      </c>
      <c r="FO35" s="16" t="e">
        <f>((FP34+('Vacas e Bezerros'!#REF!-(FP34*0.64))/0.8)/1000)-'Vacas e Bezerros'!#REF!</f>
        <v>#REF!</v>
      </c>
      <c r="FP35" s="17" t="e">
        <f>-53.07 + (304.89 * (FO35)) + (90.79 *('Vacas e Bezerros'!#REF!-'Vacas e Bezerros'!#REF!)) - (3.13 * ('Vacas e Bezerros'!#REF!-'Vacas e Bezerros'!#REF!)^2)</f>
        <v>#REF!</v>
      </c>
      <c r="FR35" s="16" t="e">
        <f>((FS34+('Vacas e Bezerros'!#REF!-(FS34*0.64))/0.8)/1000)-'Vacas e Bezerros'!#REF!</f>
        <v>#REF!</v>
      </c>
      <c r="FS35" s="17" t="e">
        <f>-53.07 + (304.89 * (FR35)) + (90.79 *('Vacas e Bezerros'!#REF!-'Vacas e Bezerros'!#REF!)) - (3.13 * ('Vacas e Bezerros'!#REF!-'Vacas e Bezerros'!#REF!)^2)</f>
        <v>#REF!</v>
      </c>
      <c r="FU35" s="16" t="e">
        <f>((FV34+('Vacas e Bezerros'!#REF!-(FV34*0.64))/0.8)/1000)-'Vacas e Bezerros'!#REF!</f>
        <v>#REF!</v>
      </c>
      <c r="FV35" s="17" t="e">
        <f>-53.07 + (304.89 * (FU35)) + (90.79 *('Vacas e Bezerros'!#REF!-'Vacas e Bezerros'!#REF!)) - (3.13 * ('Vacas e Bezerros'!#REF!-'Vacas e Bezerros'!#REF!)^2)</f>
        <v>#REF!</v>
      </c>
      <c r="FX35" s="16" t="e">
        <f>((FY34+('Vacas e Bezerros'!#REF!-(FY34*0.64))/0.8)/1000)-'Vacas e Bezerros'!#REF!</f>
        <v>#REF!</v>
      </c>
      <c r="FY35" s="17" t="e">
        <f>-53.07 + (304.89 * (FX35)) + (90.79 *('Vacas e Bezerros'!#REF!-'Vacas e Bezerros'!#REF!)) - (3.13 * ('Vacas e Bezerros'!#REF!-'Vacas e Bezerros'!#REF!)^2)</f>
        <v>#REF!</v>
      </c>
      <c r="GA35" s="16" t="e">
        <f>((GB34+('Vacas e Bezerros'!#REF!-(GB34*0.64))/0.8)/1000)-'Vacas e Bezerros'!#REF!</f>
        <v>#REF!</v>
      </c>
      <c r="GB35" s="17" t="e">
        <f>-53.07 + (304.89 * (GA35)) + (90.79 *('Vacas e Bezerros'!#REF!-'Vacas e Bezerros'!#REF!)) - (3.13 * ('Vacas e Bezerros'!#REF!-'Vacas e Bezerros'!#REF!)^2)</f>
        <v>#REF!</v>
      </c>
      <c r="GD35" s="16" t="e">
        <f>((GE34+('Vacas e Bezerros'!#REF!-(GE34*0.64))/0.8)/1000)-'Vacas e Bezerros'!#REF!</f>
        <v>#REF!</v>
      </c>
      <c r="GE35" s="17" t="e">
        <f>-53.07 + (304.89 * (GD35)) + (90.79 *('Vacas e Bezerros'!#REF!-'Vacas e Bezerros'!#REF!)) - (3.13 * ('Vacas e Bezerros'!#REF!-'Vacas e Bezerros'!#REF!)^2)</f>
        <v>#REF!</v>
      </c>
      <c r="GG35" s="16" t="e">
        <f>((GH34+('Vacas e Bezerros'!#REF!-(GH34*0.64))/0.8)/1000)-'Vacas e Bezerros'!#REF!</f>
        <v>#REF!</v>
      </c>
      <c r="GH35" s="17" t="e">
        <f>-53.07 + (304.89 * (GG35)) + (90.79 *('Vacas e Bezerros'!#REF!-'Vacas e Bezerros'!#REF!)) - (3.13 * ('Vacas e Bezerros'!#REF!-'Vacas e Bezerros'!#REF!)^2)</f>
        <v>#REF!</v>
      </c>
      <c r="GJ35" s="16" t="e">
        <f>((GK34+('Vacas e Bezerros'!#REF!-(GK34*0.64))/0.8)/1000)-'Vacas e Bezerros'!#REF!</f>
        <v>#REF!</v>
      </c>
      <c r="GK35" s="17" t="e">
        <f>-53.07 + (304.89 * (GJ35)) + (90.79 *('Vacas e Bezerros'!#REF!-'Vacas e Bezerros'!#REF!)) - (3.13 * ('Vacas e Bezerros'!#REF!-'Vacas e Bezerros'!#REF!)^2)</f>
        <v>#REF!</v>
      </c>
      <c r="GM35" s="16" t="e">
        <f>((GN34+('Vacas e Bezerros'!#REF!-(GN34*0.64))/0.8)/1000)-'Vacas e Bezerros'!#REF!</f>
        <v>#REF!</v>
      </c>
      <c r="GN35" s="17" t="e">
        <f>-53.07 + (304.89 * (GM35)) + (90.79 *('Vacas e Bezerros'!#REF!-'Vacas e Bezerros'!#REF!)) - (3.13 * ('Vacas e Bezerros'!#REF!-'Vacas e Bezerros'!#REF!)^2)</f>
        <v>#REF!</v>
      </c>
    </row>
    <row r="36" spans="3:196" x14ac:dyDescent="0.25">
      <c r="C36" s="16">
        <f>(D35+('Vacas e Bezerros'!$AA$28-(D35*0.64))/0.8)/1000</f>
        <v>0.35719668016155687</v>
      </c>
      <c r="D36" s="17">
        <f>-53.07 + (304.89 * (C36-'Vacas e Bezerros'!$C$206)) + (90.79 *('Vacas e Bezerros'!$AA$22)) - (3.13 *('Vacas e Bezerros'!$AA$22)^2)</f>
        <v>165.01876457544017</v>
      </c>
      <c r="F36" s="16" t="e">
        <f>(G35+(Crescimento!#REF!-(G35*0.64))/0.8)/1000</f>
        <v>#REF!</v>
      </c>
      <c r="G36" s="17" t="e">
        <f>-53.07 + (304.89 * (F36)) + (90.79 *Crescimento!#REF!) - (3.13 * Crescimento!#REF!*Crescimento!#REF!)</f>
        <v>#REF!</v>
      </c>
      <c r="H36" s="1"/>
      <c r="I36" s="16" t="e">
        <f>(J35+(Crescimento!#REF!-(J35*0.64))/0.8)/1000</f>
        <v>#REF!</v>
      </c>
      <c r="J36" s="17" t="e">
        <f>-53.07 + (304.89 * (I36)) + (90.79 *Crescimento!#REF!) - (3.13 * Crescimento!#REF!*Crescimento!#REF!)</f>
        <v>#REF!</v>
      </c>
      <c r="L36" s="16" t="e">
        <f>(M35+(Crescimento!#REF!-(M35*0.64))/0.8)/1000</f>
        <v>#REF!</v>
      </c>
      <c r="M36" s="17" t="e">
        <f>-53.07 + (304.89 * (L36)) + (90.79 *Crescimento!#REF!) - (3.13 * Crescimento!#REF!*Crescimento!#REF!)</f>
        <v>#REF!</v>
      </c>
      <c r="O36" s="16" t="e">
        <f>(P35+(Crescimento!#REF!-(P35*0.64))/0.8)/1000</f>
        <v>#REF!</v>
      </c>
      <c r="P36" s="17" t="e">
        <f>-53.07 + (304.89 * (O36)) + (90.79 *Crescimento!#REF!) - (3.13 * Crescimento!#REF!*Crescimento!#REF!)</f>
        <v>#REF!</v>
      </c>
      <c r="R36" s="16" t="e">
        <f>(S35+(Crescimento!#REF!-(S35*0.64))/0.8)/1000</f>
        <v>#REF!</v>
      </c>
      <c r="S36" s="17" t="e">
        <f>-53.07 + (304.89 * (R36)) + (90.79 *Crescimento!#REF!) - (3.13 * Crescimento!#REF!*Crescimento!#REF!)</f>
        <v>#REF!</v>
      </c>
      <c r="U36" s="16" t="e">
        <f>(V35+(Crescimento!#REF!-(V35*0.64))/0.8)/1000</f>
        <v>#REF!</v>
      </c>
      <c r="V36" s="17" t="e">
        <f>-53.07 + (304.89 * (U36)) + (90.79 *Crescimento!#REF!) - (3.13 * Crescimento!#REF!*Crescimento!#REF!)</f>
        <v>#REF!</v>
      </c>
      <c r="X36" s="16" t="e">
        <f>(Y35+(Crescimento!#REF!-(Y35*0.64))/0.8)/1000</f>
        <v>#REF!</v>
      </c>
      <c r="Y36" s="17" t="e">
        <f>-53.07 + (304.89 * (X36)) + (90.79 *Crescimento!#REF!) - (3.13 * Crescimento!#REF!*Crescimento!#REF!)</f>
        <v>#REF!</v>
      </c>
      <c r="Z36" s="6"/>
      <c r="AA36" s="16" t="e">
        <f>(AB35+(Crescimento!#REF!-(AB35*0.64))/0.8)/1000</f>
        <v>#REF!</v>
      </c>
      <c r="AB36" s="17" t="e">
        <f>-53.07 + (304.89 * (AA36)) + (90.79 *Crescimento!#REF!) - (3.13 * Crescimento!#REF!*Crescimento!#REF!)</f>
        <v>#REF!</v>
      </c>
      <c r="AC36" s="6"/>
      <c r="AD36" s="16" t="e">
        <f>(AE35+(Crescimento!#REF!-(AE35*0.64))/0.8)/1000</f>
        <v>#REF!</v>
      </c>
      <c r="AE36" s="17" t="e">
        <f>-53.07 + (304.89 * (AD36)) + (90.79 *Crescimento!#REF!) - (3.13 * Crescimento!#REF!*Crescimento!#REF!)</f>
        <v>#REF!</v>
      </c>
      <c r="AF36" s="17"/>
      <c r="AG36" s="16" t="e">
        <f>(AH35+(Crescimento!#REF!-(AH35*0.64))/0.8)/1000</f>
        <v>#REF!</v>
      </c>
      <c r="AH36" s="17" t="e">
        <f>-53.07 + (304.89 * (AG36)) + (90.79 *Crescimento!#REF!) - (3.13 * Crescimento!#REF!*Crescimento!#REF!)</f>
        <v>#REF!</v>
      </c>
      <c r="AJ36" s="16" t="e">
        <f>(AK35+(Crescimento!#REF!-(AK35*0.64))/0.8)/1000</f>
        <v>#REF!</v>
      </c>
      <c r="AK36" s="17" t="e">
        <f>-53.07 + (304.89 * (AJ36)) + (90.79 *Crescimento!#REF!) - (3.13 * Crescimento!#REF!*Crescimento!#REF!)</f>
        <v>#REF!</v>
      </c>
      <c r="AM36" s="16" t="e">
        <f>(AN35+(Crescimento!#REF!-(AN35*0.64))/0.8)/1000</f>
        <v>#REF!</v>
      </c>
      <c r="AN36" s="17" t="e">
        <f>-53.07 + (304.89 * (AM36)) + (90.79 *Crescimento!#REF!) - (3.13 * Crescimento!#REF!*Crescimento!#REF!)</f>
        <v>#REF!</v>
      </c>
      <c r="AP36" s="16" t="e">
        <f>(AQ35+(Crescimento!#REF!-(AQ35*0.64))/0.8)/1000</f>
        <v>#REF!</v>
      </c>
      <c r="AQ36" s="17" t="e">
        <f>-53.07 + (304.89 * (AP36)) + (90.79 *Crescimento!#REF!) - (3.13 * Crescimento!#REF!*Crescimento!#REF!)</f>
        <v>#REF!</v>
      </c>
      <c r="AS36" s="16" t="e">
        <f>(AT35+(Crescimento!#REF!-(AT35*0.64))/0.8)/1000</f>
        <v>#REF!</v>
      </c>
      <c r="AT36" s="17" t="e">
        <f>-53.07 + (304.89 * (AS36)) + (90.79 *Crescimento!#REF!) - (3.13 * Crescimento!#REF!*Crescimento!#REF!)</f>
        <v>#REF!</v>
      </c>
      <c r="AV36" s="16" t="e">
        <f>(AW35+(Crescimento!#REF!-(AW35*0.64))/0.8)/1000</f>
        <v>#REF!</v>
      </c>
      <c r="AW36" s="17" t="e">
        <f>-53.07 + (304.89 * (AV36)) + (90.79 *Crescimento!#REF!) - (3.13 * Crescimento!#REF!*Crescimento!#REF!)</f>
        <v>#REF!</v>
      </c>
      <c r="AY36" s="21" t="e">
        <f>((AZ35+(Crescimento!#REF!-(AZ35*0.64))/0.8)/1000)-Crescimento!#REF!</f>
        <v>#REF!</v>
      </c>
      <c r="AZ36" s="22" t="e">
        <f>-53.07 + (304.89 * (AY36)) + (90.79 *(Crescimento!#REF!-Crescimento!#REF!)) - (3.13 * (Crescimento!#REF!-Crescimento!#REF!)^2)</f>
        <v>#REF!</v>
      </c>
      <c r="BA36" s="23"/>
      <c r="BB36" s="21" t="e">
        <f>((BC35+(Crescimento!#REF!-(BC35*0.64))/0.8)/1000)-Crescimento!#REF!</f>
        <v>#REF!</v>
      </c>
      <c r="BC36" s="22" t="e">
        <f>-53.07 + (304.89 * (BB36)) + (90.79 *(Crescimento!#REF!-Crescimento!#REF!)) - (3.13 * (Crescimento!#REF!-Crescimento!#REF!)^2)</f>
        <v>#REF!</v>
      </c>
      <c r="BD36" s="23"/>
      <c r="BE36" s="21" t="e">
        <f>((BF35+(Crescimento!#REF!-(BF35*0.64))/0.8)/1000)-Crescimento!#REF!</f>
        <v>#REF!</v>
      </c>
      <c r="BF36" s="22" t="e">
        <f>-53.07 + (304.89 * (BE36)) + (90.79 *(Crescimento!#REF!-Crescimento!#REF!)) - (3.13 * (Crescimento!#REF!-Crescimento!#REF!)^2)</f>
        <v>#REF!</v>
      </c>
      <c r="BG36" s="23"/>
      <c r="BH36" s="21" t="e">
        <f>((BI35+(Crescimento!#REF!-(BI35*0.64))/0.8)/1000)-Crescimento!#REF!</f>
        <v>#REF!</v>
      </c>
      <c r="BI36" s="22" t="e">
        <f>-53.07 + (304.89 * (BH36)) + (90.79 *(Crescimento!#REF!-Crescimento!#REF!)) - (3.13 * (Crescimento!#REF!-Crescimento!#REF!)^2)</f>
        <v>#REF!</v>
      </c>
      <c r="BJ36" s="23"/>
      <c r="BK36" s="21" t="e">
        <f>((BL35+(Crescimento!#REF!-(BL35*0.64))/0.8)/1000)-Crescimento!#REF!</f>
        <v>#REF!</v>
      </c>
      <c r="BL36" s="22" t="e">
        <f>-53.07 + (304.89 * (BK36)) + (90.79 *(Crescimento!#REF!-Crescimento!#REF!)) - (3.13 * (Crescimento!#REF!-Crescimento!#REF!)^2)</f>
        <v>#REF!</v>
      </c>
      <c r="BM36" s="23"/>
      <c r="BN36" s="21" t="e">
        <f>((BO35+(Crescimento!#REF!-(BO35*0.64))/0.8)/1000)-Crescimento!#REF!</f>
        <v>#REF!</v>
      </c>
      <c r="BO36" s="22" t="e">
        <f>-53.07 + (304.89 * (BN36)) + (90.79 *(Crescimento!#REF!-Crescimento!#REF!)) - (3.13 * (Crescimento!#REF!-Crescimento!#REF!)^2)</f>
        <v>#REF!</v>
      </c>
      <c r="BP36" s="23"/>
      <c r="BQ36" s="21" t="e">
        <f>((BR35+(Crescimento!#REF!-(BR35*0.64))/0.8)/1000)-Crescimento!#REF!</f>
        <v>#REF!</v>
      </c>
      <c r="BR36" s="22" t="e">
        <f>-53.07 + (304.89 * (BQ36)) + (90.79 *(Crescimento!#REF!-Crescimento!#REF!)) - (3.13 * (Crescimento!#REF!-Crescimento!#REF!)^2)</f>
        <v>#REF!</v>
      </c>
      <c r="BS36" s="23"/>
      <c r="BT36" s="21" t="e">
        <f>((BU35+(Crescimento!#REF!-(BU35*0.64))/0.8)/1000)-Crescimento!#REF!</f>
        <v>#REF!</v>
      </c>
      <c r="BU36" s="22" t="e">
        <f>-53.07 + (304.89 * (BT36)) + (90.79 *(Crescimento!#REF!-Crescimento!#REF!)) - (3.13 * (Crescimento!#REF!-Crescimento!#REF!)^2)</f>
        <v>#REF!</v>
      </c>
      <c r="BV36" s="23"/>
      <c r="BW36" s="21" t="e">
        <f>((BX35+(Crescimento!#REF!-(BX35*0.64))/0.8)/1000)-Crescimento!#REF!</f>
        <v>#REF!</v>
      </c>
      <c r="BX36" s="22" t="e">
        <f>-53.07 + (304.89 * (BW36)) + (90.79 *(Crescimento!#REF!-Crescimento!#REF!)) - (3.13 * (Crescimento!#REF!-Crescimento!#REF!)^2)</f>
        <v>#REF!</v>
      </c>
      <c r="BY36" s="23"/>
      <c r="BZ36" s="21" t="e">
        <f>((CA35+(Crescimento!#REF!-(CA35*0.64))/0.8)/1000)-Crescimento!#REF!</f>
        <v>#REF!</v>
      </c>
      <c r="CA36" s="22" t="e">
        <f>-53.07 + (304.89 * (BZ36)) + (90.79 *(Crescimento!#REF!-Crescimento!#REF!)) - (3.13 * (Crescimento!#REF!-Crescimento!#REF!)^2)</f>
        <v>#REF!</v>
      </c>
      <c r="CB36" s="23"/>
      <c r="CC36" s="21" t="e">
        <f>((CD35+(Crescimento!#REF!-(CD35*0.64))/0.8)/1000)-Crescimento!#REF!</f>
        <v>#REF!</v>
      </c>
      <c r="CD36" s="22" t="e">
        <f>-53.07 + (304.89 * (CC36)) + (90.79 *(Crescimento!#REF!-Crescimento!#REF!)) - (3.13 * (Crescimento!#REF!-Crescimento!#REF!)^2)</f>
        <v>#REF!</v>
      </c>
      <c r="CE36" s="23"/>
      <c r="CF36" s="21" t="e">
        <f>((CG35+(Crescimento!#REF!-(CG35*0.64))/0.8)/1000)-Crescimento!#REF!</f>
        <v>#REF!</v>
      </c>
      <c r="CG36" s="22" t="e">
        <f>-53.07 + (304.89 * (CF36)) + (90.79 *(Crescimento!#REF!-Crescimento!#REF!)) - (3.13 * (Crescimento!#REF!-Crescimento!#REF!)^2)</f>
        <v>#REF!</v>
      </c>
      <c r="CH36" s="23"/>
      <c r="CI36" s="21" t="e">
        <f>((CJ35+(Crescimento!#REF!-(CJ35*0.64))/0.8)/1000)-Crescimento!#REF!</f>
        <v>#REF!</v>
      </c>
      <c r="CJ36" s="22" t="e">
        <f>-53.07 + (304.89 * (CI36)) + (90.79 *(Crescimento!#REF!-Crescimento!#REF!)) - (3.13 * (Crescimento!#REF!-Crescimento!#REF!)^2)</f>
        <v>#REF!</v>
      </c>
      <c r="CK36" s="23"/>
      <c r="CL36" s="21" t="e">
        <f>((CM35+(Crescimento!#REF!-(CM35*0.64))/0.8)/1000)-Crescimento!#REF!</f>
        <v>#REF!</v>
      </c>
      <c r="CM36" s="22" t="e">
        <f>-53.07 + (304.89 * (CL36)) + (90.79 *(Crescimento!#REF!-Crescimento!#REF!)) - (3.13 * (Crescimento!#REF!-Crescimento!#REF!)^2)</f>
        <v>#REF!</v>
      </c>
      <c r="CN36" s="23"/>
      <c r="CO36" s="21" t="e">
        <f>((CP35+(Crescimento!#REF!-(CP35*0.64))/0.8)/1000)-Crescimento!#REF!</f>
        <v>#REF!</v>
      </c>
      <c r="CP36" s="22" t="e">
        <f>-53.07 + (304.89 * (CO36)) + (90.79 *(Crescimento!#REF!-Crescimento!#REF!)) - (3.13 * (Crescimento!#REF!-Crescimento!#REF!)^2)</f>
        <v>#REF!</v>
      </c>
      <c r="CQ36" s="23"/>
      <c r="CR36" s="21" t="e">
        <f>((CS35+(Crescimento!#REF!-(CS35*0.64))/0.8)/1000)-Crescimento!#REF!</f>
        <v>#REF!</v>
      </c>
      <c r="CS36" s="22" t="e">
        <f>-53.07 + (304.89 * (CR36)) + (90.79 *(Crescimento!#REF!-Crescimento!#REF!)) - (3.13 * (Crescimento!#REF!-Crescimento!#REF!)^2)</f>
        <v>#REF!</v>
      </c>
      <c r="CX36" s="16" t="e">
        <f>((CY35+(Crescimento!#REF!-(CY35*0.64))/0.8)/1000)-Crescimento!#REF!</f>
        <v>#REF!</v>
      </c>
      <c r="CY36" s="17" t="e">
        <f>-53.07 + (304.89 * (CX36)) + (90.79 *(Crescimento!#REF!-Crescimento!#REF!)) - (3.13 * (Crescimento!#REF!-Crescimento!#REF!)^2)</f>
        <v>#REF!</v>
      </c>
      <c r="DA36" s="16" t="e">
        <f>((DB35+(Crescimento!#REF!-(DB35*0.64))/0.8)/1000)-Crescimento!#REF!</f>
        <v>#REF!</v>
      </c>
      <c r="DB36" s="17" t="e">
        <f>-53.07 + (304.89 * (DA36)) + (90.79 *(Crescimento!#REF!-Crescimento!#REF!)) - (3.13 * (Crescimento!#REF!-Crescimento!#REF!)^2)</f>
        <v>#REF!</v>
      </c>
      <c r="DD36" s="16" t="e">
        <f>(DE35+(Crescimento!#REF!-(DE35*0.64))/0.8)/1000</f>
        <v>#REF!</v>
      </c>
      <c r="DE36" s="17" t="e">
        <f>-53.07 + (304.89 * (DD36)) + (90.79 *Crescimento!#REF!) - (3.13 * Crescimento!#REF!*Crescimento!#REF!)</f>
        <v>#REF!</v>
      </c>
      <c r="DG36" s="16" t="e">
        <f>((DH35+(Crescimento!#REF!-(DH35*0.64))/0.8)/1000)-Crescimento!#REF!</f>
        <v>#REF!</v>
      </c>
      <c r="DH36" s="17" t="e">
        <f>-53.07 + (304.89 * (DG36)) + (90.79 *(Crescimento!#REF!-Crescimento!#REF!)) - (3.13 * (Crescimento!#REF!-Crescimento!#REF!)^2)</f>
        <v>#REF!</v>
      </c>
      <c r="DJ36" s="16" t="e">
        <f>((DK35+(Crescimento!#REF!-(DK35*0.64))/0.8)/1000)-Crescimento!#REF!</f>
        <v>#REF!</v>
      </c>
      <c r="DK36" s="17" t="e">
        <f>-53.07 + (304.89 * (DJ36)) + (90.79 *(Crescimento!#REF!-Crescimento!#REF!)) - (3.13 * (Crescimento!#REF!-Crescimento!#REF!)^2)</f>
        <v>#REF!</v>
      </c>
      <c r="DM36" s="16" t="e">
        <f>((DN35+(Crescimento!#REF!-(DN35*0.64))/0.8)/1000)-Crescimento!#REF!</f>
        <v>#REF!</v>
      </c>
      <c r="DN36" s="17" t="e">
        <f>-53.07 + (304.89 * (DM36)) + (90.79 *(Crescimento!#REF!-Crescimento!#REF!)) - (3.13 * (Crescimento!#REF!-Crescimento!#REF!)^2)</f>
        <v>#REF!</v>
      </c>
      <c r="DP36" s="16" t="e">
        <f>(DQ35+(Crescimento!#REF!-(DQ35*0.64))/0.8)/1000</f>
        <v>#REF!</v>
      </c>
      <c r="DQ36" s="17" t="e">
        <f>-53.07 + (304.89 * (DP36)) + (90.79 *(Crescimento!#REF!-Crescimento!#REF!)) - (3.13 * (Crescimento!#REF!-Crescimento!#REF!)^2)</f>
        <v>#REF!</v>
      </c>
      <c r="DS36" s="16" t="e">
        <f>((DT35+(Crescimento!#REF!-(DT35*0.64))/0.8)/1000)-Crescimento!#REF!</f>
        <v>#REF!</v>
      </c>
      <c r="DT36" s="17" t="e">
        <f>-53.07 + (304.89 * (DS36)) + (90.79 *(Crescimento!#REF!-Crescimento!#REF!)) - (3.13 * (Crescimento!#REF!-Crescimento!#REF!)^2)</f>
        <v>#REF!</v>
      </c>
      <c r="DV36" s="16" t="e">
        <f>((DW35+(Crescimento!#REF!-(DW35*0.64))/0.8)/1000)-Crescimento!#REF!</f>
        <v>#REF!</v>
      </c>
      <c r="DW36" s="17" t="e">
        <f>-53.07 + (304.89 * (DV36)) + (90.79 *(Crescimento!#REF!-Crescimento!#REF!)) - (3.13 * (Crescimento!#REF!-Crescimento!#REF!)^2)</f>
        <v>#REF!</v>
      </c>
      <c r="DY36" s="16" t="e">
        <f>((DZ35+(Crescimento!#REF!-(DZ35*0.64))/0.8)/1000)-Crescimento!#REF!</f>
        <v>#REF!</v>
      </c>
      <c r="DZ36" s="17" t="e">
        <f>-53.07 + (304.89 * (DY36)) + (90.79 *(Crescimento!#REF!-Crescimento!#REF!)) - (3.13 * (Crescimento!#REF!-Crescimento!#REF!)^2)</f>
        <v>#REF!</v>
      </c>
      <c r="EB36" s="16" t="e">
        <f>((EC35+(Crescimento!#REF!-(EC35*0.64))/0.8)/1000)-Crescimento!#REF!</f>
        <v>#REF!</v>
      </c>
      <c r="EC36" s="17" t="e">
        <f>-53.07 + (304.89 * (EB36)) + (90.79 *(Crescimento!#REF!-Crescimento!#REF!)) - (3.13 * (Crescimento!#REF!-Crescimento!#REF!)^2)</f>
        <v>#REF!</v>
      </c>
      <c r="EE36" s="16" t="e">
        <f>((EF35+(Crescimento!#REF!-(EF35*0.64))/0.8)/1000)-Crescimento!#REF!</f>
        <v>#REF!</v>
      </c>
      <c r="EF36" s="17" t="e">
        <f>-53.07 + (304.89 * (EE36)) + (90.79 *(Crescimento!#REF!-Crescimento!#REF!)) - (3.13 * (Crescimento!#REF!-Crescimento!#REF!)^2)</f>
        <v>#REF!</v>
      </c>
      <c r="EH36" s="16" t="e">
        <f>((EI35+(Crescimento!#REF!-(EI35*0.64))/0.8)/1000)-Crescimento!#REF!</f>
        <v>#REF!</v>
      </c>
      <c r="EI36" s="17" t="e">
        <f>-53.07 + (304.89 * (EH36)) + (90.79 *(Crescimento!#REF!-Crescimento!#REF!)) - (3.13 * (Crescimento!#REF!-Crescimento!#REF!)^2)</f>
        <v>#REF!</v>
      </c>
      <c r="EK36" s="16" t="e">
        <f>((EL35+(Crescimento!#REF!-(EL35*0.64))/0.8)/1000)-Crescimento!#REF!</f>
        <v>#REF!</v>
      </c>
      <c r="EL36" s="17" t="e">
        <f>-53.07 + (304.89 * (EK36)) + (90.79 *(Crescimento!#REF!-Crescimento!#REF!)) - (3.13 * (Crescimento!#REF!-Crescimento!#REF!)^2)</f>
        <v>#REF!</v>
      </c>
      <c r="EN36" s="16" t="e">
        <f>((EO35+(Crescimento!#REF!-(EO35*0.64))/0.8)/1000)-Crescimento!#REF!</f>
        <v>#REF!</v>
      </c>
      <c r="EO36" s="17" t="e">
        <f>-53.07 + (304.89 * (EN36)) + (90.79 *(Crescimento!#REF!-Crescimento!#REF!)) - (3.13 * (Crescimento!#REF!-Crescimento!#REF!)^2)</f>
        <v>#REF!</v>
      </c>
      <c r="EQ36" s="16" t="e">
        <f>((ER35+(Crescimento!#REF!-(ER35*0.64))/0.8)/1000)-Crescimento!#REF!</f>
        <v>#REF!</v>
      </c>
      <c r="ER36" s="17" t="e">
        <f>-53.07 + (304.89 * (EQ36)) + (90.79 *(Crescimento!#REF!-Crescimento!#REF!)) - (3.13 * (Crescimento!#REF!-Crescimento!#REF!)^2)</f>
        <v>#REF!</v>
      </c>
      <c r="ET36" s="16" t="e">
        <f>((EU35+(Crescimento!#REF!-(EU35*0.64))/0.8)/1000)-Crescimento!#REF!</f>
        <v>#REF!</v>
      </c>
      <c r="EU36" s="17" t="e">
        <f>-53.07 + (304.89 * (ET36)) + (90.79 *(Crescimento!#REF!-Crescimento!#REF!)) - (3.13 * (Crescimento!#REF!-Crescimento!#REF!)^2)</f>
        <v>#REF!</v>
      </c>
      <c r="EW36" s="16" t="e">
        <f>((EX35+('Vacas e Bezerros'!#REF!-(EX35*0.64))/0.8)/1000)-'Vacas e Bezerros'!#REF!</f>
        <v>#REF!</v>
      </c>
      <c r="EX36" s="17" t="e">
        <f>-53.07 + (304.89 * (EW36)) + (90.79 *('Vacas e Bezerros'!#REF!-'Vacas e Bezerros'!#REF!)) - (3.13 * ('Vacas e Bezerros'!#REF!-'Vacas e Bezerros'!#REF!)^2)</f>
        <v>#REF!</v>
      </c>
      <c r="EZ36" s="16" t="e">
        <f>((FA35+('Vacas e Bezerros'!#REF!-(FA35*0.64))/0.8)/1000)-'Vacas e Bezerros'!#REF!</f>
        <v>#REF!</v>
      </c>
      <c r="FA36" s="17" t="e">
        <f>-53.07 + (304.89 * (EZ36)) + (90.79 *('Vacas e Bezerros'!#REF!-'Vacas e Bezerros'!#REF!)) - (3.13 * ('Vacas e Bezerros'!#REF!-'Vacas e Bezerros'!#REF!)^2)</f>
        <v>#REF!</v>
      </c>
      <c r="FC36" s="16" t="e">
        <f>((FD35+('Vacas e Bezerros'!#REF!-(FD35*0.64))/0.8)/1000)-'Vacas e Bezerros'!#REF!</f>
        <v>#REF!</v>
      </c>
      <c r="FD36" s="17" t="e">
        <f>-53.07 + (304.89 * (FC36)) + (90.79 *('Vacas e Bezerros'!#REF!-'Vacas e Bezerros'!#REF!)) - (3.13 * ('Vacas e Bezerros'!#REF!-'Vacas e Bezerros'!#REF!)^2)</f>
        <v>#REF!</v>
      </c>
      <c r="FF36" s="16" t="e">
        <f>((FG35+('Vacas e Bezerros'!#REF!-(FG35*0.64))/0.8)/1000)-'Vacas e Bezerros'!#REF!</f>
        <v>#REF!</v>
      </c>
      <c r="FG36" s="17" t="e">
        <f>-53.07 + (304.89 * (FF36)) + (90.79 *('Vacas e Bezerros'!#REF!-'Vacas e Bezerros'!#REF!)) - (3.13 * ('Vacas e Bezerros'!#REF!-'Vacas e Bezerros'!#REF!)^2)</f>
        <v>#REF!</v>
      </c>
      <c r="FI36" s="16" t="e">
        <f>((FJ35+('Vacas e Bezerros'!#REF!-(FJ35*0.64))/0.8)/1000)-'Vacas e Bezerros'!#REF!</f>
        <v>#REF!</v>
      </c>
      <c r="FJ36" s="17" t="e">
        <f>-53.07 + (304.89 * (FI36)) + (90.79 *('Vacas e Bezerros'!#REF!-'Vacas e Bezerros'!#REF!)) - (3.13 * ('Vacas e Bezerros'!#REF!-'Vacas e Bezerros'!#REF!)^2)</f>
        <v>#REF!</v>
      </c>
      <c r="FL36" s="16" t="e">
        <f>((FM35+('Vacas e Bezerros'!#REF!-(FM35*0.64))/0.8)/1000)-'Vacas e Bezerros'!#REF!</f>
        <v>#REF!</v>
      </c>
      <c r="FM36" s="17" t="e">
        <f>-53.07 + (304.89 * (FL36)) + (90.79 *('Vacas e Bezerros'!#REF!-'Vacas e Bezerros'!#REF!)) - (3.13 * ('Vacas e Bezerros'!#REF!-'Vacas e Bezerros'!#REF!)^2)</f>
        <v>#REF!</v>
      </c>
      <c r="FO36" s="16" t="e">
        <f>((FP35+('Vacas e Bezerros'!#REF!-(FP35*0.64))/0.8)/1000)-'Vacas e Bezerros'!#REF!</f>
        <v>#REF!</v>
      </c>
      <c r="FP36" s="17" t="e">
        <f>-53.07 + (304.89 * (FO36)) + (90.79 *('Vacas e Bezerros'!#REF!-'Vacas e Bezerros'!#REF!)) - (3.13 * ('Vacas e Bezerros'!#REF!-'Vacas e Bezerros'!#REF!)^2)</f>
        <v>#REF!</v>
      </c>
      <c r="FR36" s="16" t="e">
        <f>((FS35+('Vacas e Bezerros'!#REF!-(FS35*0.64))/0.8)/1000)-'Vacas e Bezerros'!#REF!</f>
        <v>#REF!</v>
      </c>
      <c r="FS36" s="17" t="e">
        <f>-53.07 + (304.89 * (FR36)) + (90.79 *('Vacas e Bezerros'!#REF!-'Vacas e Bezerros'!#REF!)) - (3.13 * ('Vacas e Bezerros'!#REF!-'Vacas e Bezerros'!#REF!)^2)</f>
        <v>#REF!</v>
      </c>
      <c r="FU36" s="16" t="e">
        <f>((FV35+('Vacas e Bezerros'!#REF!-(FV35*0.64))/0.8)/1000)-'Vacas e Bezerros'!#REF!</f>
        <v>#REF!</v>
      </c>
      <c r="FV36" s="17" t="e">
        <f>-53.07 + (304.89 * (FU36)) + (90.79 *('Vacas e Bezerros'!#REF!-'Vacas e Bezerros'!#REF!)) - (3.13 * ('Vacas e Bezerros'!#REF!-'Vacas e Bezerros'!#REF!)^2)</f>
        <v>#REF!</v>
      </c>
      <c r="FX36" s="16" t="e">
        <f>((FY35+('Vacas e Bezerros'!#REF!-(FY35*0.64))/0.8)/1000)-'Vacas e Bezerros'!#REF!</f>
        <v>#REF!</v>
      </c>
      <c r="FY36" s="17" t="e">
        <f>-53.07 + (304.89 * (FX36)) + (90.79 *('Vacas e Bezerros'!#REF!-'Vacas e Bezerros'!#REF!)) - (3.13 * ('Vacas e Bezerros'!#REF!-'Vacas e Bezerros'!#REF!)^2)</f>
        <v>#REF!</v>
      </c>
      <c r="GA36" s="16" t="e">
        <f>((GB35+('Vacas e Bezerros'!#REF!-(GB35*0.64))/0.8)/1000)-'Vacas e Bezerros'!#REF!</f>
        <v>#REF!</v>
      </c>
      <c r="GB36" s="17" t="e">
        <f>-53.07 + (304.89 * (GA36)) + (90.79 *('Vacas e Bezerros'!#REF!-'Vacas e Bezerros'!#REF!)) - (3.13 * ('Vacas e Bezerros'!#REF!-'Vacas e Bezerros'!#REF!)^2)</f>
        <v>#REF!</v>
      </c>
      <c r="GD36" s="16" t="e">
        <f>((GE35+('Vacas e Bezerros'!#REF!-(GE35*0.64))/0.8)/1000)-'Vacas e Bezerros'!#REF!</f>
        <v>#REF!</v>
      </c>
      <c r="GE36" s="17" t="e">
        <f>-53.07 + (304.89 * (GD36)) + (90.79 *('Vacas e Bezerros'!#REF!-'Vacas e Bezerros'!#REF!)) - (3.13 * ('Vacas e Bezerros'!#REF!-'Vacas e Bezerros'!#REF!)^2)</f>
        <v>#REF!</v>
      </c>
      <c r="GG36" s="16" t="e">
        <f>((GH35+('Vacas e Bezerros'!#REF!-(GH35*0.64))/0.8)/1000)-'Vacas e Bezerros'!#REF!</f>
        <v>#REF!</v>
      </c>
      <c r="GH36" s="17" t="e">
        <f>-53.07 + (304.89 * (GG36)) + (90.79 *('Vacas e Bezerros'!#REF!-'Vacas e Bezerros'!#REF!)) - (3.13 * ('Vacas e Bezerros'!#REF!-'Vacas e Bezerros'!#REF!)^2)</f>
        <v>#REF!</v>
      </c>
      <c r="GJ36" s="16" t="e">
        <f>((GK35+('Vacas e Bezerros'!#REF!-(GK35*0.64))/0.8)/1000)-'Vacas e Bezerros'!#REF!</f>
        <v>#REF!</v>
      </c>
      <c r="GK36" s="17" t="e">
        <f>-53.07 + (304.89 * (GJ36)) + (90.79 *('Vacas e Bezerros'!#REF!-'Vacas e Bezerros'!#REF!)) - (3.13 * ('Vacas e Bezerros'!#REF!-'Vacas e Bezerros'!#REF!)^2)</f>
        <v>#REF!</v>
      </c>
      <c r="GM36" s="16" t="e">
        <f>((GN35+('Vacas e Bezerros'!#REF!-(GN35*0.64))/0.8)/1000)-'Vacas e Bezerros'!#REF!</f>
        <v>#REF!</v>
      </c>
      <c r="GN36" s="17" t="e">
        <f>-53.07 + (304.89 * (GM36)) + (90.79 *('Vacas e Bezerros'!#REF!-'Vacas e Bezerros'!#REF!)) - (3.13 * ('Vacas e Bezerros'!#REF!-'Vacas e Bezerros'!#REF!)^2)</f>
        <v>#REF!</v>
      </c>
    </row>
    <row r="37" spans="3:196" x14ac:dyDescent="0.25">
      <c r="C37" s="16">
        <f>(D36+('Vacas e Bezerros'!$AA$28-(D36*0.64))/0.8)/1000</f>
        <v>0.35719668016155687</v>
      </c>
      <c r="D37" s="17">
        <f>-53.07 + (304.89 * (C37-'Vacas e Bezerros'!$C$206)) + (90.79 *('Vacas e Bezerros'!$AA$22)) - (3.13 *('Vacas e Bezerros'!$AA$22)^2)</f>
        <v>165.01876457544017</v>
      </c>
      <c r="F37" s="16" t="e">
        <f>(G36+(Crescimento!#REF!-(G36*0.64))/0.8)/1000</f>
        <v>#REF!</v>
      </c>
      <c r="G37" s="17" t="e">
        <f>-53.07 + (304.89 * (F37)) + (90.79 *Crescimento!#REF!) - (3.13 * Crescimento!#REF!*Crescimento!#REF!)</f>
        <v>#REF!</v>
      </c>
      <c r="H37" s="1"/>
      <c r="I37" s="16" t="e">
        <f>(J36+(Crescimento!#REF!-(J36*0.64))/0.8)/1000</f>
        <v>#REF!</v>
      </c>
      <c r="J37" s="17" t="e">
        <f>-53.07 + (304.89 * (I37)) + (90.79 *Crescimento!#REF!) - (3.13 * Crescimento!#REF!*Crescimento!#REF!)</f>
        <v>#REF!</v>
      </c>
      <c r="L37" s="16" t="e">
        <f>(M36+(Crescimento!#REF!-(M36*0.64))/0.8)/1000</f>
        <v>#REF!</v>
      </c>
      <c r="M37" s="17" t="e">
        <f>-53.07 + (304.89 * (L37)) + (90.79 *Crescimento!#REF!) - (3.13 * Crescimento!#REF!*Crescimento!#REF!)</f>
        <v>#REF!</v>
      </c>
      <c r="O37" s="16" t="e">
        <f>(P36+(Crescimento!#REF!-(P36*0.64))/0.8)/1000</f>
        <v>#REF!</v>
      </c>
      <c r="P37" s="17" t="e">
        <f>-53.07 + (304.89 * (O37)) + (90.79 *Crescimento!#REF!) - (3.13 * Crescimento!#REF!*Crescimento!#REF!)</f>
        <v>#REF!</v>
      </c>
      <c r="R37" s="16" t="e">
        <f>(S36+(Crescimento!#REF!-(S36*0.64))/0.8)/1000</f>
        <v>#REF!</v>
      </c>
      <c r="S37" s="17" t="e">
        <f>-53.07 + (304.89 * (R37)) + (90.79 *Crescimento!#REF!) - (3.13 * Crescimento!#REF!*Crescimento!#REF!)</f>
        <v>#REF!</v>
      </c>
      <c r="U37" s="16" t="e">
        <f>(V36+(Crescimento!#REF!-(V36*0.64))/0.8)/1000</f>
        <v>#REF!</v>
      </c>
      <c r="V37" s="17" t="e">
        <f>-53.07 + (304.89 * (U37)) + (90.79 *Crescimento!#REF!) - (3.13 * Crescimento!#REF!*Crescimento!#REF!)</f>
        <v>#REF!</v>
      </c>
      <c r="X37" s="16" t="e">
        <f>(Y36+(Crescimento!#REF!-(Y36*0.64))/0.8)/1000</f>
        <v>#REF!</v>
      </c>
      <c r="Y37" s="17" t="e">
        <f>-53.07 + (304.89 * (X37)) + (90.79 *Crescimento!#REF!) - (3.13 * Crescimento!#REF!*Crescimento!#REF!)</f>
        <v>#REF!</v>
      </c>
      <c r="Z37" s="6"/>
      <c r="AA37" s="16" t="e">
        <f>(AB36+(Crescimento!#REF!-(AB36*0.64))/0.8)/1000</f>
        <v>#REF!</v>
      </c>
      <c r="AB37" s="17" t="e">
        <f>-53.07 + (304.89 * (AA37)) + (90.79 *Crescimento!#REF!) - (3.13 * Crescimento!#REF!*Crescimento!#REF!)</f>
        <v>#REF!</v>
      </c>
      <c r="AC37" s="6"/>
      <c r="AD37" s="16" t="e">
        <f>(AE36+(Crescimento!#REF!-(AE36*0.64))/0.8)/1000</f>
        <v>#REF!</v>
      </c>
      <c r="AE37" s="17" t="e">
        <f>-53.07 + (304.89 * (AD37)) + (90.79 *Crescimento!#REF!) - (3.13 * Crescimento!#REF!*Crescimento!#REF!)</f>
        <v>#REF!</v>
      </c>
      <c r="AF37" s="17"/>
      <c r="AG37" s="16" t="e">
        <f>(AH36+(Crescimento!#REF!-(AH36*0.64))/0.8)/1000</f>
        <v>#REF!</v>
      </c>
      <c r="AH37" s="17" t="e">
        <f>-53.07 + (304.89 * (AG37)) + (90.79 *Crescimento!#REF!) - (3.13 * Crescimento!#REF!*Crescimento!#REF!)</f>
        <v>#REF!</v>
      </c>
      <c r="AJ37" s="16" t="e">
        <f>(AK36+(Crescimento!#REF!-(AK36*0.64))/0.8)/1000</f>
        <v>#REF!</v>
      </c>
      <c r="AK37" s="17" t="e">
        <f>-53.07 + (304.89 * (AJ37)) + (90.79 *Crescimento!#REF!) - (3.13 * Crescimento!#REF!*Crescimento!#REF!)</f>
        <v>#REF!</v>
      </c>
      <c r="AM37" s="16" t="e">
        <f>(AN36+(Crescimento!#REF!-(AN36*0.64))/0.8)/1000</f>
        <v>#REF!</v>
      </c>
      <c r="AN37" s="17" t="e">
        <f>-53.07 + (304.89 * (AM37)) + (90.79 *Crescimento!#REF!) - (3.13 * Crescimento!#REF!*Crescimento!#REF!)</f>
        <v>#REF!</v>
      </c>
      <c r="AP37" s="16" t="e">
        <f>(AQ36+(Crescimento!#REF!-(AQ36*0.64))/0.8)/1000</f>
        <v>#REF!</v>
      </c>
      <c r="AQ37" s="17" t="e">
        <f>-53.07 + (304.89 * (AP37)) + (90.79 *Crescimento!#REF!) - (3.13 * Crescimento!#REF!*Crescimento!#REF!)</f>
        <v>#REF!</v>
      </c>
      <c r="AS37" s="16" t="e">
        <f>(AT36+(Crescimento!#REF!-(AT36*0.64))/0.8)/1000</f>
        <v>#REF!</v>
      </c>
      <c r="AT37" s="17" t="e">
        <f>-53.07 + (304.89 * (AS37)) + (90.79 *Crescimento!#REF!) - (3.13 * Crescimento!#REF!*Crescimento!#REF!)</f>
        <v>#REF!</v>
      </c>
      <c r="AV37" s="16" t="e">
        <f>(AW36+(Crescimento!#REF!-(AW36*0.64))/0.8)/1000</f>
        <v>#REF!</v>
      </c>
      <c r="AW37" s="17" t="e">
        <f>-53.07 + (304.89 * (AV37)) + (90.79 *Crescimento!#REF!) - (3.13 * Crescimento!#REF!*Crescimento!#REF!)</f>
        <v>#REF!</v>
      </c>
      <c r="AY37" s="21" t="e">
        <f>((AZ36+(Crescimento!#REF!-(AZ36*0.64))/0.8)/1000)-Crescimento!#REF!</f>
        <v>#REF!</v>
      </c>
      <c r="AZ37" s="22" t="e">
        <f>-53.07 + (304.89 * (AY37)) + (90.79 *(Crescimento!#REF!-Crescimento!#REF!)) - (3.13 * (Crescimento!#REF!-Crescimento!#REF!)^2)</f>
        <v>#REF!</v>
      </c>
      <c r="BA37" s="23"/>
      <c r="BB37" s="21" t="e">
        <f>((BC36+(Crescimento!#REF!-(BC36*0.64))/0.8)/1000)-Crescimento!#REF!</f>
        <v>#REF!</v>
      </c>
      <c r="BC37" s="22" t="e">
        <f>-53.07 + (304.89 * (BB37)) + (90.79 *(Crescimento!#REF!-Crescimento!#REF!)) - (3.13 * (Crescimento!#REF!-Crescimento!#REF!)^2)</f>
        <v>#REF!</v>
      </c>
      <c r="BD37" s="23"/>
      <c r="BE37" s="21" t="e">
        <f>((BF36+(Crescimento!#REF!-(BF36*0.64))/0.8)/1000)-Crescimento!#REF!</f>
        <v>#REF!</v>
      </c>
      <c r="BF37" s="22" t="e">
        <f>-53.07 + (304.89 * (BE37)) + (90.79 *(Crescimento!#REF!-Crescimento!#REF!)) - (3.13 * (Crescimento!#REF!-Crescimento!#REF!)^2)</f>
        <v>#REF!</v>
      </c>
      <c r="BG37" s="23"/>
      <c r="BH37" s="21" t="e">
        <f>((BI36+(Crescimento!#REF!-(BI36*0.64))/0.8)/1000)-Crescimento!#REF!</f>
        <v>#REF!</v>
      </c>
      <c r="BI37" s="22" t="e">
        <f>-53.07 + (304.89 * (BH37)) + (90.79 *(Crescimento!#REF!-Crescimento!#REF!)) - (3.13 * (Crescimento!#REF!-Crescimento!#REF!)^2)</f>
        <v>#REF!</v>
      </c>
      <c r="BJ37" s="23"/>
      <c r="BK37" s="21" t="e">
        <f>((BL36+(Crescimento!#REF!-(BL36*0.64))/0.8)/1000)-Crescimento!#REF!</f>
        <v>#REF!</v>
      </c>
      <c r="BL37" s="22" t="e">
        <f>-53.07 + (304.89 * (BK37)) + (90.79 *(Crescimento!#REF!-Crescimento!#REF!)) - (3.13 * (Crescimento!#REF!-Crescimento!#REF!)^2)</f>
        <v>#REF!</v>
      </c>
      <c r="BM37" s="23"/>
      <c r="BN37" s="21" t="e">
        <f>((BO36+(Crescimento!#REF!-(BO36*0.64))/0.8)/1000)-Crescimento!#REF!</f>
        <v>#REF!</v>
      </c>
      <c r="BO37" s="22" t="e">
        <f>-53.07 + (304.89 * (BN37)) + (90.79 *(Crescimento!#REF!-Crescimento!#REF!)) - (3.13 * (Crescimento!#REF!-Crescimento!#REF!)^2)</f>
        <v>#REF!</v>
      </c>
      <c r="BP37" s="23"/>
      <c r="BQ37" s="21" t="e">
        <f>((BR36+(Crescimento!#REF!-(BR36*0.64))/0.8)/1000)-Crescimento!#REF!</f>
        <v>#REF!</v>
      </c>
      <c r="BR37" s="22" t="e">
        <f>-53.07 + (304.89 * (BQ37)) + (90.79 *(Crescimento!#REF!-Crescimento!#REF!)) - (3.13 * (Crescimento!#REF!-Crescimento!#REF!)^2)</f>
        <v>#REF!</v>
      </c>
      <c r="BS37" s="23"/>
      <c r="BT37" s="21" t="e">
        <f>((BU36+(Crescimento!#REF!-(BU36*0.64))/0.8)/1000)-Crescimento!#REF!</f>
        <v>#REF!</v>
      </c>
      <c r="BU37" s="22" t="e">
        <f>-53.07 + (304.89 * (BT37)) + (90.79 *(Crescimento!#REF!-Crescimento!#REF!)) - (3.13 * (Crescimento!#REF!-Crescimento!#REF!)^2)</f>
        <v>#REF!</v>
      </c>
      <c r="BV37" s="23"/>
      <c r="BW37" s="21" t="e">
        <f>((BX36+(Crescimento!#REF!-(BX36*0.64))/0.8)/1000)-Crescimento!#REF!</f>
        <v>#REF!</v>
      </c>
      <c r="BX37" s="22" t="e">
        <f>-53.07 + (304.89 * (BW37)) + (90.79 *(Crescimento!#REF!-Crescimento!#REF!)) - (3.13 * (Crescimento!#REF!-Crescimento!#REF!)^2)</f>
        <v>#REF!</v>
      </c>
      <c r="BY37" s="23"/>
      <c r="BZ37" s="21" t="e">
        <f>((CA36+(Crescimento!#REF!-(CA36*0.64))/0.8)/1000)-Crescimento!#REF!</f>
        <v>#REF!</v>
      </c>
      <c r="CA37" s="22" t="e">
        <f>-53.07 + (304.89 * (BZ37)) + (90.79 *(Crescimento!#REF!-Crescimento!#REF!)) - (3.13 * (Crescimento!#REF!-Crescimento!#REF!)^2)</f>
        <v>#REF!</v>
      </c>
      <c r="CB37" s="23"/>
      <c r="CC37" s="21" t="e">
        <f>((CD36+(Crescimento!#REF!-(CD36*0.64))/0.8)/1000)-Crescimento!#REF!</f>
        <v>#REF!</v>
      </c>
      <c r="CD37" s="22" t="e">
        <f>-53.07 + (304.89 * (CC37)) + (90.79 *(Crescimento!#REF!-Crescimento!#REF!)) - (3.13 * (Crescimento!#REF!-Crescimento!#REF!)^2)</f>
        <v>#REF!</v>
      </c>
      <c r="CE37" s="23"/>
      <c r="CF37" s="21" t="e">
        <f>((CG36+(Crescimento!#REF!-(CG36*0.64))/0.8)/1000)-Crescimento!#REF!</f>
        <v>#REF!</v>
      </c>
      <c r="CG37" s="22" t="e">
        <f>-53.07 + (304.89 * (CF37)) + (90.79 *(Crescimento!#REF!-Crescimento!#REF!)) - (3.13 * (Crescimento!#REF!-Crescimento!#REF!)^2)</f>
        <v>#REF!</v>
      </c>
      <c r="CH37" s="23"/>
      <c r="CI37" s="21" t="e">
        <f>((CJ36+(Crescimento!#REF!-(CJ36*0.64))/0.8)/1000)-Crescimento!#REF!</f>
        <v>#REF!</v>
      </c>
      <c r="CJ37" s="22" t="e">
        <f>-53.07 + (304.89 * (CI37)) + (90.79 *(Crescimento!#REF!-Crescimento!#REF!)) - (3.13 * (Crescimento!#REF!-Crescimento!#REF!)^2)</f>
        <v>#REF!</v>
      </c>
      <c r="CK37" s="23"/>
      <c r="CL37" s="21" t="e">
        <f>((CM36+(Crescimento!#REF!-(CM36*0.64))/0.8)/1000)-Crescimento!#REF!</f>
        <v>#REF!</v>
      </c>
      <c r="CM37" s="22" t="e">
        <f>-53.07 + (304.89 * (CL37)) + (90.79 *(Crescimento!#REF!-Crescimento!#REF!)) - (3.13 * (Crescimento!#REF!-Crescimento!#REF!)^2)</f>
        <v>#REF!</v>
      </c>
      <c r="CN37" s="23"/>
      <c r="CO37" s="21" t="e">
        <f>((CP36+(Crescimento!#REF!-(CP36*0.64))/0.8)/1000)-Crescimento!#REF!</f>
        <v>#REF!</v>
      </c>
      <c r="CP37" s="22" t="e">
        <f>-53.07 + (304.89 * (CO37)) + (90.79 *(Crescimento!#REF!-Crescimento!#REF!)) - (3.13 * (Crescimento!#REF!-Crescimento!#REF!)^2)</f>
        <v>#REF!</v>
      </c>
      <c r="CQ37" s="23"/>
      <c r="CR37" s="21" t="e">
        <f>((CS36+(Crescimento!#REF!-(CS36*0.64))/0.8)/1000)-Crescimento!#REF!</f>
        <v>#REF!</v>
      </c>
      <c r="CS37" s="22" t="e">
        <f>-53.07 + (304.89 * (CR37)) + (90.79 *(Crescimento!#REF!-Crescimento!#REF!)) - (3.13 * (Crescimento!#REF!-Crescimento!#REF!)^2)</f>
        <v>#REF!</v>
      </c>
      <c r="CX37" s="16" t="e">
        <f>((CY36+(Crescimento!#REF!-(CY36*0.64))/0.8)/1000)-Crescimento!#REF!</f>
        <v>#REF!</v>
      </c>
      <c r="CY37" s="17" t="e">
        <f>-53.07 + (304.89 * (CX37)) + (90.79 *(Crescimento!#REF!-Crescimento!#REF!)) - (3.13 * (Crescimento!#REF!-Crescimento!#REF!)^2)</f>
        <v>#REF!</v>
      </c>
      <c r="DA37" s="16" t="e">
        <f>((DB36+(Crescimento!#REF!-(DB36*0.64))/0.8)/1000)-Crescimento!#REF!</f>
        <v>#REF!</v>
      </c>
      <c r="DB37" s="17" t="e">
        <f>-53.07 + (304.89 * (DA37)) + (90.79 *(Crescimento!#REF!-Crescimento!#REF!)) - (3.13 * (Crescimento!#REF!-Crescimento!#REF!)^2)</f>
        <v>#REF!</v>
      </c>
      <c r="DD37" s="16" t="e">
        <f>(DE36+(Crescimento!#REF!-(DE36*0.64))/0.8)/1000</f>
        <v>#REF!</v>
      </c>
      <c r="DE37" s="17" t="e">
        <f>-53.07 + (304.89 * (DD37)) + (90.79 *Crescimento!#REF!) - (3.13 * Crescimento!#REF!*Crescimento!#REF!)</f>
        <v>#REF!</v>
      </c>
      <c r="DG37" s="16" t="e">
        <f>((DH36+(Crescimento!#REF!-(DH36*0.64))/0.8)/1000)-Crescimento!#REF!</f>
        <v>#REF!</v>
      </c>
      <c r="DH37" s="17" t="e">
        <f>-53.07 + (304.89 * (DG37)) + (90.79 *(Crescimento!#REF!-Crescimento!#REF!)) - (3.13 * (Crescimento!#REF!-Crescimento!#REF!)^2)</f>
        <v>#REF!</v>
      </c>
      <c r="DJ37" s="16" t="e">
        <f>((DK36+(Crescimento!#REF!-(DK36*0.64))/0.8)/1000)-Crescimento!#REF!</f>
        <v>#REF!</v>
      </c>
      <c r="DK37" s="17" t="e">
        <f>-53.07 + (304.89 * (DJ37)) + (90.79 *(Crescimento!#REF!-Crescimento!#REF!)) - (3.13 * (Crescimento!#REF!-Crescimento!#REF!)^2)</f>
        <v>#REF!</v>
      </c>
      <c r="DM37" s="16" t="e">
        <f>((DN36+(Crescimento!#REF!-(DN36*0.64))/0.8)/1000)-Crescimento!#REF!</f>
        <v>#REF!</v>
      </c>
      <c r="DN37" s="17" t="e">
        <f>-53.07 + (304.89 * (DM37)) + (90.79 *(Crescimento!#REF!-Crescimento!#REF!)) - (3.13 * (Crescimento!#REF!-Crescimento!#REF!)^2)</f>
        <v>#REF!</v>
      </c>
      <c r="DP37" s="16" t="e">
        <f>(DQ36+(Crescimento!#REF!-(DQ36*0.64))/0.8)/1000</f>
        <v>#REF!</v>
      </c>
      <c r="DQ37" s="17" t="e">
        <f>-53.07 + (304.89 * (DP37)) + (90.79 *(Crescimento!#REF!-Crescimento!#REF!)) - (3.13 * (Crescimento!#REF!-Crescimento!#REF!)^2)</f>
        <v>#REF!</v>
      </c>
      <c r="DS37" s="16" t="e">
        <f>((DT36+(Crescimento!#REF!-(DT36*0.64))/0.8)/1000)-Crescimento!#REF!</f>
        <v>#REF!</v>
      </c>
      <c r="DT37" s="17" t="e">
        <f>-53.07 + (304.89 * (DS37)) + (90.79 *(Crescimento!#REF!-Crescimento!#REF!)) - (3.13 * (Crescimento!#REF!-Crescimento!#REF!)^2)</f>
        <v>#REF!</v>
      </c>
      <c r="DV37" s="16" t="e">
        <f>((DW36+(Crescimento!#REF!-(DW36*0.64))/0.8)/1000)-Crescimento!#REF!</f>
        <v>#REF!</v>
      </c>
      <c r="DW37" s="17" t="e">
        <f>-53.07 + (304.89 * (DV37)) + (90.79 *(Crescimento!#REF!-Crescimento!#REF!)) - (3.13 * (Crescimento!#REF!-Crescimento!#REF!)^2)</f>
        <v>#REF!</v>
      </c>
      <c r="DY37" s="16" t="e">
        <f>((DZ36+(Crescimento!#REF!-(DZ36*0.64))/0.8)/1000)-Crescimento!#REF!</f>
        <v>#REF!</v>
      </c>
      <c r="DZ37" s="17" t="e">
        <f>-53.07 + (304.89 * (DY37)) + (90.79 *(Crescimento!#REF!-Crescimento!#REF!)) - (3.13 * (Crescimento!#REF!-Crescimento!#REF!)^2)</f>
        <v>#REF!</v>
      </c>
      <c r="EB37" s="16" t="e">
        <f>((EC36+(Crescimento!#REF!-(EC36*0.64))/0.8)/1000)-Crescimento!#REF!</f>
        <v>#REF!</v>
      </c>
      <c r="EC37" s="17" t="e">
        <f>-53.07 + (304.89 * (EB37)) + (90.79 *(Crescimento!#REF!-Crescimento!#REF!)) - (3.13 * (Crescimento!#REF!-Crescimento!#REF!)^2)</f>
        <v>#REF!</v>
      </c>
      <c r="EE37" s="16" t="e">
        <f>((EF36+(Crescimento!#REF!-(EF36*0.64))/0.8)/1000)-Crescimento!#REF!</f>
        <v>#REF!</v>
      </c>
      <c r="EF37" s="17" t="e">
        <f>-53.07 + (304.89 * (EE37)) + (90.79 *(Crescimento!#REF!-Crescimento!#REF!)) - (3.13 * (Crescimento!#REF!-Crescimento!#REF!)^2)</f>
        <v>#REF!</v>
      </c>
      <c r="EH37" s="16" t="e">
        <f>((EI36+(Crescimento!#REF!-(EI36*0.64))/0.8)/1000)-Crescimento!#REF!</f>
        <v>#REF!</v>
      </c>
      <c r="EI37" s="17" t="e">
        <f>-53.07 + (304.89 * (EH37)) + (90.79 *(Crescimento!#REF!-Crescimento!#REF!)) - (3.13 * (Crescimento!#REF!-Crescimento!#REF!)^2)</f>
        <v>#REF!</v>
      </c>
      <c r="EK37" s="16" t="e">
        <f>((EL36+(Crescimento!#REF!-(EL36*0.64))/0.8)/1000)-Crescimento!#REF!</f>
        <v>#REF!</v>
      </c>
      <c r="EL37" s="17" t="e">
        <f>-53.07 + (304.89 * (EK37)) + (90.79 *(Crescimento!#REF!-Crescimento!#REF!)) - (3.13 * (Crescimento!#REF!-Crescimento!#REF!)^2)</f>
        <v>#REF!</v>
      </c>
      <c r="EN37" s="16" t="e">
        <f>((EO36+(Crescimento!#REF!-(EO36*0.64))/0.8)/1000)-Crescimento!#REF!</f>
        <v>#REF!</v>
      </c>
      <c r="EO37" s="17" t="e">
        <f>-53.07 + (304.89 * (EN37)) + (90.79 *(Crescimento!#REF!-Crescimento!#REF!)) - (3.13 * (Crescimento!#REF!-Crescimento!#REF!)^2)</f>
        <v>#REF!</v>
      </c>
      <c r="EQ37" s="16" t="e">
        <f>((ER36+(Crescimento!#REF!-(ER36*0.64))/0.8)/1000)-Crescimento!#REF!</f>
        <v>#REF!</v>
      </c>
      <c r="ER37" s="17" t="e">
        <f>-53.07 + (304.89 * (EQ37)) + (90.79 *(Crescimento!#REF!-Crescimento!#REF!)) - (3.13 * (Crescimento!#REF!-Crescimento!#REF!)^2)</f>
        <v>#REF!</v>
      </c>
      <c r="ET37" s="16" t="e">
        <f>((EU36+(Crescimento!#REF!-(EU36*0.64))/0.8)/1000)-Crescimento!#REF!</f>
        <v>#REF!</v>
      </c>
      <c r="EU37" s="17" t="e">
        <f>-53.07 + (304.89 * (ET37)) + (90.79 *(Crescimento!#REF!-Crescimento!#REF!)) - (3.13 * (Crescimento!#REF!-Crescimento!#REF!)^2)</f>
        <v>#REF!</v>
      </c>
      <c r="EW37" s="16" t="e">
        <f>((EX36+('Vacas e Bezerros'!#REF!-(EX36*0.64))/0.8)/1000)-'Vacas e Bezerros'!#REF!</f>
        <v>#REF!</v>
      </c>
      <c r="EX37" s="17" t="e">
        <f>-53.07 + (304.89 * (EW37)) + (90.79 *('Vacas e Bezerros'!#REF!-'Vacas e Bezerros'!#REF!)) - (3.13 * ('Vacas e Bezerros'!#REF!-'Vacas e Bezerros'!#REF!)^2)</f>
        <v>#REF!</v>
      </c>
      <c r="EZ37" s="16" t="e">
        <f>((FA36+('Vacas e Bezerros'!#REF!-(FA36*0.64))/0.8)/1000)-'Vacas e Bezerros'!#REF!</f>
        <v>#REF!</v>
      </c>
      <c r="FA37" s="17" t="e">
        <f>-53.07 + (304.89 * (EZ37)) + (90.79 *('Vacas e Bezerros'!#REF!-'Vacas e Bezerros'!#REF!)) - (3.13 * ('Vacas e Bezerros'!#REF!-'Vacas e Bezerros'!#REF!)^2)</f>
        <v>#REF!</v>
      </c>
      <c r="FC37" s="16" t="e">
        <f>((FD36+('Vacas e Bezerros'!#REF!-(FD36*0.64))/0.8)/1000)-'Vacas e Bezerros'!#REF!</f>
        <v>#REF!</v>
      </c>
      <c r="FD37" s="17" t="e">
        <f>-53.07 + (304.89 * (FC37)) + (90.79 *('Vacas e Bezerros'!#REF!-'Vacas e Bezerros'!#REF!)) - (3.13 * ('Vacas e Bezerros'!#REF!-'Vacas e Bezerros'!#REF!)^2)</f>
        <v>#REF!</v>
      </c>
      <c r="FF37" s="16" t="e">
        <f>((FG36+('Vacas e Bezerros'!#REF!-(FG36*0.64))/0.8)/1000)-'Vacas e Bezerros'!#REF!</f>
        <v>#REF!</v>
      </c>
      <c r="FG37" s="17" t="e">
        <f>-53.07 + (304.89 * (FF37)) + (90.79 *('Vacas e Bezerros'!#REF!-'Vacas e Bezerros'!#REF!)) - (3.13 * ('Vacas e Bezerros'!#REF!-'Vacas e Bezerros'!#REF!)^2)</f>
        <v>#REF!</v>
      </c>
      <c r="FI37" s="16" t="e">
        <f>((FJ36+('Vacas e Bezerros'!#REF!-(FJ36*0.64))/0.8)/1000)-'Vacas e Bezerros'!#REF!</f>
        <v>#REF!</v>
      </c>
      <c r="FJ37" s="17" t="e">
        <f>-53.07 + (304.89 * (FI37)) + (90.79 *('Vacas e Bezerros'!#REF!-'Vacas e Bezerros'!#REF!)) - (3.13 * ('Vacas e Bezerros'!#REF!-'Vacas e Bezerros'!#REF!)^2)</f>
        <v>#REF!</v>
      </c>
      <c r="FL37" s="16" t="e">
        <f>((FM36+('Vacas e Bezerros'!#REF!-(FM36*0.64))/0.8)/1000)-'Vacas e Bezerros'!#REF!</f>
        <v>#REF!</v>
      </c>
      <c r="FM37" s="17" t="e">
        <f>-53.07 + (304.89 * (FL37)) + (90.79 *('Vacas e Bezerros'!#REF!-'Vacas e Bezerros'!#REF!)) - (3.13 * ('Vacas e Bezerros'!#REF!-'Vacas e Bezerros'!#REF!)^2)</f>
        <v>#REF!</v>
      </c>
      <c r="FO37" s="16" t="e">
        <f>((FP36+('Vacas e Bezerros'!#REF!-(FP36*0.64))/0.8)/1000)-'Vacas e Bezerros'!#REF!</f>
        <v>#REF!</v>
      </c>
      <c r="FP37" s="17" t="e">
        <f>-53.07 + (304.89 * (FO37)) + (90.79 *('Vacas e Bezerros'!#REF!-'Vacas e Bezerros'!#REF!)) - (3.13 * ('Vacas e Bezerros'!#REF!-'Vacas e Bezerros'!#REF!)^2)</f>
        <v>#REF!</v>
      </c>
      <c r="FR37" s="16" t="e">
        <f>((FS36+('Vacas e Bezerros'!#REF!-(FS36*0.64))/0.8)/1000)-'Vacas e Bezerros'!#REF!</f>
        <v>#REF!</v>
      </c>
      <c r="FS37" s="17" t="e">
        <f>-53.07 + (304.89 * (FR37)) + (90.79 *('Vacas e Bezerros'!#REF!-'Vacas e Bezerros'!#REF!)) - (3.13 * ('Vacas e Bezerros'!#REF!-'Vacas e Bezerros'!#REF!)^2)</f>
        <v>#REF!</v>
      </c>
      <c r="FU37" s="16" t="e">
        <f>((FV36+('Vacas e Bezerros'!#REF!-(FV36*0.64))/0.8)/1000)-'Vacas e Bezerros'!#REF!</f>
        <v>#REF!</v>
      </c>
      <c r="FV37" s="17" t="e">
        <f>-53.07 + (304.89 * (FU37)) + (90.79 *('Vacas e Bezerros'!#REF!-'Vacas e Bezerros'!#REF!)) - (3.13 * ('Vacas e Bezerros'!#REF!-'Vacas e Bezerros'!#REF!)^2)</f>
        <v>#REF!</v>
      </c>
      <c r="FX37" s="16" t="e">
        <f>((FY36+('Vacas e Bezerros'!#REF!-(FY36*0.64))/0.8)/1000)-'Vacas e Bezerros'!#REF!</f>
        <v>#REF!</v>
      </c>
      <c r="FY37" s="17" t="e">
        <f>-53.07 + (304.89 * (FX37)) + (90.79 *('Vacas e Bezerros'!#REF!-'Vacas e Bezerros'!#REF!)) - (3.13 * ('Vacas e Bezerros'!#REF!-'Vacas e Bezerros'!#REF!)^2)</f>
        <v>#REF!</v>
      </c>
      <c r="GA37" s="16" t="e">
        <f>((GB36+('Vacas e Bezerros'!#REF!-(GB36*0.64))/0.8)/1000)-'Vacas e Bezerros'!#REF!</f>
        <v>#REF!</v>
      </c>
      <c r="GB37" s="17" t="e">
        <f>-53.07 + (304.89 * (GA37)) + (90.79 *('Vacas e Bezerros'!#REF!-'Vacas e Bezerros'!#REF!)) - (3.13 * ('Vacas e Bezerros'!#REF!-'Vacas e Bezerros'!#REF!)^2)</f>
        <v>#REF!</v>
      </c>
      <c r="GD37" s="16" t="e">
        <f>((GE36+('Vacas e Bezerros'!#REF!-(GE36*0.64))/0.8)/1000)-'Vacas e Bezerros'!#REF!</f>
        <v>#REF!</v>
      </c>
      <c r="GE37" s="17" t="e">
        <f>-53.07 + (304.89 * (GD37)) + (90.79 *('Vacas e Bezerros'!#REF!-'Vacas e Bezerros'!#REF!)) - (3.13 * ('Vacas e Bezerros'!#REF!-'Vacas e Bezerros'!#REF!)^2)</f>
        <v>#REF!</v>
      </c>
      <c r="GG37" s="16" t="e">
        <f>((GH36+('Vacas e Bezerros'!#REF!-(GH36*0.64))/0.8)/1000)-'Vacas e Bezerros'!#REF!</f>
        <v>#REF!</v>
      </c>
      <c r="GH37" s="17" t="e">
        <f>-53.07 + (304.89 * (GG37)) + (90.79 *('Vacas e Bezerros'!#REF!-'Vacas e Bezerros'!#REF!)) - (3.13 * ('Vacas e Bezerros'!#REF!-'Vacas e Bezerros'!#REF!)^2)</f>
        <v>#REF!</v>
      </c>
      <c r="GJ37" s="16" t="e">
        <f>((GK36+('Vacas e Bezerros'!#REF!-(GK36*0.64))/0.8)/1000)-'Vacas e Bezerros'!#REF!</f>
        <v>#REF!</v>
      </c>
      <c r="GK37" s="17" t="e">
        <f>-53.07 + (304.89 * (GJ37)) + (90.79 *('Vacas e Bezerros'!#REF!-'Vacas e Bezerros'!#REF!)) - (3.13 * ('Vacas e Bezerros'!#REF!-'Vacas e Bezerros'!#REF!)^2)</f>
        <v>#REF!</v>
      </c>
      <c r="GM37" s="16" t="e">
        <f>((GN36+('Vacas e Bezerros'!#REF!-(GN36*0.64))/0.8)/1000)-'Vacas e Bezerros'!#REF!</f>
        <v>#REF!</v>
      </c>
      <c r="GN37" s="17" t="e">
        <f>-53.07 + (304.89 * (GM37)) + (90.79 *('Vacas e Bezerros'!#REF!-'Vacas e Bezerros'!#REF!)) - (3.13 * ('Vacas e Bezerros'!#REF!-'Vacas e Bezerros'!#REF!)^2)</f>
        <v>#REF!</v>
      </c>
    </row>
    <row r="38" spans="3:196" x14ac:dyDescent="0.25">
      <c r="C38" s="16">
        <f>(D37+('Vacas e Bezerros'!$AA$28-(D37*0.64))/0.8)/1000</f>
        <v>0.35719668016155687</v>
      </c>
      <c r="D38" s="17">
        <f>-53.07 + (304.89 * (C38-'Vacas e Bezerros'!$C$206)) + (90.79 *('Vacas e Bezerros'!$AA$22)) - (3.13 *('Vacas e Bezerros'!$AA$22)^2)</f>
        <v>165.01876457544017</v>
      </c>
      <c r="F38" s="16" t="e">
        <f>(G37+(Crescimento!#REF!-(G37*0.64))/0.8)/1000</f>
        <v>#REF!</v>
      </c>
      <c r="G38" s="17" t="e">
        <f>-53.07 + (304.89 * (F38)) + (90.79 *Crescimento!#REF!) - (3.13 * Crescimento!#REF!*Crescimento!#REF!)</f>
        <v>#REF!</v>
      </c>
      <c r="H38" s="1"/>
      <c r="I38" s="16" t="e">
        <f>(J37+(Crescimento!#REF!-(J37*0.64))/0.8)/1000</f>
        <v>#REF!</v>
      </c>
      <c r="J38" s="17" t="e">
        <f>-53.07 + (304.89 * (I38)) + (90.79 *Crescimento!#REF!) - (3.13 * Crescimento!#REF!*Crescimento!#REF!)</f>
        <v>#REF!</v>
      </c>
      <c r="L38" s="16" t="e">
        <f>(M37+(Crescimento!#REF!-(M37*0.64))/0.8)/1000</f>
        <v>#REF!</v>
      </c>
      <c r="M38" s="17" t="e">
        <f>-53.07 + (304.89 * (L38)) + (90.79 *Crescimento!#REF!) - (3.13 * Crescimento!#REF!*Crescimento!#REF!)</f>
        <v>#REF!</v>
      </c>
      <c r="O38" s="16" t="e">
        <f>(P37+(Crescimento!#REF!-(P37*0.64))/0.8)/1000</f>
        <v>#REF!</v>
      </c>
      <c r="P38" s="17" t="e">
        <f>-53.07 + (304.89 * (O38)) + (90.79 *Crescimento!#REF!) - (3.13 * Crescimento!#REF!*Crescimento!#REF!)</f>
        <v>#REF!</v>
      </c>
      <c r="R38" s="16" t="e">
        <f>(S37+(Crescimento!#REF!-(S37*0.64))/0.8)/1000</f>
        <v>#REF!</v>
      </c>
      <c r="S38" s="17" t="e">
        <f>-53.07 + (304.89 * (R38)) + (90.79 *Crescimento!#REF!) - (3.13 * Crescimento!#REF!*Crescimento!#REF!)</f>
        <v>#REF!</v>
      </c>
      <c r="U38" s="16" t="e">
        <f>(V37+(Crescimento!#REF!-(V37*0.64))/0.8)/1000</f>
        <v>#REF!</v>
      </c>
      <c r="V38" s="17" t="e">
        <f>-53.07 + (304.89 * (U38)) + (90.79 *Crescimento!#REF!) - (3.13 * Crescimento!#REF!*Crescimento!#REF!)</f>
        <v>#REF!</v>
      </c>
      <c r="X38" s="16" t="e">
        <f>(Y37+(Crescimento!#REF!-(Y37*0.64))/0.8)/1000</f>
        <v>#REF!</v>
      </c>
      <c r="Y38" s="17" t="e">
        <f>-53.07 + (304.89 * (X38)) + (90.79 *Crescimento!#REF!) - (3.13 * Crescimento!#REF!*Crescimento!#REF!)</f>
        <v>#REF!</v>
      </c>
      <c r="Z38" s="6"/>
      <c r="AA38" s="16" t="e">
        <f>(AB37+(Crescimento!#REF!-(AB37*0.64))/0.8)/1000</f>
        <v>#REF!</v>
      </c>
      <c r="AB38" s="17" t="e">
        <f>-53.07 + (304.89 * (AA38)) + (90.79 *Crescimento!#REF!) - (3.13 * Crescimento!#REF!*Crescimento!#REF!)</f>
        <v>#REF!</v>
      </c>
      <c r="AC38" s="6"/>
      <c r="AD38" s="16" t="e">
        <f>(AE37+(Crescimento!#REF!-(AE37*0.64))/0.8)/1000</f>
        <v>#REF!</v>
      </c>
      <c r="AE38" s="17" t="e">
        <f>-53.07 + (304.89 * (AD38)) + (90.79 *Crescimento!#REF!) - (3.13 * Crescimento!#REF!*Crescimento!#REF!)</f>
        <v>#REF!</v>
      </c>
      <c r="AF38" s="17"/>
      <c r="AG38" s="16" t="e">
        <f>(AH37+(Crescimento!#REF!-(AH37*0.64))/0.8)/1000</f>
        <v>#REF!</v>
      </c>
      <c r="AH38" s="17" t="e">
        <f>-53.07 + (304.89 * (AG38)) + (90.79 *Crescimento!#REF!) - (3.13 * Crescimento!#REF!*Crescimento!#REF!)</f>
        <v>#REF!</v>
      </c>
      <c r="AJ38" s="16" t="e">
        <f>(AK37+(Crescimento!#REF!-(AK37*0.64))/0.8)/1000</f>
        <v>#REF!</v>
      </c>
      <c r="AK38" s="17" t="e">
        <f>-53.07 + (304.89 * (AJ38)) + (90.79 *Crescimento!#REF!) - (3.13 * Crescimento!#REF!*Crescimento!#REF!)</f>
        <v>#REF!</v>
      </c>
      <c r="AM38" s="16" t="e">
        <f>(AN37+(Crescimento!#REF!-(AN37*0.64))/0.8)/1000</f>
        <v>#REF!</v>
      </c>
      <c r="AN38" s="17" t="e">
        <f>-53.07 + (304.89 * (AM38)) + (90.79 *Crescimento!#REF!) - (3.13 * Crescimento!#REF!*Crescimento!#REF!)</f>
        <v>#REF!</v>
      </c>
      <c r="AP38" s="16" t="e">
        <f>(AQ37+(Crescimento!#REF!-(AQ37*0.64))/0.8)/1000</f>
        <v>#REF!</v>
      </c>
      <c r="AQ38" s="17" t="e">
        <f>-53.07 + (304.89 * (AP38)) + (90.79 *Crescimento!#REF!) - (3.13 * Crescimento!#REF!*Crescimento!#REF!)</f>
        <v>#REF!</v>
      </c>
      <c r="AS38" s="16" t="e">
        <f>(AT37+(Crescimento!#REF!-(AT37*0.64))/0.8)/1000</f>
        <v>#REF!</v>
      </c>
      <c r="AT38" s="17" t="e">
        <f>-53.07 + (304.89 * (AS38)) + (90.79 *Crescimento!#REF!) - (3.13 * Crescimento!#REF!*Crescimento!#REF!)</f>
        <v>#REF!</v>
      </c>
      <c r="AV38" s="16" t="e">
        <f>(AW37+(Crescimento!#REF!-(AW37*0.64))/0.8)/1000</f>
        <v>#REF!</v>
      </c>
      <c r="AW38" s="17" t="e">
        <f>-53.07 + (304.89 * (AV38)) + (90.79 *Crescimento!#REF!) - (3.13 * Crescimento!#REF!*Crescimento!#REF!)</f>
        <v>#REF!</v>
      </c>
      <c r="AY38" s="21" t="e">
        <f>((AZ37+(Crescimento!#REF!-(AZ37*0.64))/0.8)/1000)-Crescimento!#REF!</f>
        <v>#REF!</v>
      </c>
      <c r="AZ38" s="22" t="e">
        <f>-53.07 + (304.89 * (AY38)) + (90.79 *(Crescimento!#REF!-Crescimento!#REF!)) - (3.13 * (Crescimento!#REF!-Crescimento!#REF!)^2)</f>
        <v>#REF!</v>
      </c>
      <c r="BA38" s="23"/>
      <c r="BB38" s="21" t="e">
        <f>((BC37+(Crescimento!#REF!-(BC37*0.64))/0.8)/1000)-Crescimento!#REF!</f>
        <v>#REF!</v>
      </c>
      <c r="BC38" s="22" t="e">
        <f>-53.07 + (304.89 * (BB38)) + (90.79 *(Crescimento!#REF!-Crescimento!#REF!)) - (3.13 * (Crescimento!#REF!-Crescimento!#REF!)^2)</f>
        <v>#REF!</v>
      </c>
      <c r="BD38" s="23"/>
      <c r="BE38" s="21" t="e">
        <f>((BF37+(Crescimento!#REF!-(BF37*0.64))/0.8)/1000)-Crescimento!#REF!</f>
        <v>#REF!</v>
      </c>
      <c r="BF38" s="22" t="e">
        <f>-53.07 + (304.89 * (BE38)) + (90.79 *(Crescimento!#REF!-Crescimento!#REF!)) - (3.13 * (Crescimento!#REF!-Crescimento!#REF!)^2)</f>
        <v>#REF!</v>
      </c>
      <c r="BG38" s="23"/>
      <c r="BH38" s="21" t="e">
        <f>((BI37+(Crescimento!#REF!-(BI37*0.64))/0.8)/1000)-Crescimento!#REF!</f>
        <v>#REF!</v>
      </c>
      <c r="BI38" s="22" t="e">
        <f>-53.07 + (304.89 * (BH38)) + (90.79 *(Crescimento!#REF!-Crescimento!#REF!)) - (3.13 * (Crescimento!#REF!-Crescimento!#REF!)^2)</f>
        <v>#REF!</v>
      </c>
      <c r="BJ38" s="23"/>
      <c r="BK38" s="21" t="e">
        <f>((BL37+(Crescimento!#REF!-(BL37*0.64))/0.8)/1000)-Crescimento!#REF!</f>
        <v>#REF!</v>
      </c>
      <c r="BL38" s="22" t="e">
        <f>-53.07 + (304.89 * (BK38)) + (90.79 *(Crescimento!#REF!-Crescimento!#REF!)) - (3.13 * (Crescimento!#REF!-Crescimento!#REF!)^2)</f>
        <v>#REF!</v>
      </c>
      <c r="BM38" s="23"/>
      <c r="BN38" s="21" t="e">
        <f>((BO37+(Crescimento!#REF!-(BO37*0.64))/0.8)/1000)-Crescimento!#REF!</f>
        <v>#REF!</v>
      </c>
      <c r="BO38" s="22" t="e">
        <f>-53.07 + (304.89 * (BN38)) + (90.79 *(Crescimento!#REF!-Crescimento!#REF!)) - (3.13 * (Crescimento!#REF!-Crescimento!#REF!)^2)</f>
        <v>#REF!</v>
      </c>
      <c r="BP38" s="23"/>
      <c r="BQ38" s="21" t="e">
        <f>((BR37+(Crescimento!#REF!-(BR37*0.64))/0.8)/1000)-Crescimento!#REF!</f>
        <v>#REF!</v>
      </c>
      <c r="BR38" s="22" t="e">
        <f>-53.07 + (304.89 * (BQ38)) + (90.79 *(Crescimento!#REF!-Crescimento!#REF!)) - (3.13 * (Crescimento!#REF!-Crescimento!#REF!)^2)</f>
        <v>#REF!</v>
      </c>
      <c r="BS38" s="23"/>
      <c r="BT38" s="21" t="e">
        <f>((BU37+(Crescimento!#REF!-(BU37*0.64))/0.8)/1000)-Crescimento!#REF!</f>
        <v>#REF!</v>
      </c>
      <c r="BU38" s="22" t="e">
        <f>-53.07 + (304.89 * (BT38)) + (90.79 *(Crescimento!#REF!-Crescimento!#REF!)) - (3.13 * (Crescimento!#REF!-Crescimento!#REF!)^2)</f>
        <v>#REF!</v>
      </c>
      <c r="BV38" s="23"/>
      <c r="BW38" s="21" t="e">
        <f>((BX37+(Crescimento!#REF!-(BX37*0.64))/0.8)/1000)-Crescimento!#REF!</f>
        <v>#REF!</v>
      </c>
      <c r="BX38" s="22" t="e">
        <f>-53.07 + (304.89 * (BW38)) + (90.79 *(Crescimento!#REF!-Crescimento!#REF!)) - (3.13 * (Crescimento!#REF!-Crescimento!#REF!)^2)</f>
        <v>#REF!</v>
      </c>
      <c r="BY38" s="23"/>
      <c r="BZ38" s="21" t="e">
        <f>((CA37+(Crescimento!#REF!-(CA37*0.64))/0.8)/1000)-Crescimento!#REF!</f>
        <v>#REF!</v>
      </c>
      <c r="CA38" s="22" t="e">
        <f>-53.07 + (304.89 * (BZ38)) + (90.79 *(Crescimento!#REF!-Crescimento!#REF!)) - (3.13 * (Crescimento!#REF!-Crescimento!#REF!)^2)</f>
        <v>#REF!</v>
      </c>
      <c r="CB38" s="23"/>
      <c r="CC38" s="21" t="e">
        <f>((CD37+(Crescimento!#REF!-(CD37*0.64))/0.8)/1000)-Crescimento!#REF!</f>
        <v>#REF!</v>
      </c>
      <c r="CD38" s="22" t="e">
        <f>-53.07 + (304.89 * (CC38)) + (90.79 *(Crescimento!#REF!-Crescimento!#REF!)) - (3.13 * (Crescimento!#REF!-Crescimento!#REF!)^2)</f>
        <v>#REF!</v>
      </c>
      <c r="CE38" s="23"/>
      <c r="CF38" s="21" t="e">
        <f>((CG37+(Crescimento!#REF!-(CG37*0.64))/0.8)/1000)-Crescimento!#REF!</f>
        <v>#REF!</v>
      </c>
      <c r="CG38" s="22" t="e">
        <f>-53.07 + (304.89 * (CF38)) + (90.79 *(Crescimento!#REF!-Crescimento!#REF!)) - (3.13 * (Crescimento!#REF!-Crescimento!#REF!)^2)</f>
        <v>#REF!</v>
      </c>
      <c r="CH38" s="23"/>
      <c r="CI38" s="21" t="e">
        <f>((CJ37+(Crescimento!#REF!-(CJ37*0.64))/0.8)/1000)-Crescimento!#REF!</f>
        <v>#REF!</v>
      </c>
      <c r="CJ38" s="22" t="e">
        <f>-53.07 + (304.89 * (CI38)) + (90.79 *(Crescimento!#REF!-Crescimento!#REF!)) - (3.13 * (Crescimento!#REF!-Crescimento!#REF!)^2)</f>
        <v>#REF!</v>
      </c>
      <c r="CK38" s="23"/>
      <c r="CL38" s="21" t="e">
        <f>((CM37+(Crescimento!#REF!-(CM37*0.64))/0.8)/1000)-Crescimento!#REF!</f>
        <v>#REF!</v>
      </c>
      <c r="CM38" s="22" t="e">
        <f>-53.07 + (304.89 * (CL38)) + (90.79 *(Crescimento!#REF!-Crescimento!#REF!)) - (3.13 * (Crescimento!#REF!-Crescimento!#REF!)^2)</f>
        <v>#REF!</v>
      </c>
      <c r="CN38" s="23"/>
      <c r="CO38" s="21" t="e">
        <f>((CP37+(Crescimento!#REF!-(CP37*0.64))/0.8)/1000)-Crescimento!#REF!</f>
        <v>#REF!</v>
      </c>
      <c r="CP38" s="22" t="e">
        <f>-53.07 + (304.89 * (CO38)) + (90.79 *(Crescimento!#REF!-Crescimento!#REF!)) - (3.13 * (Crescimento!#REF!-Crescimento!#REF!)^2)</f>
        <v>#REF!</v>
      </c>
      <c r="CQ38" s="23"/>
      <c r="CR38" s="21" t="e">
        <f>((CS37+(Crescimento!#REF!-(CS37*0.64))/0.8)/1000)-Crescimento!#REF!</f>
        <v>#REF!</v>
      </c>
      <c r="CS38" s="22" t="e">
        <f>-53.07 + (304.89 * (CR38)) + (90.79 *(Crescimento!#REF!-Crescimento!#REF!)) - (3.13 * (Crescimento!#REF!-Crescimento!#REF!)^2)</f>
        <v>#REF!</v>
      </c>
      <c r="CX38" s="16" t="e">
        <f>((CY37+(Crescimento!#REF!-(CY37*0.64))/0.8)/1000)-Crescimento!#REF!</f>
        <v>#REF!</v>
      </c>
      <c r="CY38" s="17" t="e">
        <f>-53.07 + (304.89 * (CX38)) + (90.79 *(Crescimento!#REF!-Crescimento!#REF!)) - (3.13 * (Crescimento!#REF!-Crescimento!#REF!)^2)</f>
        <v>#REF!</v>
      </c>
      <c r="DA38" s="16" t="e">
        <f>((DB37+(Crescimento!#REF!-(DB37*0.64))/0.8)/1000)-Crescimento!#REF!</f>
        <v>#REF!</v>
      </c>
      <c r="DB38" s="17" t="e">
        <f>-53.07 + (304.89 * (DA38)) + (90.79 *(Crescimento!#REF!-Crescimento!#REF!)) - (3.13 * (Crescimento!#REF!-Crescimento!#REF!)^2)</f>
        <v>#REF!</v>
      </c>
      <c r="DD38" s="16" t="e">
        <f>(DE37+(Crescimento!#REF!-(DE37*0.64))/0.8)/1000</f>
        <v>#REF!</v>
      </c>
      <c r="DE38" s="17" t="e">
        <f>-53.07 + (304.89 * (DD38)) + (90.79 *Crescimento!#REF!) - (3.13 * Crescimento!#REF!*Crescimento!#REF!)</f>
        <v>#REF!</v>
      </c>
      <c r="DG38" s="16" t="e">
        <f>((DH37+(Crescimento!#REF!-(DH37*0.64))/0.8)/1000)-Crescimento!#REF!</f>
        <v>#REF!</v>
      </c>
      <c r="DH38" s="17" t="e">
        <f>-53.07 + (304.89 * (DG38)) + (90.79 *(Crescimento!#REF!-Crescimento!#REF!)) - (3.13 * (Crescimento!#REF!-Crescimento!#REF!)^2)</f>
        <v>#REF!</v>
      </c>
      <c r="DJ38" s="16" t="e">
        <f>((DK37+(Crescimento!#REF!-(DK37*0.64))/0.8)/1000)-Crescimento!#REF!</f>
        <v>#REF!</v>
      </c>
      <c r="DK38" s="17" t="e">
        <f>-53.07 + (304.89 * (DJ38)) + (90.79 *(Crescimento!#REF!-Crescimento!#REF!)) - (3.13 * (Crescimento!#REF!-Crescimento!#REF!)^2)</f>
        <v>#REF!</v>
      </c>
      <c r="DM38" s="16" t="e">
        <f>((DN37+(Crescimento!#REF!-(DN37*0.64))/0.8)/1000)-Crescimento!#REF!</f>
        <v>#REF!</v>
      </c>
      <c r="DN38" s="17" t="e">
        <f>-53.07 + (304.89 * (DM38)) + (90.79 *(Crescimento!#REF!-Crescimento!#REF!)) - (3.13 * (Crescimento!#REF!-Crescimento!#REF!)^2)</f>
        <v>#REF!</v>
      </c>
      <c r="DP38" s="16" t="e">
        <f>(DQ37+(Crescimento!#REF!-(DQ37*0.64))/0.8)/1000</f>
        <v>#REF!</v>
      </c>
      <c r="DQ38" s="17" t="e">
        <f>-53.07 + (304.89 * (DP38)) + (90.79 *(Crescimento!#REF!-Crescimento!#REF!)) - (3.13 * (Crescimento!#REF!-Crescimento!#REF!)^2)</f>
        <v>#REF!</v>
      </c>
      <c r="DS38" s="16" t="e">
        <f>((DT37+(Crescimento!#REF!-(DT37*0.64))/0.8)/1000)-Crescimento!#REF!</f>
        <v>#REF!</v>
      </c>
      <c r="DT38" s="17" t="e">
        <f>-53.07 + (304.89 * (DS38)) + (90.79 *(Crescimento!#REF!-Crescimento!#REF!)) - (3.13 * (Crescimento!#REF!-Crescimento!#REF!)^2)</f>
        <v>#REF!</v>
      </c>
      <c r="DV38" s="16" t="e">
        <f>((DW37+(Crescimento!#REF!-(DW37*0.64))/0.8)/1000)-Crescimento!#REF!</f>
        <v>#REF!</v>
      </c>
      <c r="DW38" s="17" t="e">
        <f>-53.07 + (304.89 * (DV38)) + (90.79 *(Crescimento!#REF!-Crescimento!#REF!)) - (3.13 * (Crescimento!#REF!-Crescimento!#REF!)^2)</f>
        <v>#REF!</v>
      </c>
      <c r="DY38" s="16" t="e">
        <f>((DZ37+(Crescimento!#REF!-(DZ37*0.64))/0.8)/1000)-Crescimento!#REF!</f>
        <v>#REF!</v>
      </c>
      <c r="DZ38" s="17" t="e">
        <f>-53.07 + (304.89 * (DY38)) + (90.79 *(Crescimento!#REF!-Crescimento!#REF!)) - (3.13 * (Crescimento!#REF!-Crescimento!#REF!)^2)</f>
        <v>#REF!</v>
      </c>
      <c r="EB38" s="16" t="e">
        <f>((EC37+(Crescimento!#REF!-(EC37*0.64))/0.8)/1000)-Crescimento!#REF!</f>
        <v>#REF!</v>
      </c>
      <c r="EC38" s="17" t="e">
        <f>-53.07 + (304.89 * (EB38)) + (90.79 *(Crescimento!#REF!-Crescimento!#REF!)) - (3.13 * (Crescimento!#REF!-Crescimento!#REF!)^2)</f>
        <v>#REF!</v>
      </c>
      <c r="EE38" s="16" t="e">
        <f>((EF37+(Crescimento!#REF!-(EF37*0.64))/0.8)/1000)-Crescimento!#REF!</f>
        <v>#REF!</v>
      </c>
      <c r="EF38" s="17" t="e">
        <f>-53.07 + (304.89 * (EE38)) + (90.79 *(Crescimento!#REF!-Crescimento!#REF!)) - (3.13 * (Crescimento!#REF!-Crescimento!#REF!)^2)</f>
        <v>#REF!</v>
      </c>
      <c r="EH38" s="16" t="e">
        <f>((EI37+(Crescimento!#REF!-(EI37*0.64))/0.8)/1000)-Crescimento!#REF!</f>
        <v>#REF!</v>
      </c>
      <c r="EI38" s="17" t="e">
        <f>-53.07 + (304.89 * (EH38)) + (90.79 *(Crescimento!#REF!-Crescimento!#REF!)) - (3.13 * (Crescimento!#REF!-Crescimento!#REF!)^2)</f>
        <v>#REF!</v>
      </c>
      <c r="EK38" s="16" t="e">
        <f>((EL37+(Crescimento!#REF!-(EL37*0.64))/0.8)/1000)-Crescimento!#REF!</f>
        <v>#REF!</v>
      </c>
      <c r="EL38" s="17" t="e">
        <f>-53.07 + (304.89 * (EK38)) + (90.79 *(Crescimento!#REF!-Crescimento!#REF!)) - (3.13 * (Crescimento!#REF!-Crescimento!#REF!)^2)</f>
        <v>#REF!</v>
      </c>
      <c r="EN38" s="16" t="e">
        <f>((EO37+(Crescimento!#REF!-(EO37*0.64))/0.8)/1000)-Crescimento!#REF!</f>
        <v>#REF!</v>
      </c>
      <c r="EO38" s="17" t="e">
        <f>-53.07 + (304.89 * (EN38)) + (90.79 *(Crescimento!#REF!-Crescimento!#REF!)) - (3.13 * (Crescimento!#REF!-Crescimento!#REF!)^2)</f>
        <v>#REF!</v>
      </c>
      <c r="EQ38" s="16" t="e">
        <f>((ER37+(Crescimento!#REF!-(ER37*0.64))/0.8)/1000)-Crescimento!#REF!</f>
        <v>#REF!</v>
      </c>
      <c r="ER38" s="17" t="e">
        <f>-53.07 + (304.89 * (EQ38)) + (90.79 *(Crescimento!#REF!-Crescimento!#REF!)) - (3.13 * (Crescimento!#REF!-Crescimento!#REF!)^2)</f>
        <v>#REF!</v>
      </c>
      <c r="ET38" s="16" t="e">
        <f>((EU37+(Crescimento!#REF!-(EU37*0.64))/0.8)/1000)-Crescimento!#REF!</f>
        <v>#REF!</v>
      </c>
      <c r="EU38" s="17" t="e">
        <f>-53.07 + (304.89 * (ET38)) + (90.79 *(Crescimento!#REF!-Crescimento!#REF!)) - (3.13 * (Crescimento!#REF!-Crescimento!#REF!)^2)</f>
        <v>#REF!</v>
      </c>
      <c r="EW38" s="16" t="e">
        <f>((EX37+('Vacas e Bezerros'!#REF!-(EX37*0.64))/0.8)/1000)-'Vacas e Bezerros'!#REF!</f>
        <v>#REF!</v>
      </c>
      <c r="EX38" s="17" t="e">
        <f>-53.07 + (304.89 * (EW38)) + (90.79 *('Vacas e Bezerros'!#REF!-'Vacas e Bezerros'!#REF!)) - (3.13 * ('Vacas e Bezerros'!#REF!-'Vacas e Bezerros'!#REF!)^2)</f>
        <v>#REF!</v>
      </c>
      <c r="EZ38" s="16" t="e">
        <f>((FA37+('Vacas e Bezerros'!#REF!-(FA37*0.64))/0.8)/1000)-'Vacas e Bezerros'!#REF!</f>
        <v>#REF!</v>
      </c>
      <c r="FA38" s="17" t="e">
        <f>-53.07 + (304.89 * (EZ38)) + (90.79 *('Vacas e Bezerros'!#REF!-'Vacas e Bezerros'!#REF!)) - (3.13 * ('Vacas e Bezerros'!#REF!-'Vacas e Bezerros'!#REF!)^2)</f>
        <v>#REF!</v>
      </c>
      <c r="FC38" s="16" t="e">
        <f>((FD37+('Vacas e Bezerros'!#REF!-(FD37*0.64))/0.8)/1000)-'Vacas e Bezerros'!#REF!</f>
        <v>#REF!</v>
      </c>
      <c r="FD38" s="17" t="e">
        <f>-53.07 + (304.89 * (FC38)) + (90.79 *('Vacas e Bezerros'!#REF!-'Vacas e Bezerros'!#REF!)) - (3.13 * ('Vacas e Bezerros'!#REF!-'Vacas e Bezerros'!#REF!)^2)</f>
        <v>#REF!</v>
      </c>
      <c r="FF38" s="16" t="e">
        <f>((FG37+('Vacas e Bezerros'!#REF!-(FG37*0.64))/0.8)/1000)-'Vacas e Bezerros'!#REF!</f>
        <v>#REF!</v>
      </c>
      <c r="FG38" s="17" t="e">
        <f>-53.07 + (304.89 * (FF38)) + (90.79 *('Vacas e Bezerros'!#REF!-'Vacas e Bezerros'!#REF!)) - (3.13 * ('Vacas e Bezerros'!#REF!-'Vacas e Bezerros'!#REF!)^2)</f>
        <v>#REF!</v>
      </c>
      <c r="FI38" s="16" t="e">
        <f>((FJ37+('Vacas e Bezerros'!#REF!-(FJ37*0.64))/0.8)/1000)-'Vacas e Bezerros'!#REF!</f>
        <v>#REF!</v>
      </c>
      <c r="FJ38" s="17" t="e">
        <f>-53.07 + (304.89 * (FI38)) + (90.79 *('Vacas e Bezerros'!#REF!-'Vacas e Bezerros'!#REF!)) - (3.13 * ('Vacas e Bezerros'!#REF!-'Vacas e Bezerros'!#REF!)^2)</f>
        <v>#REF!</v>
      </c>
      <c r="FL38" s="16" t="e">
        <f>((FM37+('Vacas e Bezerros'!#REF!-(FM37*0.64))/0.8)/1000)-'Vacas e Bezerros'!#REF!</f>
        <v>#REF!</v>
      </c>
      <c r="FM38" s="17" t="e">
        <f>-53.07 + (304.89 * (FL38)) + (90.79 *('Vacas e Bezerros'!#REF!-'Vacas e Bezerros'!#REF!)) - (3.13 * ('Vacas e Bezerros'!#REF!-'Vacas e Bezerros'!#REF!)^2)</f>
        <v>#REF!</v>
      </c>
      <c r="FO38" s="16" t="e">
        <f>((FP37+('Vacas e Bezerros'!#REF!-(FP37*0.64))/0.8)/1000)-'Vacas e Bezerros'!#REF!</f>
        <v>#REF!</v>
      </c>
      <c r="FP38" s="17" t="e">
        <f>-53.07 + (304.89 * (FO38)) + (90.79 *('Vacas e Bezerros'!#REF!-'Vacas e Bezerros'!#REF!)) - (3.13 * ('Vacas e Bezerros'!#REF!-'Vacas e Bezerros'!#REF!)^2)</f>
        <v>#REF!</v>
      </c>
      <c r="FR38" s="16" t="e">
        <f>((FS37+('Vacas e Bezerros'!#REF!-(FS37*0.64))/0.8)/1000)-'Vacas e Bezerros'!#REF!</f>
        <v>#REF!</v>
      </c>
      <c r="FS38" s="17" t="e">
        <f>-53.07 + (304.89 * (FR38)) + (90.79 *('Vacas e Bezerros'!#REF!-'Vacas e Bezerros'!#REF!)) - (3.13 * ('Vacas e Bezerros'!#REF!-'Vacas e Bezerros'!#REF!)^2)</f>
        <v>#REF!</v>
      </c>
      <c r="FU38" s="16" t="e">
        <f>((FV37+('Vacas e Bezerros'!#REF!-(FV37*0.64))/0.8)/1000)-'Vacas e Bezerros'!#REF!</f>
        <v>#REF!</v>
      </c>
      <c r="FV38" s="17" t="e">
        <f>-53.07 + (304.89 * (FU38)) + (90.79 *('Vacas e Bezerros'!#REF!-'Vacas e Bezerros'!#REF!)) - (3.13 * ('Vacas e Bezerros'!#REF!-'Vacas e Bezerros'!#REF!)^2)</f>
        <v>#REF!</v>
      </c>
      <c r="FX38" s="16" t="e">
        <f>((FY37+('Vacas e Bezerros'!#REF!-(FY37*0.64))/0.8)/1000)-'Vacas e Bezerros'!#REF!</f>
        <v>#REF!</v>
      </c>
      <c r="FY38" s="17" t="e">
        <f>-53.07 + (304.89 * (FX38)) + (90.79 *('Vacas e Bezerros'!#REF!-'Vacas e Bezerros'!#REF!)) - (3.13 * ('Vacas e Bezerros'!#REF!-'Vacas e Bezerros'!#REF!)^2)</f>
        <v>#REF!</v>
      </c>
      <c r="GA38" s="16" t="e">
        <f>((GB37+('Vacas e Bezerros'!#REF!-(GB37*0.64))/0.8)/1000)-'Vacas e Bezerros'!#REF!</f>
        <v>#REF!</v>
      </c>
      <c r="GB38" s="17" t="e">
        <f>-53.07 + (304.89 * (GA38)) + (90.79 *('Vacas e Bezerros'!#REF!-'Vacas e Bezerros'!#REF!)) - (3.13 * ('Vacas e Bezerros'!#REF!-'Vacas e Bezerros'!#REF!)^2)</f>
        <v>#REF!</v>
      </c>
      <c r="GD38" s="16" t="e">
        <f>((GE37+('Vacas e Bezerros'!#REF!-(GE37*0.64))/0.8)/1000)-'Vacas e Bezerros'!#REF!</f>
        <v>#REF!</v>
      </c>
      <c r="GE38" s="17" t="e">
        <f>-53.07 + (304.89 * (GD38)) + (90.79 *('Vacas e Bezerros'!#REF!-'Vacas e Bezerros'!#REF!)) - (3.13 * ('Vacas e Bezerros'!#REF!-'Vacas e Bezerros'!#REF!)^2)</f>
        <v>#REF!</v>
      </c>
      <c r="GG38" s="16" t="e">
        <f>((GH37+('Vacas e Bezerros'!#REF!-(GH37*0.64))/0.8)/1000)-'Vacas e Bezerros'!#REF!</f>
        <v>#REF!</v>
      </c>
      <c r="GH38" s="17" t="e">
        <f>-53.07 + (304.89 * (GG38)) + (90.79 *('Vacas e Bezerros'!#REF!-'Vacas e Bezerros'!#REF!)) - (3.13 * ('Vacas e Bezerros'!#REF!-'Vacas e Bezerros'!#REF!)^2)</f>
        <v>#REF!</v>
      </c>
      <c r="GJ38" s="16" t="e">
        <f>((GK37+('Vacas e Bezerros'!#REF!-(GK37*0.64))/0.8)/1000)-'Vacas e Bezerros'!#REF!</f>
        <v>#REF!</v>
      </c>
      <c r="GK38" s="17" t="e">
        <f>-53.07 + (304.89 * (GJ38)) + (90.79 *('Vacas e Bezerros'!#REF!-'Vacas e Bezerros'!#REF!)) - (3.13 * ('Vacas e Bezerros'!#REF!-'Vacas e Bezerros'!#REF!)^2)</f>
        <v>#REF!</v>
      </c>
      <c r="GM38" s="16" t="e">
        <f>((GN37+('Vacas e Bezerros'!#REF!-(GN37*0.64))/0.8)/1000)-'Vacas e Bezerros'!#REF!</f>
        <v>#REF!</v>
      </c>
      <c r="GN38" s="17" t="e">
        <f>-53.07 + (304.89 * (GM38)) + (90.79 *('Vacas e Bezerros'!#REF!-'Vacas e Bezerros'!#REF!)) - (3.13 * ('Vacas e Bezerros'!#REF!-'Vacas e Bezerros'!#REF!)^2)</f>
        <v>#REF!</v>
      </c>
    </row>
    <row r="39" spans="3:196" x14ac:dyDescent="0.25">
      <c r="C39" s="16">
        <f>(D38+('Vacas e Bezerros'!$AA$28-(D38*0.64))/0.8)/1000</f>
        <v>0.35719668016155687</v>
      </c>
      <c r="D39" s="17">
        <f>-53.07 + (304.89 * (C39-'Vacas e Bezerros'!$C$206)) + (90.79 *('Vacas e Bezerros'!$AA$22)) - (3.13 *('Vacas e Bezerros'!$AA$22)^2)</f>
        <v>165.01876457544017</v>
      </c>
      <c r="F39" s="16" t="e">
        <f>(G38+(Crescimento!#REF!-(G38*0.64))/0.8)/1000</f>
        <v>#REF!</v>
      </c>
      <c r="G39" s="17" t="e">
        <f>-53.07 + (304.89 * (F39)) + (90.79 *Crescimento!#REF!) - (3.13 * Crescimento!#REF!*Crescimento!#REF!)</f>
        <v>#REF!</v>
      </c>
      <c r="H39" s="1"/>
      <c r="I39" s="16" t="e">
        <f>(J38+(Crescimento!#REF!-(J38*0.64))/0.8)/1000</f>
        <v>#REF!</v>
      </c>
      <c r="J39" s="17" t="e">
        <f>-53.07 + (304.89 * (I39)) + (90.79 *Crescimento!#REF!) - (3.13 * Crescimento!#REF!*Crescimento!#REF!)</f>
        <v>#REF!</v>
      </c>
      <c r="L39" s="16" t="e">
        <f>(M38+(Crescimento!#REF!-(M38*0.64))/0.8)/1000</f>
        <v>#REF!</v>
      </c>
      <c r="M39" s="17" t="e">
        <f>-53.07 + (304.89 * (L39)) + (90.79 *Crescimento!#REF!) - (3.13 * Crescimento!#REF!*Crescimento!#REF!)</f>
        <v>#REF!</v>
      </c>
      <c r="O39" s="16" t="e">
        <f>(P38+(Crescimento!#REF!-(P38*0.64))/0.8)/1000</f>
        <v>#REF!</v>
      </c>
      <c r="P39" s="17" t="e">
        <f>-53.07 + (304.89 * (O39)) + (90.79 *Crescimento!#REF!) - (3.13 * Crescimento!#REF!*Crescimento!#REF!)</f>
        <v>#REF!</v>
      </c>
      <c r="R39" s="16" t="e">
        <f>(S38+(Crescimento!#REF!-(S38*0.64))/0.8)/1000</f>
        <v>#REF!</v>
      </c>
      <c r="S39" s="17" t="e">
        <f>-53.07 + (304.89 * (R39)) + (90.79 *Crescimento!#REF!) - (3.13 * Crescimento!#REF!*Crescimento!#REF!)</f>
        <v>#REF!</v>
      </c>
      <c r="U39" s="16" t="e">
        <f>(V38+(Crescimento!#REF!-(V38*0.64))/0.8)/1000</f>
        <v>#REF!</v>
      </c>
      <c r="V39" s="17" t="e">
        <f>-53.07 + (304.89 * (U39)) + (90.79 *Crescimento!#REF!) - (3.13 * Crescimento!#REF!*Crescimento!#REF!)</f>
        <v>#REF!</v>
      </c>
      <c r="X39" s="16" t="e">
        <f>(Y38+(Crescimento!#REF!-(Y38*0.64))/0.8)/1000</f>
        <v>#REF!</v>
      </c>
      <c r="Y39" s="17" t="e">
        <f>-53.07 + (304.89 * (X39)) + (90.79 *Crescimento!#REF!) - (3.13 * Crescimento!#REF!*Crescimento!#REF!)</f>
        <v>#REF!</v>
      </c>
      <c r="Z39" s="6"/>
      <c r="AA39" s="16" t="e">
        <f>(AB38+(Crescimento!#REF!-(AB38*0.64))/0.8)/1000</f>
        <v>#REF!</v>
      </c>
      <c r="AB39" s="17" t="e">
        <f>-53.07 + (304.89 * (AA39)) + (90.79 *Crescimento!#REF!) - (3.13 * Crescimento!#REF!*Crescimento!#REF!)</f>
        <v>#REF!</v>
      </c>
      <c r="AC39" s="6"/>
      <c r="AD39" s="16" t="e">
        <f>(AE38+(Crescimento!#REF!-(AE38*0.64))/0.8)/1000</f>
        <v>#REF!</v>
      </c>
      <c r="AE39" s="17" t="e">
        <f>-53.07 + (304.89 * (AD39)) + (90.79 *Crescimento!#REF!) - (3.13 * Crescimento!#REF!*Crescimento!#REF!)</f>
        <v>#REF!</v>
      </c>
      <c r="AF39" s="17"/>
      <c r="AG39" s="16" t="e">
        <f>(AH38+(Crescimento!#REF!-(AH38*0.64))/0.8)/1000</f>
        <v>#REF!</v>
      </c>
      <c r="AH39" s="17" t="e">
        <f>-53.07 + (304.89 * (AG39)) + (90.79 *Crescimento!#REF!) - (3.13 * Crescimento!#REF!*Crescimento!#REF!)</f>
        <v>#REF!</v>
      </c>
      <c r="AJ39" s="16" t="e">
        <f>(AK38+(Crescimento!#REF!-(AK38*0.64))/0.8)/1000</f>
        <v>#REF!</v>
      </c>
      <c r="AK39" s="17" t="e">
        <f>-53.07 + (304.89 * (AJ39)) + (90.79 *Crescimento!#REF!) - (3.13 * Crescimento!#REF!*Crescimento!#REF!)</f>
        <v>#REF!</v>
      </c>
      <c r="AM39" s="16" t="e">
        <f>(AN38+(Crescimento!#REF!-(AN38*0.64))/0.8)/1000</f>
        <v>#REF!</v>
      </c>
      <c r="AN39" s="17" t="e">
        <f>-53.07 + (304.89 * (AM39)) + (90.79 *Crescimento!#REF!) - (3.13 * Crescimento!#REF!*Crescimento!#REF!)</f>
        <v>#REF!</v>
      </c>
      <c r="AP39" s="16" t="e">
        <f>(AQ38+(Crescimento!#REF!-(AQ38*0.64))/0.8)/1000</f>
        <v>#REF!</v>
      </c>
      <c r="AQ39" s="17" t="e">
        <f>-53.07 + (304.89 * (AP39)) + (90.79 *Crescimento!#REF!) - (3.13 * Crescimento!#REF!*Crescimento!#REF!)</f>
        <v>#REF!</v>
      </c>
      <c r="AS39" s="16" t="e">
        <f>(AT38+(Crescimento!#REF!-(AT38*0.64))/0.8)/1000</f>
        <v>#REF!</v>
      </c>
      <c r="AT39" s="17" t="e">
        <f>-53.07 + (304.89 * (AS39)) + (90.79 *Crescimento!#REF!) - (3.13 * Crescimento!#REF!*Crescimento!#REF!)</f>
        <v>#REF!</v>
      </c>
      <c r="AV39" s="16" t="e">
        <f>(AW38+(Crescimento!#REF!-(AW38*0.64))/0.8)/1000</f>
        <v>#REF!</v>
      </c>
      <c r="AW39" s="17" t="e">
        <f>-53.07 + (304.89 * (AV39)) + (90.79 *Crescimento!#REF!) - (3.13 * Crescimento!#REF!*Crescimento!#REF!)</f>
        <v>#REF!</v>
      </c>
      <c r="AY39" s="21" t="e">
        <f>((AZ38+(Crescimento!#REF!-(AZ38*0.64))/0.8)/1000)-Crescimento!#REF!</f>
        <v>#REF!</v>
      </c>
      <c r="AZ39" s="22" t="e">
        <f>-53.07 + (304.89 * (AY39)) + (90.79 *(Crescimento!#REF!-Crescimento!#REF!)) - (3.13 * (Crescimento!#REF!-Crescimento!#REF!)^2)</f>
        <v>#REF!</v>
      </c>
      <c r="BA39" s="23"/>
      <c r="BB39" s="21" t="e">
        <f>((BC38+(Crescimento!#REF!-(BC38*0.64))/0.8)/1000)-Crescimento!#REF!</f>
        <v>#REF!</v>
      </c>
      <c r="BC39" s="22" t="e">
        <f>-53.07 + (304.89 * (BB39)) + (90.79 *(Crescimento!#REF!-Crescimento!#REF!)) - (3.13 * (Crescimento!#REF!-Crescimento!#REF!)^2)</f>
        <v>#REF!</v>
      </c>
      <c r="BD39" s="23"/>
      <c r="BE39" s="21" t="e">
        <f>((BF38+(Crescimento!#REF!-(BF38*0.64))/0.8)/1000)-Crescimento!#REF!</f>
        <v>#REF!</v>
      </c>
      <c r="BF39" s="22" t="e">
        <f>-53.07 + (304.89 * (BE39)) + (90.79 *(Crescimento!#REF!-Crescimento!#REF!)) - (3.13 * (Crescimento!#REF!-Crescimento!#REF!)^2)</f>
        <v>#REF!</v>
      </c>
      <c r="BG39" s="23"/>
      <c r="BH39" s="21" t="e">
        <f>((BI38+(Crescimento!#REF!-(BI38*0.64))/0.8)/1000)-Crescimento!#REF!</f>
        <v>#REF!</v>
      </c>
      <c r="BI39" s="22" t="e">
        <f>-53.07 + (304.89 * (BH39)) + (90.79 *(Crescimento!#REF!-Crescimento!#REF!)) - (3.13 * (Crescimento!#REF!-Crescimento!#REF!)^2)</f>
        <v>#REF!</v>
      </c>
      <c r="BJ39" s="23"/>
      <c r="BK39" s="21" t="e">
        <f>((BL38+(Crescimento!#REF!-(BL38*0.64))/0.8)/1000)-Crescimento!#REF!</f>
        <v>#REF!</v>
      </c>
      <c r="BL39" s="22" t="e">
        <f>-53.07 + (304.89 * (BK39)) + (90.79 *(Crescimento!#REF!-Crescimento!#REF!)) - (3.13 * (Crescimento!#REF!-Crescimento!#REF!)^2)</f>
        <v>#REF!</v>
      </c>
      <c r="BM39" s="23"/>
      <c r="BN39" s="21" t="e">
        <f>((BO38+(Crescimento!#REF!-(BO38*0.64))/0.8)/1000)-Crescimento!#REF!</f>
        <v>#REF!</v>
      </c>
      <c r="BO39" s="22" t="e">
        <f>-53.07 + (304.89 * (BN39)) + (90.79 *(Crescimento!#REF!-Crescimento!#REF!)) - (3.13 * (Crescimento!#REF!-Crescimento!#REF!)^2)</f>
        <v>#REF!</v>
      </c>
      <c r="BP39" s="23"/>
      <c r="BQ39" s="21" t="e">
        <f>((BR38+(Crescimento!#REF!-(BR38*0.64))/0.8)/1000)-Crescimento!#REF!</f>
        <v>#REF!</v>
      </c>
      <c r="BR39" s="22" t="e">
        <f>-53.07 + (304.89 * (BQ39)) + (90.79 *(Crescimento!#REF!-Crescimento!#REF!)) - (3.13 * (Crescimento!#REF!-Crescimento!#REF!)^2)</f>
        <v>#REF!</v>
      </c>
      <c r="BS39" s="23"/>
      <c r="BT39" s="21" t="e">
        <f>((BU38+(Crescimento!#REF!-(BU38*0.64))/0.8)/1000)-Crescimento!#REF!</f>
        <v>#REF!</v>
      </c>
      <c r="BU39" s="22" t="e">
        <f>-53.07 + (304.89 * (BT39)) + (90.79 *(Crescimento!#REF!-Crescimento!#REF!)) - (3.13 * (Crescimento!#REF!-Crescimento!#REF!)^2)</f>
        <v>#REF!</v>
      </c>
      <c r="BV39" s="23"/>
      <c r="BW39" s="21" t="e">
        <f>((BX38+(Crescimento!#REF!-(BX38*0.64))/0.8)/1000)-Crescimento!#REF!</f>
        <v>#REF!</v>
      </c>
      <c r="BX39" s="22" t="e">
        <f>-53.07 + (304.89 * (BW39)) + (90.79 *(Crescimento!#REF!-Crescimento!#REF!)) - (3.13 * (Crescimento!#REF!-Crescimento!#REF!)^2)</f>
        <v>#REF!</v>
      </c>
      <c r="BY39" s="23"/>
      <c r="BZ39" s="21" t="e">
        <f>((CA38+(Crescimento!#REF!-(CA38*0.64))/0.8)/1000)-Crescimento!#REF!</f>
        <v>#REF!</v>
      </c>
      <c r="CA39" s="22" t="e">
        <f>-53.07 + (304.89 * (BZ39)) + (90.79 *(Crescimento!#REF!-Crescimento!#REF!)) - (3.13 * (Crescimento!#REF!-Crescimento!#REF!)^2)</f>
        <v>#REF!</v>
      </c>
      <c r="CB39" s="23"/>
      <c r="CC39" s="21" t="e">
        <f>((CD38+(Crescimento!#REF!-(CD38*0.64))/0.8)/1000)-Crescimento!#REF!</f>
        <v>#REF!</v>
      </c>
      <c r="CD39" s="22" t="e">
        <f>-53.07 + (304.89 * (CC39)) + (90.79 *(Crescimento!#REF!-Crescimento!#REF!)) - (3.13 * (Crescimento!#REF!-Crescimento!#REF!)^2)</f>
        <v>#REF!</v>
      </c>
      <c r="CE39" s="23"/>
      <c r="CF39" s="21" t="e">
        <f>((CG38+(Crescimento!#REF!-(CG38*0.64))/0.8)/1000)-Crescimento!#REF!</f>
        <v>#REF!</v>
      </c>
      <c r="CG39" s="22" t="e">
        <f>-53.07 + (304.89 * (CF39)) + (90.79 *(Crescimento!#REF!-Crescimento!#REF!)) - (3.13 * (Crescimento!#REF!-Crescimento!#REF!)^2)</f>
        <v>#REF!</v>
      </c>
      <c r="CH39" s="23"/>
      <c r="CI39" s="21" t="e">
        <f>((CJ38+(Crescimento!#REF!-(CJ38*0.64))/0.8)/1000)-Crescimento!#REF!</f>
        <v>#REF!</v>
      </c>
      <c r="CJ39" s="22" t="e">
        <f>-53.07 + (304.89 * (CI39)) + (90.79 *(Crescimento!#REF!-Crescimento!#REF!)) - (3.13 * (Crescimento!#REF!-Crescimento!#REF!)^2)</f>
        <v>#REF!</v>
      </c>
      <c r="CK39" s="23"/>
      <c r="CL39" s="21" t="e">
        <f>((CM38+(Crescimento!#REF!-(CM38*0.64))/0.8)/1000)-Crescimento!#REF!</f>
        <v>#REF!</v>
      </c>
      <c r="CM39" s="22" t="e">
        <f>-53.07 + (304.89 * (CL39)) + (90.79 *(Crescimento!#REF!-Crescimento!#REF!)) - (3.13 * (Crescimento!#REF!-Crescimento!#REF!)^2)</f>
        <v>#REF!</v>
      </c>
      <c r="CN39" s="23"/>
      <c r="CO39" s="21" t="e">
        <f>((CP38+(Crescimento!#REF!-(CP38*0.64))/0.8)/1000)-Crescimento!#REF!</f>
        <v>#REF!</v>
      </c>
      <c r="CP39" s="22" t="e">
        <f>-53.07 + (304.89 * (CO39)) + (90.79 *(Crescimento!#REF!-Crescimento!#REF!)) - (3.13 * (Crescimento!#REF!-Crescimento!#REF!)^2)</f>
        <v>#REF!</v>
      </c>
      <c r="CQ39" s="23"/>
      <c r="CR39" s="21" t="e">
        <f>((CS38+(Crescimento!#REF!-(CS38*0.64))/0.8)/1000)-Crescimento!#REF!</f>
        <v>#REF!</v>
      </c>
      <c r="CS39" s="22" t="e">
        <f>-53.07 + (304.89 * (CR39)) + (90.79 *(Crescimento!#REF!-Crescimento!#REF!)) - (3.13 * (Crescimento!#REF!-Crescimento!#REF!)^2)</f>
        <v>#REF!</v>
      </c>
      <c r="CX39" s="16" t="e">
        <f>((CY38+(Crescimento!#REF!-(CY38*0.64))/0.8)/1000)-Crescimento!#REF!</f>
        <v>#REF!</v>
      </c>
      <c r="CY39" s="17" t="e">
        <f>-53.07 + (304.89 * (CX39)) + (90.79 *(Crescimento!#REF!-Crescimento!#REF!)) - (3.13 * (Crescimento!#REF!-Crescimento!#REF!)^2)</f>
        <v>#REF!</v>
      </c>
      <c r="DA39" s="16" t="e">
        <f>((DB38+(Crescimento!#REF!-(DB38*0.64))/0.8)/1000)-Crescimento!#REF!</f>
        <v>#REF!</v>
      </c>
      <c r="DB39" s="17" t="e">
        <f>-53.07 + (304.89 * (DA39)) + (90.79 *(Crescimento!#REF!-Crescimento!#REF!)) - (3.13 * (Crescimento!#REF!-Crescimento!#REF!)^2)</f>
        <v>#REF!</v>
      </c>
      <c r="DD39" s="16" t="e">
        <f>(DE38+(Crescimento!#REF!-(DE38*0.64))/0.8)/1000</f>
        <v>#REF!</v>
      </c>
      <c r="DE39" s="17" t="e">
        <f>-53.07 + (304.89 * (DD39)) + (90.79 *Crescimento!#REF!) - (3.13 * Crescimento!#REF!*Crescimento!#REF!)</f>
        <v>#REF!</v>
      </c>
      <c r="DG39" s="16" t="e">
        <f>((DH38+(Crescimento!#REF!-(DH38*0.64))/0.8)/1000)-Crescimento!#REF!</f>
        <v>#REF!</v>
      </c>
      <c r="DH39" s="17" t="e">
        <f>-53.07 + (304.89 * (DG39)) + (90.79 *(Crescimento!#REF!-Crescimento!#REF!)) - (3.13 * (Crescimento!#REF!-Crescimento!#REF!)^2)</f>
        <v>#REF!</v>
      </c>
      <c r="DJ39" s="16" t="e">
        <f>((DK38+(Crescimento!#REF!-(DK38*0.64))/0.8)/1000)-Crescimento!#REF!</f>
        <v>#REF!</v>
      </c>
      <c r="DK39" s="17" t="e">
        <f>-53.07 + (304.89 * (DJ39)) + (90.79 *(Crescimento!#REF!-Crescimento!#REF!)) - (3.13 * (Crescimento!#REF!-Crescimento!#REF!)^2)</f>
        <v>#REF!</v>
      </c>
      <c r="DM39" s="16" t="e">
        <f>((DN38+(Crescimento!#REF!-(DN38*0.64))/0.8)/1000)-Crescimento!#REF!</f>
        <v>#REF!</v>
      </c>
      <c r="DN39" s="17" t="e">
        <f>-53.07 + (304.89 * (DM39)) + (90.79 *(Crescimento!#REF!-Crescimento!#REF!)) - (3.13 * (Crescimento!#REF!-Crescimento!#REF!)^2)</f>
        <v>#REF!</v>
      </c>
      <c r="DP39" s="16" t="e">
        <f>(DQ38+(Crescimento!#REF!-(DQ38*0.64))/0.8)/1000</f>
        <v>#REF!</v>
      </c>
      <c r="DQ39" s="17" t="e">
        <f>-53.07 + (304.89 * (DP39)) + (90.79 *(Crescimento!#REF!-Crescimento!#REF!)) - (3.13 * (Crescimento!#REF!-Crescimento!#REF!)^2)</f>
        <v>#REF!</v>
      </c>
      <c r="DS39" s="16" t="e">
        <f>((DT38+(Crescimento!#REF!-(DT38*0.64))/0.8)/1000)-Crescimento!#REF!</f>
        <v>#REF!</v>
      </c>
      <c r="DT39" s="17" t="e">
        <f>-53.07 + (304.89 * (DS39)) + (90.79 *(Crescimento!#REF!-Crescimento!#REF!)) - (3.13 * (Crescimento!#REF!-Crescimento!#REF!)^2)</f>
        <v>#REF!</v>
      </c>
      <c r="DV39" s="16" t="e">
        <f>((DW38+(Crescimento!#REF!-(DW38*0.64))/0.8)/1000)-Crescimento!#REF!</f>
        <v>#REF!</v>
      </c>
      <c r="DW39" s="17" t="e">
        <f>-53.07 + (304.89 * (DV39)) + (90.79 *(Crescimento!#REF!-Crescimento!#REF!)) - (3.13 * (Crescimento!#REF!-Crescimento!#REF!)^2)</f>
        <v>#REF!</v>
      </c>
      <c r="DY39" s="16" t="e">
        <f>((DZ38+(Crescimento!#REF!-(DZ38*0.64))/0.8)/1000)-Crescimento!#REF!</f>
        <v>#REF!</v>
      </c>
      <c r="DZ39" s="17" t="e">
        <f>-53.07 + (304.89 * (DY39)) + (90.79 *(Crescimento!#REF!-Crescimento!#REF!)) - (3.13 * (Crescimento!#REF!-Crescimento!#REF!)^2)</f>
        <v>#REF!</v>
      </c>
      <c r="EB39" s="16" t="e">
        <f>((EC38+(Crescimento!#REF!-(EC38*0.64))/0.8)/1000)-Crescimento!#REF!</f>
        <v>#REF!</v>
      </c>
      <c r="EC39" s="17" t="e">
        <f>-53.07 + (304.89 * (EB39)) + (90.79 *(Crescimento!#REF!-Crescimento!#REF!)) - (3.13 * (Crescimento!#REF!-Crescimento!#REF!)^2)</f>
        <v>#REF!</v>
      </c>
      <c r="EE39" s="16" t="e">
        <f>((EF38+(Crescimento!#REF!-(EF38*0.64))/0.8)/1000)-Crescimento!#REF!</f>
        <v>#REF!</v>
      </c>
      <c r="EF39" s="17" t="e">
        <f>-53.07 + (304.89 * (EE39)) + (90.79 *(Crescimento!#REF!-Crescimento!#REF!)) - (3.13 * (Crescimento!#REF!-Crescimento!#REF!)^2)</f>
        <v>#REF!</v>
      </c>
      <c r="EH39" s="16" t="e">
        <f>((EI38+(Crescimento!#REF!-(EI38*0.64))/0.8)/1000)-Crescimento!#REF!</f>
        <v>#REF!</v>
      </c>
      <c r="EI39" s="17" t="e">
        <f>-53.07 + (304.89 * (EH39)) + (90.79 *(Crescimento!#REF!-Crescimento!#REF!)) - (3.13 * (Crescimento!#REF!-Crescimento!#REF!)^2)</f>
        <v>#REF!</v>
      </c>
      <c r="EK39" s="16" t="e">
        <f>((EL38+(Crescimento!#REF!-(EL38*0.64))/0.8)/1000)-Crescimento!#REF!</f>
        <v>#REF!</v>
      </c>
      <c r="EL39" s="17" t="e">
        <f>-53.07 + (304.89 * (EK39)) + (90.79 *(Crescimento!#REF!-Crescimento!#REF!)) - (3.13 * (Crescimento!#REF!-Crescimento!#REF!)^2)</f>
        <v>#REF!</v>
      </c>
      <c r="EN39" s="16" t="e">
        <f>((EO38+(Crescimento!#REF!-(EO38*0.64))/0.8)/1000)-Crescimento!#REF!</f>
        <v>#REF!</v>
      </c>
      <c r="EO39" s="17" t="e">
        <f>-53.07 + (304.89 * (EN39)) + (90.79 *(Crescimento!#REF!-Crescimento!#REF!)) - (3.13 * (Crescimento!#REF!-Crescimento!#REF!)^2)</f>
        <v>#REF!</v>
      </c>
      <c r="EQ39" s="16" t="e">
        <f>((ER38+(Crescimento!#REF!-(ER38*0.64))/0.8)/1000)-Crescimento!#REF!</f>
        <v>#REF!</v>
      </c>
      <c r="ER39" s="17" t="e">
        <f>-53.07 + (304.89 * (EQ39)) + (90.79 *(Crescimento!#REF!-Crescimento!#REF!)) - (3.13 * (Crescimento!#REF!-Crescimento!#REF!)^2)</f>
        <v>#REF!</v>
      </c>
      <c r="ET39" s="16" t="e">
        <f>((EU38+(Crescimento!#REF!-(EU38*0.64))/0.8)/1000)-Crescimento!#REF!</f>
        <v>#REF!</v>
      </c>
      <c r="EU39" s="17" t="e">
        <f>-53.07 + (304.89 * (ET39)) + (90.79 *(Crescimento!#REF!-Crescimento!#REF!)) - (3.13 * (Crescimento!#REF!-Crescimento!#REF!)^2)</f>
        <v>#REF!</v>
      </c>
      <c r="EW39" s="16" t="e">
        <f>((EX38+('Vacas e Bezerros'!#REF!-(EX38*0.64))/0.8)/1000)-'Vacas e Bezerros'!#REF!</f>
        <v>#REF!</v>
      </c>
      <c r="EX39" s="17" t="e">
        <f>-53.07 + (304.89 * (EW39)) + (90.79 *('Vacas e Bezerros'!#REF!-'Vacas e Bezerros'!#REF!)) - (3.13 * ('Vacas e Bezerros'!#REF!-'Vacas e Bezerros'!#REF!)^2)</f>
        <v>#REF!</v>
      </c>
      <c r="EZ39" s="16" t="e">
        <f>((FA38+('Vacas e Bezerros'!#REF!-(FA38*0.64))/0.8)/1000)-'Vacas e Bezerros'!#REF!</f>
        <v>#REF!</v>
      </c>
      <c r="FA39" s="17" t="e">
        <f>-53.07 + (304.89 * (EZ39)) + (90.79 *('Vacas e Bezerros'!#REF!-'Vacas e Bezerros'!#REF!)) - (3.13 * ('Vacas e Bezerros'!#REF!-'Vacas e Bezerros'!#REF!)^2)</f>
        <v>#REF!</v>
      </c>
      <c r="FC39" s="16" t="e">
        <f>((FD38+('Vacas e Bezerros'!#REF!-(FD38*0.64))/0.8)/1000)-'Vacas e Bezerros'!#REF!</f>
        <v>#REF!</v>
      </c>
      <c r="FD39" s="17" t="e">
        <f>-53.07 + (304.89 * (FC39)) + (90.79 *('Vacas e Bezerros'!#REF!-'Vacas e Bezerros'!#REF!)) - (3.13 * ('Vacas e Bezerros'!#REF!-'Vacas e Bezerros'!#REF!)^2)</f>
        <v>#REF!</v>
      </c>
      <c r="FF39" s="16" t="e">
        <f>((FG38+('Vacas e Bezerros'!#REF!-(FG38*0.64))/0.8)/1000)-'Vacas e Bezerros'!#REF!</f>
        <v>#REF!</v>
      </c>
      <c r="FG39" s="17" t="e">
        <f>-53.07 + (304.89 * (FF39)) + (90.79 *('Vacas e Bezerros'!#REF!-'Vacas e Bezerros'!#REF!)) - (3.13 * ('Vacas e Bezerros'!#REF!-'Vacas e Bezerros'!#REF!)^2)</f>
        <v>#REF!</v>
      </c>
      <c r="FI39" s="16" t="e">
        <f>((FJ38+('Vacas e Bezerros'!#REF!-(FJ38*0.64))/0.8)/1000)-'Vacas e Bezerros'!#REF!</f>
        <v>#REF!</v>
      </c>
      <c r="FJ39" s="17" t="e">
        <f>-53.07 + (304.89 * (FI39)) + (90.79 *('Vacas e Bezerros'!#REF!-'Vacas e Bezerros'!#REF!)) - (3.13 * ('Vacas e Bezerros'!#REF!-'Vacas e Bezerros'!#REF!)^2)</f>
        <v>#REF!</v>
      </c>
      <c r="FL39" s="16" t="e">
        <f>((FM38+('Vacas e Bezerros'!#REF!-(FM38*0.64))/0.8)/1000)-'Vacas e Bezerros'!#REF!</f>
        <v>#REF!</v>
      </c>
      <c r="FM39" s="17" t="e">
        <f>-53.07 + (304.89 * (FL39)) + (90.79 *('Vacas e Bezerros'!#REF!-'Vacas e Bezerros'!#REF!)) - (3.13 * ('Vacas e Bezerros'!#REF!-'Vacas e Bezerros'!#REF!)^2)</f>
        <v>#REF!</v>
      </c>
      <c r="FO39" s="16" t="e">
        <f>((FP38+('Vacas e Bezerros'!#REF!-(FP38*0.64))/0.8)/1000)-'Vacas e Bezerros'!#REF!</f>
        <v>#REF!</v>
      </c>
      <c r="FP39" s="17" t="e">
        <f>-53.07 + (304.89 * (FO39)) + (90.79 *('Vacas e Bezerros'!#REF!-'Vacas e Bezerros'!#REF!)) - (3.13 * ('Vacas e Bezerros'!#REF!-'Vacas e Bezerros'!#REF!)^2)</f>
        <v>#REF!</v>
      </c>
      <c r="FR39" s="16" t="e">
        <f>((FS38+('Vacas e Bezerros'!#REF!-(FS38*0.64))/0.8)/1000)-'Vacas e Bezerros'!#REF!</f>
        <v>#REF!</v>
      </c>
      <c r="FS39" s="17" t="e">
        <f>-53.07 + (304.89 * (FR39)) + (90.79 *('Vacas e Bezerros'!#REF!-'Vacas e Bezerros'!#REF!)) - (3.13 * ('Vacas e Bezerros'!#REF!-'Vacas e Bezerros'!#REF!)^2)</f>
        <v>#REF!</v>
      </c>
      <c r="FU39" s="16" t="e">
        <f>((FV38+('Vacas e Bezerros'!#REF!-(FV38*0.64))/0.8)/1000)-'Vacas e Bezerros'!#REF!</f>
        <v>#REF!</v>
      </c>
      <c r="FV39" s="17" t="e">
        <f>-53.07 + (304.89 * (FU39)) + (90.79 *('Vacas e Bezerros'!#REF!-'Vacas e Bezerros'!#REF!)) - (3.13 * ('Vacas e Bezerros'!#REF!-'Vacas e Bezerros'!#REF!)^2)</f>
        <v>#REF!</v>
      </c>
      <c r="FX39" s="16" t="e">
        <f>((FY38+('Vacas e Bezerros'!#REF!-(FY38*0.64))/0.8)/1000)-'Vacas e Bezerros'!#REF!</f>
        <v>#REF!</v>
      </c>
      <c r="FY39" s="17" t="e">
        <f>-53.07 + (304.89 * (FX39)) + (90.79 *('Vacas e Bezerros'!#REF!-'Vacas e Bezerros'!#REF!)) - (3.13 * ('Vacas e Bezerros'!#REF!-'Vacas e Bezerros'!#REF!)^2)</f>
        <v>#REF!</v>
      </c>
      <c r="GA39" s="16" t="e">
        <f>((GB38+('Vacas e Bezerros'!#REF!-(GB38*0.64))/0.8)/1000)-'Vacas e Bezerros'!#REF!</f>
        <v>#REF!</v>
      </c>
      <c r="GB39" s="17" t="e">
        <f>-53.07 + (304.89 * (GA39)) + (90.79 *('Vacas e Bezerros'!#REF!-'Vacas e Bezerros'!#REF!)) - (3.13 * ('Vacas e Bezerros'!#REF!-'Vacas e Bezerros'!#REF!)^2)</f>
        <v>#REF!</v>
      </c>
      <c r="GD39" s="16" t="e">
        <f>((GE38+('Vacas e Bezerros'!#REF!-(GE38*0.64))/0.8)/1000)-'Vacas e Bezerros'!#REF!</f>
        <v>#REF!</v>
      </c>
      <c r="GE39" s="17" t="e">
        <f>-53.07 + (304.89 * (GD39)) + (90.79 *('Vacas e Bezerros'!#REF!-'Vacas e Bezerros'!#REF!)) - (3.13 * ('Vacas e Bezerros'!#REF!-'Vacas e Bezerros'!#REF!)^2)</f>
        <v>#REF!</v>
      </c>
      <c r="GG39" s="16" t="e">
        <f>((GH38+('Vacas e Bezerros'!#REF!-(GH38*0.64))/0.8)/1000)-'Vacas e Bezerros'!#REF!</f>
        <v>#REF!</v>
      </c>
      <c r="GH39" s="17" t="e">
        <f>-53.07 + (304.89 * (GG39)) + (90.79 *('Vacas e Bezerros'!#REF!-'Vacas e Bezerros'!#REF!)) - (3.13 * ('Vacas e Bezerros'!#REF!-'Vacas e Bezerros'!#REF!)^2)</f>
        <v>#REF!</v>
      </c>
      <c r="GJ39" s="16" t="e">
        <f>((GK38+('Vacas e Bezerros'!#REF!-(GK38*0.64))/0.8)/1000)-'Vacas e Bezerros'!#REF!</f>
        <v>#REF!</v>
      </c>
      <c r="GK39" s="17" t="e">
        <f>-53.07 + (304.89 * (GJ39)) + (90.79 *('Vacas e Bezerros'!#REF!-'Vacas e Bezerros'!#REF!)) - (3.13 * ('Vacas e Bezerros'!#REF!-'Vacas e Bezerros'!#REF!)^2)</f>
        <v>#REF!</v>
      </c>
      <c r="GM39" s="16" t="e">
        <f>((GN38+('Vacas e Bezerros'!#REF!-(GN38*0.64))/0.8)/1000)-'Vacas e Bezerros'!#REF!</f>
        <v>#REF!</v>
      </c>
      <c r="GN39" s="17" t="e">
        <f>-53.07 + (304.89 * (GM39)) + (90.79 *('Vacas e Bezerros'!#REF!-'Vacas e Bezerros'!#REF!)) - (3.13 * ('Vacas e Bezerros'!#REF!-'Vacas e Bezerros'!#REF!)^2)</f>
        <v>#REF!</v>
      </c>
    </row>
    <row r="40" spans="3:196" x14ac:dyDescent="0.25">
      <c r="C40" s="16">
        <f>(D39+('Vacas e Bezerros'!$AA$28-(D39*0.64))/0.8)/1000</f>
        <v>0.35719668016155687</v>
      </c>
      <c r="D40" s="17">
        <f>-53.07 + (304.89 * (C40-'Vacas e Bezerros'!$C$206)) + (90.79 *('Vacas e Bezerros'!$AA$22)) - (3.13 *('Vacas e Bezerros'!$AA$22)^2)</f>
        <v>165.01876457544017</v>
      </c>
      <c r="F40" s="16" t="e">
        <f>(G39+(Crescimento!#REF!-(G39*0.64))/0.8)/1000</f>
        <v>#REF!</v>
      </c>
      <c r="G40" s="17" t="e">
        <f>-53.07 + (304.89 * (F40)) + (90.79 *Crescimento!#REF!) - (3.13 * Crescimento!#REF!*Crescimento!#REF!)</f>
        <v>#REF!</v>
      </c>
      <c r="H40" s="1"/>
      <c r="I40" s="16" t="e">
        <f>(J39+(Crescimento!#REF!-(J39*0.64))/0.8)/1000</f>
        <v>#REF!</v>
      </c>
      <c r="J40" s="17" t="e">
        <f>-53.07 + (304.89 * (I40)) + (90.79 *Crescimento!#REF!) - (3.13 * Crescimento!#REF!*Crescimento!#REF!)</f>
        <v>#REF!</v>
      </c>
      <c r="L40" s="16" t="e">
        <f>(M39+(Crescimento!#REF!-(M39*0.64))/0.8)/1000</f>
        <v>#REF!</v>
      </c>
      <c r="M40" s="17" t="e">
        <f>-53.07 + (304.89 * (L40)) + (90.79 *Crescimento!#REF!) - (3.13 * Crescimento!#REF!*Crescimento!#REF!)</f>
        <v>#REF!</v>
      </c>
      <c r="O40" s="16" t="e">
        <f>(P39+(Crescimento!#REF!-(P39*0.64))/0.8)/1000</f>
        <v>#REF!</v>
      </c>
      <c r="P40" s="17" t="e">
        <f>-53.07 + (304.89 * (O40)) + (90.79 *Crescimento!#REF!) - (3.13 * Crescimento!#REF!*Crescimento!#REF!)</f>
        <v>#REF!</v>
      </c>
      <c r="R40" s="16" t="e">
        <f>(S39+(Crescimento!#REF!-(S39*0.64))/0.8)/1000</f>
        <v>#REF!</v>
      </c>
      <c r="S40" s="17" t="e">
        <f>-53.07 + (304.89 * (R40)) + (90.79 *Crescimento!#REF!) - (3.13 * Crescimento!#REF!*Crescimento!#REF!)</f>
        <v>#REF!</v>
      </c>
      <c r="U40" s="16" t="e">
        <f>(V39+(Crescimento!#REF!-(V39*0.64))/0.8)/1000</f>
        <v>#REF!</v>
      </c>
      <c r="V40" s="17" t="e">
        <f>-53.07 + (304.89 * (U40)) + (90.79 *Crescimento!#REF!) - (3.13 * Crescimento!#REF!*Crescimento!#REF!)</f>
        <v>#REF!</v>
      </c>
      <c r="X40" s="16" t="e">
        <f>(Y39+(Crescimento!#REF!-(Y39*0.64))/0.8)/1000</f>
        <v>#REF!</v>
      </c>
      <c r="Y40" s="17" t="e">
        <f>-53.07 + (304.89 * (X40)) + (90.79 *Crescimento!#REF!) - (3.13 * Crescimento!#REF!*Crescimento!#REF!)</f>
        <v>#REF!</v>
      </c>
      <c r="Z40" s="6"/>
      <c r="AA40" s="16" t="e">
        <f>(AB39+(Crescimento!#REF!-(AB39*0.64))/0.8)/1000</f>
        <v>#REF!</v>
      </c>
      <c r="AB40" s="17" t="e">
        <f>-53.07 + (304.89 * (AA40)) + (90.79 *Crescimento!#REF!) - (3.13 * Crescimento!#REF!*Crescimento!#REF!)</f>
        <v>#REF!</v>
      </c>
      <c r="AC40" s="6"/>
      <c r="AD40" s="16" t="e">
        <f>(AE39+(Crescimento!#REF!-(AE39*0.64))/0.8)/1000</f>
        <v>#REF!</v>
      </c>
      <c r="AE40" s="17" t="e">
        <f>-53.07 + (304.89 * (AD40)) + (90.79 *Crescimento!#REF!) - (3.13 * Crescimento!#REF!*Crescimento!#REF!)</f>
        <v>#REF!</v>
      </c>
      <c r="AF40" s="17"/>
      <c r="AG40" s="16" t="e">
        <f>(AH39+(Crescimento!#REF!-(AH39*0.64))/0.8)/1000</f>
        <v>#REF!</v>
      </c>
      <c r="AH40" s="17" t="e">
        <f>-53.07 + (304.89 * (AG40)) + (90.79 *Crescimento!#REF!) - (3.13 * Crescimento!#REF!*Crescimento!#REF!)</f>
        <v>#REF!</v>
      </c>
      <c r="AJ40" s="16" t="e">
        <f>(AK39+(Crescimento!#REF!-(AK39*0.64))/0.8)/1000</f>
        <v>#REF!</v>
      </c>
      <c r="AK40" s="17" t="e">
        <f>-53.07 + (304.89 * (AJ40)) + (90.79 *Crescimento!#REF!) - (3.13 * Crescimento!#REF!*Crescimento!#REF!)</f>
        <v>#REF!</v>
      </c>
      <c r="AM40" s="16" t="e">
        <f>(AN39+(Crescimento!#REF!-(AN39*0.64))/0.8)/1000</f>
        <v>#REF!</v>
      </c>
      <c r="AN40" s="17" t="e">
        <f>-53.07 + (304.89 * (AM40)) + (90.79 *Crescimento!#REF!) - (3.13 * Crescimento!#REF!*Crescimento!#REF!)</f>
        <v>#REF!</v>
      </c>
      <c r="AP40" s="16" t="e">
        <f>(AQ39+(Crescimento!#REF!-(AQ39*0.64))/0.8)/1000</f>
        <v>#REF!</v>
      </c>
      <c r="AQ40" s="17" t="e">
        <f>-53.07 + (304.89 * (AP40)) + (90.79 *Crescimento!#REF!) - (3.13 * Crescimento!#REF!*Crescimento!#REF!)</f>
        <v>#REF!</v>
      </c>
      <c r="AS40" s="16" t="e">
        <f>(AT39+(Crescimento!#REF!-(AT39*0.64))/0.8)/1000</f>
        <v>#REF!</v>
      </c>
      <c r="AT40" s="17" t="e">
        <f>-53.07 + (304.89 * (AS40)) + (90.79 *Crescimento!#REF!) - (3.13 * Crescimento!#REF!*Crescimento!#REF!)</f>
        <v>#REF!</v>
      </c>
      <c r="AV40" s="16" t="e">
        <f>(AW39+(Crescimento!#REF!-(AW39*0.64))/0.8)/1000</f>
        <v>#REF!</v>
      </c>
      <c r="AW40" s="17" t="e">
        <f>-53.07 + (304.89 * (AV40)) + (90.79 *Crescimento!#REF!) - (3.13 * Crescimento!#REF!*Crescimento!#REF!)</f>
        <v>#REF!</v>
      </c>
      <c r="AY40" s="21" t="e">
        <f>((AZ39+(Crescimento!#REF!-(AZ39*0.64))/0.8)/1000)-Crescimento!#REF!</f>
        <v>#REF!</v>
      </c>
      <c r="AZ40" s="22" t="e">
        <f>-53.07 + (304.89 * (AY40)) + (90.79 *(Crescimento!#REF!-Crescimento!#REF!)) - (3.13 * (Crescimento!#REF!-Crescimento!#REF!)^2)</f>
        <v>#REF!</v>
      </c>
      <c r="BA40" s="23"/>
      <c r="BB40" s="21" t="e">
        <f>((BC39+(Crescimento!#REF!-(BC39*0.64))/0.8)/1000)-Crescimento!#REF!</f>
        <v>#REF!</v>
      </c>
      <c r="BC40" s="22" t="e">
        <f>-53.07 + (304.89 * (BB40)) + (90.79 *(Crescimento!#REF!-Crescimento!#REF!)) - (3.13 * (Crescimento!#REF!-Crescimento!#REF!)^2)</f>
        <v>#REF!</v>
      </c>
      <c r="BD40" s="23"/>
      <c r="BE40" s="21" t="e">
        <f>((BF39+(Crescimento!#REF!-(BF39*0.64))/0.8)/1000)-Crescimento!#REF!</f>
        <v>#REF!</v>
      </c>
      <c r="BF40" s="22" t="e">
        <f>-53.07 + (304.89 * (BE40)) + (90.79 *(Crescimento!#REF!-Crescimento!#REF!)) - (3.13 * (Crescimento!#REF!-Crescimento!#REF!)^2)</f>
        <v>#REF!</v>
      </c>
      <c r="BG40" s="23"/>
      <c r="BH40" s="21" t="e">
        <f>((BI39+(Crescimento!#REF!-(BI39*0.64))/0.8)/1000)-Crescimento!#REF!</f>
        <v>#REF!</v>
      </c>
      <c r="BI40" s="22" t="e">
        <f>-53.07 + (304.89 * (BH40)) + (90.79 *(Crescimento!#REF!-Crescimento!#REF!)) - (3.13 * (Crescimento!#REF!-Crescimento!#REF!)^2)</f>
        <v>#REF!</v>
      </c>
      <c r="BJ40" s="23"/>
      <c r="BK40" s="21" t="e">
        <f>((BL39+(Crescimento!#REF!-(BL39*0.64))/0.8)/1000)-Crescimento!#REF!</f>
        <v>#REF!</v>
      </c>
      <c r="BL40" s="22" t="e">
        <f>-53.07 + (304.89 * (BK40)) + (90.79 *(Crescimento!#REF!-Crescimento!#REF!)) - (3.13 * (Crescimento!#REF!-Crescimento!#REF!)^2)</f>
        <v>#REF!</v>
      </c>
      <c r="BM40" s="23"/>
      <c r="BN40" s="21" t="e">
        <f>((BO39+(Crescimento!#REF!-(BO39*0.64))/0.8)/1000)-Crescimento!#REF!</f>
        <v>#REF!</v>
      </c>
      <c r="BO40" s="22" t="e">
        <f>-53.07 + (304.89 * (BN40)) + (90.79 *(Crescimento!#REF!-Crescimento!#REF!)) - (3.13 * (Crescimento!#REF!-Crescimento!#REF!)^2)</f>
        <v>#REF!</v>
      </c>
      <c r="BP40" s="23"/>
      <c r="BQ40" s="21" t="e">
        <f>((BR39+(Crescimento!#REF!-(BR39*0.64))/0.8)/1000)-Crescimento!#REF!</f>
        <v>#REF!</v>
      </c>
      <c r="BR40" s="22" t="e">
        <f>-53.07 + (304.89 * (BQ40)) + (90.79 *(Crescimento!#REF!-Crescimento!#REF!)) - (3.13 * (Crescimento!#REF!-Crescimento!#REF!)^2)</f>
        <v>#REF!</v>
      </c>
      <c r="BS40" s="23"/>
      <c r="BT40" s="21" t="e">
        <f>((BU39+(Crescimento!#REF!-(BU39*0.64))/0.8)/1000)-Crescimento!#REF!</f>
        <v>#REF!</v>
      </c>
      <c r="BU40" s="22" t="e">
        <f>-53.07 + (304.89 * (BT40)) + (90.79 *(Crescimento!#REF!-Crescimento!#REF!)) - (3.13 * (Crescimento!#REF!-Crescimento!#REF!)^2)</f>
        <v>#REF!</v>
      </c>
      <c r="BV40" s="23"/>
      <c r="BW40" s="21" t="e">
        <f>((BX39+(Crescimento!#REF!-(BX39*0.64))/0.8)/1000)-Crescimento!#REF!</f>
        <v>#REF!</v>
      </c>
      <c r="BX40" s="22" t="e">
        <f>-53.07 + (304.89 * (BW40)) + (90.79 *(Crescimento!#REF!-Crescimento!#REF!)) - (3.13 * (Crescimento!#REF!-Crescimento!#REF!)^2)</f>
        <v>#REF!</v>
      </c>
      <c r="BY40" s="23"/>
      <c r="BZ40" s="21" t="e">
        <f>((CA39+(Crescimento!#REF!-(CA39*0.64))/0.8)/1000)-Crescimento!#REF!</f>
        <v>#REF!</v>
      </c>
      <c r="CA40" s="22" t="e">
        <f>-53.07 + (304.89 * (BZ40)) + (90.79 *(Crescimento!#REF!-Crescimento!#REF!)) - (3.13 * (Crescimento!#REF!-Crescimento!#REF!)^2)</f>
        <v>#REF!</v>
      </c>
      <c r="CB40" s="23"/>
      <c r="CC40" s="21" t="e">
        <f>((CD39+(Crescimento!#REF!-(CD39*0.64))/0.8)/1000)-Crescimento!#REF!</f>
        <v>#REF!</v>
      </c>
      <c r="CD40" s="22" t="e">
        <f>-53.07 + (304.89 * (CC40)) + (90.79 *(Crescimento!#REF!-Crescimento!#REF!)) - (3.13 * (Crescimento!#REF!-Crescimento!#REF!)^2)</f>
        <v>#REF!</v>
      </c>
      <c r="CE40" s="23"/>
      <c r="CF40" s="21" t="e">
        <f>((CG39+(Crescimento!#REF!-(CG39*0.64))/0.8)/1000)-Crescimento!#REF!</f>
        <v>#REF!</v>
      </c>
      <c r="CG40" s="22" t="e">
        <f>-53.07 + (304.89 * (CF40)) + (90.79 *(Crescimento!#REF!-Crescimento!#REF!)) - (3.13 * (Crescimento!#REF!-Crescimento!#REF!)^2)</f>
        <v>#REF!</v>
      </c>
      <c r="CH40" s="23"/>
      <c r="CI40" s="21" t="e">
        <f>((CJ39+(Crescimento!#REF!-(CJ39*0.64))/0.8)/1000)-Crescimento!#REF!</f>
        <v>#REF!</v>
      </c>
      <c r="CJ40" s="22" t="e">
        <f>-53.07 + (304.89 * (CI40)) + (90.79 *(Crescimento!#REF!-Crescimento!#REF!)) - (3.13 * (Crescimento!#REF!-Crescimento!#REF!)^2)</f>
        <v>#REF!</v>
      </c>
      <c r="CK40" s="23"/>
      <c r="CL40" s="21" t="e">
        <f>((CM39+(Crescimento!#REF!-(CM39*0.64))/0.8)/1000)-Crescimento!#REF!</f>
        <v>#REF!</v>
      </c>
      <c r="CM40" s="22" t="e">
        <f>-53.07 + (304.89 * (CL40)) + (90.79 *(Crescimento!#REF!-Crescimento!#REF!)) - (3.13 * (Crescimento!#REF!-Crescimento!#REF!)^2)</f>
        <v>#REF!</v>
      </c>
      <c r="CN40" s="23"/>
      <c r="CO40" s="21" t="e">
        <f>((CP39+(Crescimento!#REF!-(CP39*0.64))/0.8)/1000)-Crescimento!#REF!</f>
        <v>#REF!</v>
      </c>
      <c r="CP40" s="22" t="e">
        <f>-53.07 + (304.89 * (CO40)) + (90.79 *(Crescimento!#REF!-Crescimento!#REF!)) - (3.13 * (Crescimento!#REF!-Crescimento!#REF!)^2)</f>
        <v>#REF!</v>
      </c>
      <c r="CQ40" s="23"/>
      <c r="CR40" s="21" t="e">
        <f>((CS39+(Crescimento!#REF!-(CS39*0.64))/0.8)/1000)-Crescimento!#REF!</f>
        <v>#REF!</v>
      </c>
      <c r="CS40" s="22" t="e">
        <f>-53.07 + (304.89 * (CR40)) + (90.79 *(Crescimento!#REF!-Crescimento!#REF!)) - (3.13 * (Crescimento!#REF!-Crescimento!#REF!)^2)</f>
        <v>#REF!</v>
      </c>
      <c r="CX40" s="16" t="e">
        <f>((CY39+(Crescimento!#REF!-(CY39*0.64))/0.8)/1000)-Crescimento!#REF!</f>
        <v>#REF!</v>
      </c>
      <c r="CY40" s="17" t="e">
        <f>-53.07 + (304.89 * (CX40)) + (90.79 *(Crescimento!#REF!-Crescimento!#REF!)) - (3.13 * (Crescimento!#REF!-Crescimento!#REF!)^2)</f>
        <v>#REF!</v>
      </c>
      <c r="DA40" s="16" t="e">
        <f>((DB39+(Crescimento!#REF!-(DB39*0.64))/0.8)/1000)-Crescimento!#REF!</f>
        <v>#REF!</v>
      </c>
      <c r="DB40" s="17" t="e">
        <f>-53.07 + (304.89 * (DA40)) + (90.79 *(Crescimento!#REF!-Crescimento!#REF!)) - (3.13 * (Crescimento!#REF!-Crescimento!#REF!)^2)</f>
        <v>#REF!</v>
      </c>
      <c r="DD40" s="16" t="e">
        <f>(DE39+(Crescimento!#REF!-(DE39*0.64))/0.8)/1000</f>
        <v>#REF!</v>
      </c>
      <c r="DE40" s="17" t="e">
        <f>-53.07 + (304.89 * (DD40)) + (90.79 *Crescimento!#REF!) - (3.13 * Crescimento!#REF!*Crescimento!#REF!)</f>
        <v>#REF!</v>
      </c>
      <c r="DG40" s="16" t="e">
        <f>((DH39+(Crescimento!#REF!-(DH39*0.64))/0.8)/1000)-Crescimento!#REF!</f>
        <v>#REF!</v>
      </c>
      <c r="DH40" s="17" t="e">
        <f>-53.07 + (304.89 * (DG40)) + (90.79 *(Crescimento!#REF!-Crescimento!#REF!)) - (3.13 * (Crescimento!#REF!-Crescimento!#REF!)^2)</f>
        <v>#REF!</v>
      </c>
      <c r="DJ40" s="16" t="e">
        <f>((DK39+(Crescimento!#REF!-(DK39*0.64))/0.8)/1000)-Crescimento!#REF!</f>
        <v>#REF!</v>
      </c>
      <c r="DK40" s="17" t="e">
        <f>-53.07 + (304.89 * (DJ40)) + (90.79 *(Crescimento!#REF!-Crescimento!#REF!)) - (3.13 * (Crescimento!#REF!-Crescimento!#REF!)^2)</f>
        <v>#REF!</v>
      </c>
      <c r="DM40" s="16" t="e">
        <f>((DN39+(Crescimento!#REF!-(DN39*0.64))/0.8)/1000)-Crescimento!#REF!</f>
        <v>#REF!</v>
      </c>
      <c r="DN40" s="17" t="e">
        <f>-53.07 + (304.89 * (DM40)) + (90.79 *(Crescimento!#REF!-Crescimento!#REF!)) - (3.13 * (Crescimento!#REF!-Crescimento!#REF!)^2)</f>
        <v>#REF!</v>
      </c>
      <c r="DP40" s="16" t="e">
        <f>(DQ39+(Crescimento!#REF!-(DQ39*0.64))/0.8)/1000</f>
        <v>#REF!</v>
      </c>
      <c r="DQ40" s="17" t="e">
        <f>-53.07 + (304.89 * (DP40)) + (90.79 *(Crescimento!#REF!-Crescimento!#REF!)) - (3.13 * (Crescimento!#REF!-Crescimento!#REF!)^2)</f>
        <v>#REF!</v>
      </c>
      <c r="DS40" s="16" t="e">
        <f>((DT39+(Crescimento!#REF!-(DT39*0.64))/0.8)/1000)-Crescimento!#REF!</f>
        <v>#REF!</v>
      </c>
      <c r="DT40" s="17" t="e">
        <f>-53.07 + (304.89 * (DS40)) + (90.79 *(Crescimento!#REF!-Crescimento!#REF!)) - (3.13 * (Crescimento!#REF!-Crescimento!#REF!)^2)</f>
        <v>#REF!</v>
      </c>
      <c r="DV40" s="16" t="e">
        <f>((DW39+(Crescimento!#REF!-(DW39*0.64))/0.8)/1000)-Crescimento!#REF!</f>
        <v>#REF!</v>
      </c>
      <c r="DW40" s="17" t="e">
        <f>-53.07 + (304.89 * (DV40)) + (90.79 *(Crescimento!#REF!-Crescimento!#REF!)) - (3.13 * (Crescimento!#REF!-Crescimento!#REF!)^2)</f>
        <v>#REF!</v>
      </c>
      <c r="DY40" s="16" t="e">
        <f>((DZ39+(Crescimento!#REF!-(DZ39*0.64))/0.8)/1000)-Crescimento!#REF!</f>
        <v>#REF!</v>
      </c>
      <c r="DZ40" s="17" t="e">
        <f>-53.07 + (304.89 * (DY40)) + (90.79 *(Crescimento!#REF!-Crescimento!#REF!)) - (3.13 * (Crescimento!#REF!-Crescimento!#REF!)^2)</f>
        <v>#REF!</v>
      </c>
      <c r="EB40" s="16" t="e">
        <f>((EC39+(Crescimento!#REF!-(EC39*0.64))/0.8)/1000)-Crescimento!#REF!</f>
        <v>#REF!</v>
      </c>
      <c r="EC40" s="17" t="e">
        <f>-53.07 + (304.89 * (EB40)) + (90.79 *(Crescimento!#REF!-Crescimento!#REF!)) - (3.13 * (Crescimento!#REF!-Crescimento!#REF!)^2)</f>
        <v>#REF!</v>
      </c>
      <c r="EE40" s="16" t="e">
        <f>((EF39+(Crescimento!#REF!-(EF39*0.64))/0.8)/1000)-Crescimento!#REF!</f>
        <v>#REF!</v>
      </c>
      <c r="EF40" s="17" t="e">
        <f>-53.07 + (304.89 * (EE40)) + (90.79 *(Crescimento!#REF!-Crescimento!#REF!)) - (3.13 * (Crescimento!#REF!-Crescimento!#REF!)^2)</f>
        <v>#REF!</v>
      </c>
      <c r="EH40" s="16" t="e">
        <f>((EI39+(Crescimento!#REF!-(EI39*0.64))/0.8)/1000)-Crescimento!#REF!</f>
        <v>#REF!</v>
      </c>
      <c r="EI40" s="17" t="e">
        <f>-53.07 + (304.89 * (EH40)) + (90.79 *(Crescimento!#REF!-Crescimento!#REF!)) - (3.13 * (Crescimento!#REF!-Crescimento!#REF!)^2)</f>
        <v>#REF!</v>
      </c>
      <c r="EK40" s="16" t="e">
        <f>((EL39+(Crescimento!#REF!-(EL39*0.64))/0.8)/1000)-Crescimento!#REF!</f>
        <v>#REF!</v>
      </c>
      <c r="EL40" s="17" t="e">
        <f>-53.07 + (304.89 * (EK40)) + (90.79 *(Crescimento!#REF!-Crescimento!#REF!)) - (3.13 * (Crescimento!#REF!-Crescimento!#REF!)^2)</f>
        <v>#REF!</v>
      </c>
      <c r="EN40" s="16" t="e">
        <f>((EO39+(Crescimento!#REF!-(EO39*0.64))/0.8)/1000)-Crescimento!#REF!</f>
        <v>#REF!</v>
      </c>
      <c r="EO40" s="17" t="e">
        <f>-53.07 + (304.89 * (EN40)) + (90.79 *(Crescimento!#REF!-Crescimento!#REF!)) - (3.13 * (Crescimento!#REF!-Crescimento!#REF!)^2)</f>
        <v>#REF!</v>
      </c>
      <c r="EQ40" s="16" t="e">
        <f>((ER39+(Crescimento!#REF!-(ER39*0.64))/0.8)/1000)-Crescimento!#REF!</f>
        <v>#REF!</v>
      </c>
      <c r="ER40" s="17" t="e">
        <f>-53.07 + (304.89 * (EQ40)) + (90.79 *(Crescimento!#REF!-Crescimento!#REF!)) - (3.13 * (Crescimento!#REF!-Crescimento!#REF!)^2)</f>
        <v>#REF!</v>
      </c>
      <c r="ET40" s="16" t="e">
        <f>((EU39+(Crescimento!#REF!-(EU39*0.64))/0.8)/1000)-Crescimento!#REF!</f>
        <v>#REF!</v>
      </c>
      <c r="EU40" s="17" t="e">
        <f>-53.07 + (304.89 * (ET40)) + (90.79 *(Crescimento!#REF!-Crescimento!#REF!)) - (3.13 * (Crescimento!#REF!-Crescimento!#REF!)^2)</f>
        <v>#REF!</v>
      </c>
      <c r="EW40" s="16" t="e">
        <f>((EX39+('Vacas e Bezerros'!#REF!-(EX39*0.64))/0.8)/1000)-'Vacas e Bezerros'!#REF!</f>
        <v>#REF!</v>
      </c>
      <c r="EX40" s="17" t="e">
        <f>-53.07 + (304.89 * (EW40)) + (90.79 *('Vacas e Bezerros'!#REF!-'Vacas e Bezerros'!#REF!)) - (3.13 * ('Vacas e Bezerros'!#REF!-'Vacas e Bezerros'!#REF!)^2)</f>
        <v>#REF!</v>
      </c>
      <c r="EZ40" s="16" t="e">
        <f>((FA39+('Vacas e Bezerros'!#REF!-(FA39*0.64))/0.8)/1000)-'Vacas e Bezerros'!#REF!</f>
        <v>#REF!</v>
      </c>
      <c r="FA40" s="17" t="e">
        <f>-53.07 + (304.89 * (EZ40)) + (90.79 *('Vacas e Bezerros'!#REF!-'Vacas e Bezerros'!#REF!)) - (3.13 * ('Vacas e Bezerros'!#REF!-'Vacas e Bezerros'!#REF!)^2)</f>
        <v>#REF!</v>
      </c>
      <c r="FC40" s="16" t="e">
        <f>((FD39+('Vacas e Bezerros'!#REF!-(FD39*0.64))/0.8)/1000)-'Vacas e Bezerros'!#REF!</f>
        <v>#REF!</v>
      </c>
      <c r="FD40" s="17" t="e">
        <f>-53.07 + (304.89 * (FC40)) + (90.79 *('Vacas e Bezerros'!#REF!-'Vacas e Bezerros'!#REF!)) - (3.13 * ('Vacas e Bezerros'!#REF!-'Vacas e Bezerros'!#REF!)^2)</f>
        <v>#REF!</v>
      </c>
      <c r="FF40" s="16" t="e">
        <f>((FG39+('Vacas e Bezerros'!#REF!-(FG39*0.64))/0.8)/1000)-'Vacas e Bezerros'!#REF!</f>
        <v>#REF!</v>
      </c>
      <c r="FG40" s="17" t="e">
        <f>-53.07 + (304.89 * (FF40)) + (90.79 *('Vacas e Bezerros'!#REF!-'Vacas e Bezerros'!#REF!)) - (3.13 * ('Vacas e Bezerros'!#REF!-'Vacas e Bezerros'!#REF!)^2)</f>
        <v>#REF!</v>
      </c>
      <c r="FI40" s="16" t="e">
        <f>((FJ39+('Vacas e Bezerros'!#REF!-(FJ39*0.64))/0.8)/1000)-'Vacas e Bezerros'!#REF!</f>
        <v>#REF!</v>
      </c>
      <c r="FJ40" s="17" t="e">
        <f>-53.07 + (304.89 * (FI40)) + (90.79 *('Vacas e Bezerros'!#REF!-'Vacas e Bezerros'!#REF!)) - (3.13 * ('Vacas e Bezerros'!#REF!-'Vacas e Bezerros'!#REF!)^2)</f>
        <v>#REF!</v>
      </c>
      <c r="FL40" s="16" t="e">
        <f>((FM39+('Vacas e Bezerros'!#REF!-(FM39*0.64))/0.8)/1000)-'Vacas e Bezerros'!#REF!</f>
        <v>#REF!</v>
      </c>
      <c r="FM40" s="17" t="e">
        <f>-53.07 + (304.89 * (FL40)) + (90.79 *('Vacas e Bezerros'!#REF!-'Vacas e Bezerros'!#REF!)) - (3.13 * ('Vacas e Bezerros'!#REF!-'Vacas e Bezerros'!#REF!)^2)</f>
        <v>#REF!</v>
      </c>
      <c r="FO40" s="16" t="e">
        <f>((FP39+('Vacas e Bezerros'!#REF!-(FP39*0.64))/0.8)/1000)-'Vacas e Bezerros'!#REF!</f>
        <v>#REF!</v>
      </c>
      <c r="FP40" s="17" t="e">
        <f>-53.07 + (304.89 * (FO40)) + (90.79 *('Vacas e Bezerros'!#REF!-'Vacas e Bezerros'!#REF!)) - (3.13 * ('Vacas e Bezerros'!#REF!-'Vacas e Bezerros'!#REF!)^2)</f>
        <v>#REF!</v>
      </c>
      <c r="FR40" s="16" t="e">
        <f>((FS39+('Vacas e Bezerros'!#REF!-(FS39*0.64))/0.8)/1000)-'Vacas e Bezerros'!#REF!</f>
        <v>#REF!</v>
      </c>
      <c r="FS40" s="17" t="e">
        <f>-53.07 + (304.89 * (FR40)) + (90.79 *('Vacas e Bezerros'!#REF!-'Vacas e Bezerros'!#REF!)) - (3.13 * ('Vacas e Bezerros'!#REF!-'Vacas e Bezerros'!#REF!)^2)</f>
        <v>#REF!</v>
      </c>
      <c r="FU40" s="16" t="e">
        <f>((FV39+('Vacas e Bezerros'!#REF!-(FV39*0.64))/0.8)/1000)-'Vacas e Bezerros'!#REF!</f>
        <v>#REF!</v>
      </c>
      <c r="FV40" s="17" t="e">
        <f>-53.07 + (304.89 * (FU40)) + (90.79 *('Vacas e Bezerros'!#REF!-'Vacas e Bezerros'!#REF!)) - (3.13 * ('Vacas e Bezerros'!#REF!-'Vacas e Bezerros'!#REF!)^2)</f>
        <v>#REF!</v>
      </c>
      <c r="FX40" s="16" t="e">
        <f>((FY39+('Vacas e Bezerros'!#REF!-(FY39*0.64))/0.8)/1000)-'Vacas e Bezerros'!#REF!</f>
        <v>#REF!</v>
      </c>
      <c r="FY40" s="17" t="e">
        <f>-53.07 + (304.89 * (FX40)) + (90.79 *('Vacas e Bezerros'!#REF!-'Vacas e Bezerros'!#REF!)) - (3.13 * ('Vacas e Bezerros'!#REF!-'Vacas e Bezerros'!#REF!)^2)</f>
        <v>#REF!</v>
      </c>
      <c r="GA40" s="16" t="e">
        <f>((GB39+('Vacas e Bezerros'!#REF!-(GB39*0.64))/0.8)/1000)-'Vacas e Bezerros'!#REF!</f>
        <v>#REF!</v>
      </c>
      <c r="GB40" s="17" t="e">
        <f>-53.07 + (304.89 * (GA40)) + (90.79 *('Vacas e Bezerros'!#REF!-'Vacas e Bezerros'!#REF!)) - (3.13 * ('Vacas e Bezerros'!#REF!-'Vacas e Bezerros'!#REF!)^2)</f>
        <v>#REF!</v>
      </c>
      <c r="GD40" s="16" t="e">
        <f>((GE39+('Vacas e Bezerros'!#REF!-(GE39*0.64))/0.8)/1000)-'Vacas e Bezerros'!#REF!</f>
        <v>#REF!</v>
      </c>
      <c r="GE40" s="17" t="e">
        <f>-53.07 + (304.89 * (GD40)) + (90.79 *('Vacas e Bezerros'!#REF!-'Vacas e Bezerros'!#REF!)) - (3.13 * ('Vacas e Bezerros'!#REF!-'Vacas e Bezerros'!#REF!)^2)</f>
        <v>#REF!</v>
      </c>
      <c r="GG40" s="16" t="e">
        <f>((GH39+('Vacas e Bezerros'!#REF!-(GH39*0.64))/0.8)/1000)-'Vacas e Bezerros'!#REF!</f>
        <v>#REF!</v>
      </c>
      <c r="GH40" s="17" t="e">
        <f>-53.07 + (304.89 * (GG40)) + (90.79 *('Vacas e Bezerros'!#REF!-'Vacas e Bezerros'!#REF!)) - (3.13 * ('Vacas e Bezerros'!#REF!-'Vacas e Bezerros'!#REF!)^2)</f>
        <v>#REF!</v>
      </c>
      <c r="GJ40" s="16" t="e">
        <f>((GK39+('Vacas e Bezerros'!#REF!-(GK39*0.64))/0.8)/1000)-'Vacas e Bezerros'!#REF!</f>
        <v>#REF!</v>
      </c>
      <c r="GK40" s="17" t="e">
        <f>-53.07 + (304.89 * (GJ40)) + (90.79 *('Vacas e Bezerros'!#REF!-'Vacas e Bezerros'!#REF!)) - (3.13 * ('Vacas e Bezerros'!#REF!-'Vacas e Bezerros'!#REF!)^2)</f>
        <v>#REF!</v>
      </c>
      <c r="GM40" s="16" t="e">
        <f>((GN39+('Vacas e Bezerros'!#REF!-(GN39*0.64))/0.8)/1000)-'Vacas e Bezerros'!#REF!</f>
        <v>#REF!</v>
      </c>
      <c r="GN40" s="17" t="e">
        <f>-53.07 + (304.89 * (GM40)) + (90.79 *('Vacas e Bezerros'!#REF!-'Vacas e Bezerros'!#REF!)) - (3.13 * ('Vacas e Bezerros'!#REF!-'Vacas e Bezerros'!#REF!)^2)</f>
        <v>#REF!</v>
      </c>
    </row>
    <row r="41" spans="3:196" x14ac:dyDescent="0.25">
      <c r="C41" s="16">
        <f>(D40+('Vacas e Bezerros'!$AA$28-(D40*0.64))/0.8)/1000</f>
        <v>0.35719668016155687</v>
      </c>
      <c r="D41" s="17">
        <f>-53.07 + (304.89 * (C41-'Vacas e Bezerros'!$C$206)) + (90.79 *('Vacas e Bezerros'!$AA$22)) - (3.13 *('Vacas e Bezerros'!$AA$22)^2)</f>
        <v>165.01876457544017</v>
      </c>
      <c r="F41" s="16" t="e">
        <f>(G40+(Crescimento!#REF!-(G40*0.64))/0.8)/1000</f>
        <v>#REF!</v>
      </c>
      <c r="G41" s="17" t="e">
        <f>-53.07 + (304.89 * (F41)) + (90.79 *Crescimento!#REF!) - (3.13 * Crescimento!#REF!*Crescimento!#REF!)</f>
        <v>#REF!</v>
      </c>
      <c r="H41" s="1"/>
      <c r="I41" s="16" t="e">
        <f>(J40+(Crescimento!#REF!-(J40*0.64))/0.8)/1000</f>
        <v>#REF!</v>
      </c>
      <c r="J41" s="17" t="e">
        <f>-53.07 + (304.89 * (I41)) + (90.79 *Crescimento!#REF!) - (3.13 * Crescimento!#REF!*Crescimento!#REF!)</f>
        <v>#REF!</v>
      </c>
      <c r="L41" s="16" t="e">
        <f>(M40+(Crescimento!#REF!-(M40*0.64))/0.8)/1000</f>
        <v>#REF!</v>
      </c>
      <c r="M41" s="17" t="e">
        <f>-53.07 + (304.89 * (L41)) + (90.79 *Crescimento!#REF!) - (3.13 * Crescimento!#REF!*Crescimento!#REF!)</f>
        <v>#REF!</v>
      </c>
      <c r="O41" s="16" t="e">
        <f>(P40+(Crescimento!#REF!-(P40*0.64))/0.8)/1000</f>
        <v>#REF!</v>
      </c>
      <c r="P41" s="17" t="e">
        <f>-53.07 + (304.89 * (O41)) + (90.79 *Crescimento!#REF!) - (3.13 * Crescimento!#REF!*Crescimento!#REF!)</f>
        <v>#REF!</v>
      </c>
      <c r="R41" s="16" t="e">
        <f>(S40+(Crescimento!#REF!-(S40*0.64))/0.8)/1000</f>
        <v>#REF!</v>
      </c>
      <c r="S41" s="17" t="e">
        <f>-53.07 + (304.89 * (R41)) + (90.79 *Crescimento!#REF!) - (3.13 * Crescimento!#REF!*Crescimento!#REF!)</f>
        <v>#REF!</v>
      </c>
      <c r="U41" s="16" t="e">
        <f>(V40+(Crescimento!#REF!-(V40*0.64))/0.8)/1000</f>
        <v>#REF!</v>
      </c>
      <c r="V41" s="17" t="e">
        <f>-53.07 + (304.89 * (U41)) + (90.79 *Crescimento!#REF!) - (3.13 * Crescimento!#REF!*Crescimento!#REF!)</f>
        <v>#REF!</v>
      </c>
      <c r="X41" s="16" t="e">
        <f>(Y40+(Crescimento!#REF!-(Y40*0.64))/0.8)/1000</f>
        <v>#REF!</v>
      </c>
      <c r="Y41" s="17" t="e">
        <f>-53.07 + (304.89 * (X41)) + (90.79 *Crescimento!#REF!) - (3.13 * Crescimento!#REF!*Crescimento!#REF!)</f>
        <v>#REF!</v>
      </c>
      <c r="Z41" s="6"/>
      <c r="AA41" s="16" t="e">
        <f>(AB40+(Crescimento!#REF!-(AB40*0.64))/0.8)/1000</f>
        <v>#REF!</v>
      </c>
      <c r="AB41" s="17" t="e">
        <f>-53.07 + (304.89 * (AA41)) + (90.79 *Crescimento!#REF!) - (3.13 * Crescimento!#REF!*Crescimento!#REF!)</f>
        <v>#REF!</v>
      </c>
      <c r="AC41" s="6"/>
      <c r="AD41" s="16" t="e">
        <f>(AE40+(Crescimento!#REF!-(AE40*0.64))/0.8)/1000</f>
        <v>#REF!</v>
      </c>
      <c r="AE41" s="17" t="e">
        <f>-53.07 + (304.89 * (AD41)) + (90.79 *Crescimento!#REF!) - (3.13 * Crescimento!#REF!*Crescimento!#REF!)</f>
        <v>#REF!</v>
      </c>
      <c r="AF41" s="17"/>
      <c r="AG41" s="16" t="e">
        <f>(AH40+(Crescimento!#REF!-(AH40*0.64))/0.8)/1000</f>
        <v>#REF!</v>
      </c>
      <c r="AH41" s="17" t="e">
        <f>-53.07 + (304.89 * (AG41)) + (90.79 *Crescimento!#REF!) - (3.13 * Crescimento!#REF!*Crescimento!#REF!)</f>
        <v>#REF!</v>
      </c>
      <c r="AJ41" s="16" t="e">
        <f>(AK40+(Crescimento!#REF!-(AK40*0.64))/0.8)/1000</f>
        <v>#REF!</v>
      </c>
      <c r="AK41" s="17" t="e">
        <f>-53.07 + (304.89 * (AJ41)) + (90.79 *Crescimento!#REF!) - (3.13 * Crescimento!#REF!*Crescimento!#REF!)</f>
        <v>#REF!</v>
      </c>
      <c r="AM41" s="16" t="e">
        <f>(AN40+(Crescimento!#REF!-(AN40*0.64))/0.8)/1000</f>
        <v>#REF!</v>
      </c>
      <c r="AN41" s="17" t="e">
        <f>-53.07 + (304.89 * (AM41)) + (90.79 *Crescimento!#REF!) - (3.13 * Crescimento!#REF!*Crescimento!#REF!)</f>
        <v>#REF!</v>
      </c>
      <c r="AP41" s="16" t="e">
        <f>(AQ40+(Crescimento!#REF!-(AQ40*0.64))/0.8)/1000</f>
        <v>#REF!</v>
      </c>
      <c r="AQ41" s="17" t="e">
        <f>-53.07 + (304.89 * (AP41)) + (90.79 *Crescimento!#REF!) - (3.13 * Crescimento!#REF!*Crescimento!#REF!)</f>
        <v>#REF!</v>
      </c>
      <c r="AS41" s="16" t="e">
        <f>(AT40+(Crescimento!#REF!-(AT40*0.64))/0.8)/1000</f>
        <v>#REF!</v>
      </c>
      <c r="AT41" s="17" t="e">
        <f>-53.07 + (304.89 * (AS41)) + (90.79 *Crescimento!#REF!) - (3.13 * Crescimento!#REF!*Crescimento!#REF!)</f>
        <v>#REF!</v>
      </c>
      <c r="AV41" s="16" t="e">
        <f>(AW40+(Crescimento!#REF!-(AW40*0.64))/0.8)/1000</f>
        <v>#REF!</v>
      </c>
      <c r="AW41" s="17" t="e">
        <f>-53.07 + (304.89 * (AV41)) + (90.79 *Crescimento!#REF!) - (3.13 * Crescimento!#REF!*Crescimento!#REF!)</f>
        <v>#REF!</v>
      </c>
      <c r="AY41" s="21" t="e">
        <f>((AZ40+(Crescimento!#REF!-(AZ40*0.64))/0.8)/1000)-Crescimento!#REF!</f>
        <v>#REF!</v>
      </c>
      <c r="AZ41" s="22" t="e">
        <f>-53.07 + (304.89 * (AY41)) + (90.79 *(Crescimento!#REF!-Crescimento!#REF!)) - (3.13 * (Crescimento!#REF!-Crescimento!#REF!)^2)</f>
        <v>#REF!</v>
      </c>
      <c r="BA41" s="23"/>
      <c r="BB41" s="21" t="e">
        <f>((BC40+(Crescimento!#REF!-(BC40*0.64))/0.8)/1000)-Crescimento!#REF!</f>
        <v>#REF!</v>
      </c>
      <c r="BC41" s="22" t="e">
        <f>-53.07 + (304.89 * (BB41)) + (90.79 *(Crescimento!#REF!-Crescimento!#REF!)) - (3.13 * (Crescimento!#REF!-Crescimento!#REF!)^2)</f>
        <v>#REF!</v>
      </c>
      <c r="BD41" s="23"/>
      <c r="BE41" s="21" t="e">
        <f>((BF40+(Crescimento!#REF!-(BF40*0.64))/0.8)/1000)-Crescimento!#REF!</f>
        <v>#REF!</v>
      </c>
      <c r="BF41" s="22" t="e">
        <f>-53.07 + (304.89 * (BE41)) + (90.79 *(Crescimento!#REF!-Crescimento!#REF!)) - (3.13 * (Crescimento!#REF!-Crescimento!#REF!)^2)</f>
        <v>#REF!</v>
      </c>
      <c r="BG41" s="23"/>
      <c r="BH41" s="21" t="e">
        <f>((BI40+(Crescimento!#REF!-(BI40*0.64))/0.8)/1000)-Crescimento!#REF!</f>
        <v>#REF!</v>
      </c>
      <c r="BI41" s="22" t="e">
        <f>-53.07 + (304.89 * (BH41)) + (90.79 *(Crescimento!#REF!-Crescimento!#REF!)) - (3.13 * (Crescimento!#REF!-Crescimento!#REF!)^2)</f>
        <v>#REF!</v>
      </c>
      <c r="BJ41" s="23"/>
      <c r="BK41" s="21" t="e">
        <f>((BL40+(Crescimento!#REF!-(BL40*0.64))/0.8)/1000)-Crescimento!#REF!</f>
        <v>#REF!</v>
      </c>
      <c r="BL41" s="22" t="e">
        <f>-53.07 + (304.89 * (BK41)) + (90.79 *(Crescimento!#REF!-Crescimento!#REF!)) - (3.13 * (Crescimento!#REF!-Crescimento!#REF!)^2)</f>
        <v>#REF!</v>
      </c>
      <c r="BM41" s="23"/>
      <c r="BN41" s="21" t="e">
        <f>((BO40+(Crescimento!#REF!-(BO40*0.64))/0.8)/1000)-Crescimento!#REF!</f>
        <v>#REF!</v>
      </c>
      <c r="BO41" s="22" t="e">
        <f>-53.07 + (304.89 * (BN41)) + (90.79 *(Crescimento!#REF!-Crescimento!#REF!)) - (3.13 * (Crescimento!#REF!-Crescimento!#REF!)^2)</f>
        <v>#REF!</v>
      </c>
      <c r="BP41" s="23"/>
      <c r="BQ41" s="21" t="e">
        <f>((BR40+(Crescimento!#REF!-(BR40*0.64))/0.8)/1000)-Crescimento!#REF!</f>
        <v>#REF!</v>
      </c>
      <c r="BR41" s="22" t="e">
        <f>-53.07 + (304.89 * (BQ41)) + (90.79 *(Crescimento!#REF!-Crescimento!#REF!)) - (3.13 * (Crescimento!#REF!-Crescimento!#REF!)^2)</f>
        <v>#REF!</v>
      </c>
      <c r="BS41" s="23"/>
      <c r="BT41" s="21" t="e">
        <f>((BU40+(Crescimento!#REF!-(BU40*0.64))/0.8)/1000)-Crescimento!#REF!</f>
        <v>#REF!</v>
      </c>
      <c r="BU41" s="22" t="e">
        <f>-53.07 + (304.89 * (BT41)) + (90.79 *(Crescimento!#REF!-Crescimento!#REF!)) - (3.13 * (Crescimento!#REF!-Crescimento!#REF!)^2)</f>
        <v>#REF!</v>
      </c>
      <c r="BV41" s="23"/>
      <c r="BW41" s="21" t="e">
        <f>((BX40+(Crescimento!#REF!-(BX40*0.64))/0.8)/1000)-Crescimento!#REF!</f>
        <v>#REF!</v>
      </c>
      <c r="BX41" s="22" t="e">
        <f>-53.07 + (304.89 * (BW41)) + (90.79 *(Crescimento!#REF!-Crescimento!#REF!)) - (3.13 * (Crescimento!#REF!-Crescimento!#REF!)^2)</f>
        <v>#REF!</v>
      </c>
      <c r="BY41" s="23"/>
      <c r="BZ41" s="21" t="e">
        <f>((CA40+(Crescimento!#REF!-(CA40*0.64))/0.8)/1000)-Crescimento!#REF!</f>
        <v>#REF!</v>
      </c>
      <c r="CA41" s="22" t="e">
        <f>-53.07 + (304.89 * (BZ41)) + (90.79 *(Crescimento!#REF!-Crescimento!#REF!)) - (3.13 * (Crescimento!#REF!-Crescimento!#REF!)^2)</f>
        <v>#REF!</v>
      </c>
      <c r="CB41" s="23"/>
      <c r="CC41" s="21" t="e">
        <f>((CD40+(Crescimento!#REF!-(CD40*0.64))/0.8)/1000)-Crescimento!#REF!</f>
        <v>#REF!</v>
      </c>
      <c r="CD41" s="22" t="e">
        <f>-53.07 + (304.89 * (CC41)) + (90.79 *(Crescimento!#REF!-Crescimento!#REF!)) - (3.13 * (Crescimento!#REF!-Crescimento!#REF!)^2)</f>
        <v>#REF!</v>
      </c>
      <c r="CE41" s="23"/>
      <c r="CF41" s="21" t="e">
        <f>((CG40+(Crescimento!#REF!-(CG40*0.64))/0.8)/1000)-Crescimento!#REF!</f>
        <v>#REF!</v>
      </c>
      <c r="CG41" s="22" t="e">
        <f>-53.07 + (304.89 * (CF41)) + (90.79 *(Crescimento!#REF!-Crescimento!#REF!)) - (3.13 * (Crescimento!#REF!-Crescimento!#REF!)^2)</f>
        <v>#REF!</v>
      </c>
      <c r="CH41" s="23"/>
      <c r="CI41" s="21" t="e">
        <f>((CJ40+(Crescimento!#REF!-(CJ40*0.64))/0.8)/1000)-Crescimento!#REF!</f>
        <v>#REF!</v>
      </c>
      <c r="CJ41" s="22" t="e">
        <f>-53.07 + (304.89 * (CI41)) + (90.79 *(Crescimento!#REF!-Crescimento!#REF!)) - (3.13 * (Crescimento!#REF!-Crescimento!#REF!)^2)</f>
        <v>#REF!</v>
      </c>
      <c r="CK41" s="23"/>
      <c r="CL41" s="21" t="e">
        <f>((CM40+(Crescimento!#REF!-(CM40*0.64))/0.8)/1000)-Crescimento!#REF!</f>
        <v>#REF!</v>
      </c>
      <c r="CM41" s="22" t="e">
        <f>-53.07 + (304.89 * (CL41)) + (90.79 *(Crescimento!#REF!-Crescimento!#REF!)) - (3.13 * (Crescimento!#REF!-Crescimento!#REF!)^2)</f>
        <v>#REF!</v>
      </c>
      <c r="CN41" s="23"/>
      <c r="CO41" s="21" t="e">
        <f>((CP40+(Crescimento!#REF!-(CP40*0.64))/0.8)/1000)-Crescimento!#REF!</f>
        <v>#REF!</v>
      </c>
      <c r="CP41" s="22" t="e">
        <f>-53.07 + (304.89 * (CO41)) + (90.79 *(Crescimento!#REF!-Crescimento!#REF!)) - (3.13 * (Crescimento!#REF!-Crescimento!#REF!)^2)</f>
        <v>#REF!</v>
      </c>
      <c r="CQ41" s="23"/>
      <c r="CR41" s="21" t="e">
        <f>((CS40+(Crescimento!#REF!-(CS40*0.64))/0.8)/1000)-Crescimento!#REF!</f>
        <v>#REF!</v>
      </c>
      <c r="CS41" s="22" t="e">
        <f>-53.07 + (304.89 * (CR41)) + (90.79 *(Crescimento!#REF!-Crescimento!#REF!)) - (3.13 * (Crescimento!#REF!-Crescimento!#REF!)^2)</f>
        <v>#REF!</v>
      </c>
      <c r="CX41" s="16" t="e">
        <f>((CY40+(Crescimento!#REF!-(CY40*0.64))/0.8)/1000)-Crescimento!#REF!</f>
        <v>#REF!</v>
      </c>
      <c r="CY41" s="17" t="e">
        <f>-53.07 + (304.89 * (CX41)) + (90.79 *(Crescimento!#REF!-Crescimento!#REF!)) - (3.13 * (Crescimento!#REF!-Crescimento!#REF!)^2)</f>
        <v>#REF!</v>
      </c>
      <c r="DA41" s="16" t="e">
        <f>((DB40+(Crescimento!#REF!-(DB40*0.64))/0.8)/1000)-Crescimento!#REF!</f>
        <v>#REF!</v>
      </c>
      <c r="DB41" s="17" t="e">
        <f>-53.07 + (304.89 * (DA41)) + (90.79 *(Crescimento!#REF!-Crescimento!#REF!)) - (3.13 * (Crescimento!#REF!-Crescimento!#REF!)^2)</f>
        <v>#REF!</v>
      </c>
      <c r="DD41" s="16" t="e">
        <f>(DE40+(Crescimento!#REF!-(DE40*0.64))/0.8)/1000</f>
        <v>#REF!</v>
      </c>
      <c r="DE41" s="17" t="e">
        <f>-53.07 + (304.89 * (DD41)) + (90.79 *Crescimento!#REF!) - (3.13 * Crescimento!#REF!*Crescimento!#REF!)</f>
        <v>#REF!</v>
      </c>
      <c r="DG41" s="16" t="e">
        <f>((DH40+(Crescimento!#REF!-(DH40*0.64))/0.8)/1000)-Crescimento!#REF!</f>
        <v>#REF!</v>
      </c>
      <c r="DH41" s="17" t="e">
        <f>-53.07 + (304.89 * (DG41)) + (90.79 *(Crescimento!#REF!-Crescimento!#REF!)) - (3.13 * (Crescimento!#REF!-Crescimento!#REF!)^2)</f>
        <v>#REF!</v>
      </c>
      <c r="DJ41" s="16" t="e">
        <f>((DK40+(Crescimento!#REF!-(DK40*0.64))/0.8)/1000)-Crescimento!#REF!</f>
        <v>#REF!</v>
      </c>
      <c r="DK41" s="17" t="e">
        <f>-53.07 + (304.89 * (DJ41)) + (90.79 *(Crescimento!#REF!-Crescimento!#REF!)) - (3.13 * (Crescimento!#REF!-Crescimento!#REF!)^2)</f>
        <v>#REF!</v>
      </c>
      <c r="DM41" s="16" t="e">
        <f>((DN40+(Crescimento!#REF!-(DN40*0.64))/0.8)/1000)-Crescimento!#REF!</f>
        <v>#REF!</v>
      </c>
      <c r="DN41" s="17" t="e">
        <f>-53.07 + (304.89 * (DM41)) + (90.79 *(Crescimento!#REF!-Crescimento!#REF!)) - (3.13 * (Crescimento!#REF!-Crescimento!#REF!)^2)</f>
        <v>#REF!</v>
      </c>
      <c r="DP41" s="16" t="e">
        <f>(DQ40+(Crescimento!#REF!-(DQ40*0.64))/0.8)/1000</f>
        <v>#REF!</v>
      </c>
      <c r="DQ41" s="17" t="e">
        <f>-53.07 + (304.89 * (DP41)) + (90.79 *(Crescimento!#REF!-Crescimento!#REF!)) - (3.13 * (Crescimento!#REF!-Crescimento!#REF!)^2)</f>
        <v>#REF!</v>
      </c>
      <c r="DS41" s="16" t="e">
        <f>((DT40+(Crescimento!#REF!-(DT40*0.64))/0.8)/1000)-Crescimento!#REF!</f>
        <v>#REF!</v>
      </c>
      <c r="DT41" s="17" t="e">
        <f>-53.07 + (304.89 * (DS41)) + (90.79 *(Crescimento!#REF!-Crescimento!#REF!)) - (3.13 * (Crescimento!#REF!-Crescimento!#REF!)^2)</f>
        <v>#REF!</v>
      </c>
      <c r="DV41" s="16" t="e">
        <f>((DW40+(Crescimento!#REF!-(DW40*0.64))/0.8)/1000)-Crescimento!#REF!</f>
        <v>#REF!</v>
      </c>
      <c r="DW41" s="17" t="e">
        <f>-53.07 + (304.89 * (DV41)) + (90.79 *(Crescimento!#REF!-Crescimento!#REF!)) - (3.13 * (Crescimento!#REF!-Crescimento!#REF!)^2)</f>
        <v>#REF!</v>
      </c>
      <c r="DY41" s="16" t="e">
        <f>((DZ40+(Crescimento!#REF!-(DZ40*0.64))/0.8)/1000)-Crescimento!#REF!</f>
        <v>#REF!</v>
      </c>
      <c r="DZ41" s="17" t="e">
        <f>-53.07 + (304.89 * (DY41)) + (90.79 *(Crescimento!#REF!-Crescimento!#REF!)) - (3.13 * (Crescimento!#REF!-Crescimento!#REF!)^2)</f>
        <v>#REF!</v>
      </c>
      <c r="EB41" s="16" t="e">
        <f>((EC40+(Crescimento!#REF!-(EC40*0.64))/0.8)/1000)-Crescimento!#REF!</f>
        <v>#REF!</v>
      </c>
      <c r="EC41" s="17" t="e">
        <f>-53.07 + (304.89 * (EB41)) + (90.79 *(Crescimento!#REF!-Crescimento!#REF!)) - (3.13 * (Crescimento!#REF!-Crescimento!#REF!)^2)</f>
        <v>#REF!</v>
      </c>
      <c r="EE41" s="16" t="e">
        <f>((EF40+(Crescimento!#REF!-(EF40*0.64))/0.8)/1000)-Crescimento!#REF!</f>
        <v>#REF!</v>
      </c>
      <c r="EF41" s="17" t="e">
        <f>-53.07 + (304.89 * (EE41)) + (90.79 *(Crescimento!#REF!-Crescimento!#REF!)) - (3.13 * (Crescimento!#REF!-Crescimento!#REF!)^2)</f>
        <v>#REF!</v>
      </c>
      <c r="EH41" s="16" t="e">
        <f>((EI40+(Crescimento!#REF!-(EI40*0.64))/0.8)/1000)-Crescimento!#REF!</f>
        <v>#REF!</v>
      </c>
      <c r="EI41" s="17" t="e">
        <f>-53.07 + (304.89 * (EH41)) + (90.79 *(Crescimento!#REF!-Crescimento!#REF!)) - (3.13 * (Crescimento!#REF!-Crescimento!#REF!)^2)</f>
        <v>#REF!</v>
      </c>
      <c r="EK41" s="16" t="e">
        <f>((EL40+(Crescimento!#REF!-(EL40*0.64))/0.8)/1000)-Crescimento!#REF!</f>
        <v>#REF!</v>
      </c>
      <c r="EL41" s="17" t="e">
        <f>-53.07 + (304.89 * (EK41)) + (90.79 *(Crescimento!#REF!-Crescimento!#REF!)) - (3.13 * (Crescimento!#REF!-Crescimento!#REF!)^2)</f>
        <v>#REF!</v>
      </c>
      <c r="EN41" s="16" t="e">
        <f>((EO40+(Crescimento!#REF!-(EO40*0.64))/0.8)/1000)-Crescimento!#REF!</f>
        <v>#REF!</v>
      </c>
      <c r="EO41" s="17" t="e">
        <f>-53.07 + (304.89 * (EN41)) + (90.79 *(Crescimento!#REF!-Crescimento!#REF!)) - (3.13 * (Crescimento!#REF!-Crescimento!#REF!)^2)</f>
        <v>#REF!</v>
      </c>
      <c r="EQ41" s="16" t="e">
        <f>((ER40+(Crescimento!#REF!-(ER40*0.64))/0.8)/1000)-Crescimento!#REF!</f>
        <v>#REF!</v>
      </c>
      <c r="ER41" s="17" t="e">
        <f>-53.07 + (304.89 * (EQ41)) + (90.79 *(Crescimento!#REF!-Crescimento!#REF!)) - (3.13 * (Crescimento!#REF!-Crescimento!#REF!)^2)</f>
        <v>#REF!</v>
      </c>
      <c r="ET41" s="16" t="e">
        <f>((EU40+(Crescimento!#REF!-(EU40*0.64))/0.8)/1000)-Crescimento!#REF!</f>
        <v>#REF!</v>
      </c>
      <c r="EU41" s="17" t="e">
        <f>-53.07 + (304.89 * (ET41)) + (90.79 *(Crescimento!#REF!-Crescimento!#REF!)) - (3.13 * (Crescimento!#REF!-Crescimento!#REF!)^2)</f>
        <v>#REF!</v>
      </c>
      <c r="EW41" s="16" t="e">
        <f>((EX40+('Vacas e Bezerros'!#REF!-(EX40*0.64))/0.8)/1000)-'Vacas e Bezerros'!#REF!</f>
        <v>#REF!</v>
      </c>
      <c r="EX41" s="17" t="e">
        <f>-53.07 + (304.89 * (EW41)) + (90.79 *('Vacas e Bezerros'!#REF!-'Vacas e Bezerros'!#REF!)) - (3.13 * ('Vacas e Bezerros'!#REF!-'Vacas e Bezerros'!#REF!)^2)</f>
        <v>#REF!</v>
      </c>
      <c r="EZ41" s="16" t="e">
        <f>((FA40+('Vacas e Bezerros'!#REF!-(FA40*0.64))/0.8)/1000)-'Vacas e Bezerros'!#REF!</f>
        <v>#REF!</v>
      </c>
      <c r="FA41" s="17" t="e">
        <f>-53.07 + (304.89 * (EZ41)) + (90.79 *('Vacas e Bezerros'!#REF!-'Vacas e Bezerros'!#REF!)) - (3.13 * ('Vacas e Bezerros'!#REF!-'Vacas e Bezerros'!#REF!)^2)</f>
        <v>#REF!</v>
      </c>
      <c r="FC41" s="16" t="e">
        <f>((FD40+('Vacas e Bezerros'!#REF!-(FD40*0.64))/0.8)/1000)-'Vacas e Bezerros'!#REF!</f>
        <v>#REF!</v>
      </c>
      <c r="FD41" s="17" t="e">
        <f>-53.07 + (304.89 * (FC41)) + (90.79 *('Vacas e Bezerros'!#REF!-'Vacas e Bezerros'!#REF!)) - (3.13 * ('Vacas e Bezerros'!#REF!-'Vacas e Bezerros'!#REF!)^2)</f>
        <v>#REF!</v>
      </c>
      <c r="FF41" s="16" t="e">
        <f>((FG40+('Vacas e Bezerros'!#REF!-(FG40*0.64))/0.8)/1000)-'Vacas e Bezerros'!#REF!</f>
        <v>#REF!</v>
      </c>
      <c r="FG41" s="17" t="e">
        <f>-53.07 + (304.89 * (FF41)) + (90.79 *('Vacas e Bezerros'!#REF!-'Vacas e Bezerros'!#REF!)) - (3.13 * ('Vacas e Bezerros'!#REF!-'Vacas e Bezerros'!#REF!)^2)</f>
        <v>#REF!</v>
      </c>
      <c r="FI41" s="16" t="e">
        <f>((FJ40+('Vacas e Bezerros'!#REF!-(FJ40*0.64))/0.8)/1000)-'Vacas e Bezerros'!#REF!</f>
        <v>#REF!</v>
      </c>
      <c r="FJ41" s="17" t="e">
        <f>-53.07 + (304.89 * (FI41)) + (90.79 *('Vacas e Bezerros'!#REF!-'Vacas e Bezerros'!#REF!)) - (3.13 * ('Vacas e Bezerros'!#REF!-'Vacas e Bezerros'!#REF!)^2)</f>
        <v>#REF!</v>
      </c>
      <c r="FL41" s="16" t="e">
        <f>((FM40+('Vacas e Bezerros'!#REF!-(FM40*0.64))/0.8)/1000)-'Vacas e Bezerros'!#REF!</f>
        <v>#REF!</v>
      </c>
      <c r="FM41" s="17" t="e">
        <f>-53.07 + (304.89 * (FL41)) + (90.79 *('Vacas e Bezerros'!#REF!-'Vacas e Bezerros'!#REF!)) - (3.13 * ('Vacas e Bezerros'!#REF!-'Vacas e Bezerros'!#REF!)^2)</f>
        <v>#REF!</v>
      </c>
      <c r="FO41" s="16" t="e">
        <f>((FP40+('Vacas e Bezerros'!#REF!-(FP40*0.64))/0.8)/1000)-'Vacas e Bezerros'!#REF!</f>
        <v>#REF!</v>
      </c>
      <c r="FP41" s="17" t="e">
        <f>-53.07 + (304.89 * (FO41)) + (90.79 *('Vacas e Bezerros'!#REF!-'Vacas e Bezerros'!#REF!)) - (3.13 * ('Vacas e Bezerros'!#REF!-'Vacas e Bezerros'!#REF!)^2)</f>
        <v>#REF!</v>
      </c>
      <c r="FR41" s="16" t="e">
        <f>((FS40+('Vacas e Bezerros'!#REF!-(FS40*0.64))/0.8)/1000)-'Vacas e Bezerros'!#REF!</f>
        <v>#REF!</v>
      </c>
      <c r="FS41" s="17" t="e">
        <f>-53.07 + (304.89 * (FR41)) + (90.79 *('Vacas e Bezerros'!#REF!-'Vacas e Bezerros'!#REF!)) - (3.13 * ('Vacas e Bezerros'!#REF!-'Vacas e Bezerros'!#REF!)^2)</f>
        <v>#REF!</v>
      </c>
      <c r="FU41" s="16" t="e">
        <f>((FV40+('Vacas e Bezerros'!#REF!-(FV40*0.64))/0.8)/1000)-'Vacas e Bezerros'!#REF!</f>
        <v>#REF!</v>
      </c>
      <c r="FV41" s="17" t="e">
        <f>-53.07 + (304.89 * (FU41)) + (90.79 *('Vacas e Bezerros'!#REF!-'Vacas e Bezerros'!#REF!)) - (3.13 * ('Vacas e Bezerros'!#REF!-'Vacas e Bezerros'!#REF!)^2)</f>
        <v>#REF!</v>
      </c>
      <c r="FX41" s="16" t="e">
        <f>((FY40+('Vacas e Bezerros'!#REF!-(FY40*0.64))/0.8)/1000)-'Vacas e Bezerros'!#REF!</f>
        <v>#REF!</v>
      </c>
      <c r="FY41" s="17" t="e">
        <f>-53.07 + (304.89 * (FX41)) + (90.79 *('Vacas e Bezerros'!#REF!-'Vacas e Bezerros'!#REF!)) - (3.13 * ('Vacas e Bezerros'!#REF!-'Vacas e Bezerros'!#REF!)^2)</f>
        <v>#REF!</v>
      </c>
      <c r="GA41" s="16" t="e">
        <f>((GB40+('Vacas e Bezerros'!#REF!-(GB40*0.64))/0.8)/1000)-'Vacas e Bezerros'!#REF!</f>
        <v>#REF!</v>
      </c>
      <c r="GB41" s="17" t="e">
        <f>-53.07 + (304.89 * (GA41)) + (90.79 *('Vacas e Bezerros'!#REF!-'Vacas e Bezerros'!#REF!)) - (3.13 * ('Vacas e Bezerros'!#REF!-'Vacas e Bezerros'!#REF!)^2)</f>
        <v>#REF!</v>
      </c>
      <c r="GD41" s="16" t="e">
        <f>((GE40+('Vacas e Bezerros'!#REF!-(GE40*0.64))/0.8)/1000)-'Vacas e Bezerros'!#REF!</f>
        <v>#REF!</v>
      </c>
      <c r="GE41" s="17" t="e">
        <f>-53.07 + (304.89 * (GD41)) + (90.79 *('Vacas e Bezerros'!#REF!-'Vacas e Bezerros'!#REF!)) - (3.13 * ('Vacas e Bezerros'!#REF!-'Vacas e Bezerros'!#REF!)^2)</f>
        <v>#REF!</v>
      </c>
      <c r="GG41" s="16" t="e">
        <f>((GH40+('Vacas e Bezerros'!#REF!-(GH40*0.64))/0.8)/1000)-'Vacas e Bezerros'!#REF!</f>
        <v>#REF!</v>
      </c>
      <c r="GH41" s="17" t="e">
        <f>-53.07 + (304.89 * (GG41)) + (90.79 *('Vacas e Bezerros'!#REF!-'Vacas e Bezerros'!#REF!)) - (3.13 * ('Vacas e Bezerros'!#REF!-'Vacas e Bezerros'!#REF!)^2)</f>
        <v>#REF!</v>
      </c>
      <c r="GJ41" s="16" t="e">
        <f>((GK40+('Vacas e Bezerros'!#REF!-(GK40*0.64))/0.8)/1000)-'Vacas e Bezerros'!#REF!</f>
        <v>#REF!</v>
      </c>
      <c r="GK41" s="17" t="e">
        <f>-53.07 + (304.89 * (GJ41)) + (90.79 *('Vacas e Bezerros'!#REF!-'Vacas e Bezerros'!#REF!)) - (3.13 * ('Vacas e Bezerros'!#REF!-'Vacas e Bezerros'!#REF!)^2)</f>
        <v>#REF!</v>
      </c>
      <c r="GM41" s="16" t="e">
        <f>((GN40+('Vacas e Bezerros'!#REF!-(GN40*0.64))/0.8)/1000)-'Vacas e Bezerros'!#REF!</f>
        <v>#REF!</v>
      </c>
      <c r="GN41" s="17" t="e">
        <f>-53.07 + (304.89 * (GM41)) + (90.79 *('Vacas e Bezerros'!#REF!-'Vacas e Bezerros'!#REF!)) - (3.13 * ('Vacas e Bezerros'!#REF!-'Vacas e Bezerros'!#REF!)^2)</f>
        <v>#REF!</v>
      </c>
    </row>
    <row r="42" spans="3:196" x14ac:dyDescent="0.25">
      <c r="C42" s="16">
        <f>(D41+('Vacas e Bezerros'!$AA$28-(D41*0.64))/0.8)/1000</f>
        <v>0.35719668016155687</v>
      </c>
      <c r="D42" s="17">
        <f>-53.07 + (304.89 * (C42-'Vacas e Bezerros'!$C$206)) + (90.79 *('Vacas e Bezerros'!$AA$22)) - (3.13 *('Vacas e Bezerros'!$AA$22)^2)</f>
        <v>165.01876457544017</v>
      </c>
      <c r="F42" s="16" t="e">
        <f>(G41+(Crescimento!#REF!-(G41*0.64))/0.8)/1000</f>
        <v>#REF!</v>
      </c>
      <c r="G42" s="17" t="e">
        <f>-53.07 + (304.89 * (F42)) + (90.79 *Crescimento!#REF!) - (3.13 * Crescimento!#REF!*Crescimento!#REF!)</f>
        <v>#REF!</v>
      </c>
      <c r="H42" s="1"/>
      <c r="I42" s="16" t="e">
        <f>(J41+(Crescimento!#REF!-(J41*0.64))/0.8)/1000</f>
        <v>#REF!</v>
      </c>
      <c r="J42" s="17" t="e">
        <f>-53.07 + (304.89 * (I42)) + (90.79 *Crescimento!#REF!) - (3.13 * Crescimento!#REF!*Crescimento!#REF!)</f>
        <v>#REF!</v>
      </c>
      <c r="L42" s="16" t="e">
        <f>(M41+(Crescimento!#REF!-(M41*0.64))/0.8)/1000</f>
        <v>#REF!</v>
      </c>
      <c r="M42" s="17" t="e">
        <f>-53.07 + (304.89 * (L42)) + (90.79 *Crescimento!#REF!) - (3.13 * Crescimento!#REF!*Crescimento!#REF!)</f>
        <v>#REF!</v>
      </c>
      <c r="O42" s="16" t="e">
        <f>(P41+(Crescimento!#REF!-(P41*0.64))/0.8)/1000</f>
        <v>#REF!</v>
      </c>
      <c r="P42" s="17" t="e">
        <f>-53.07 + (304.89 * (O42)) + (90.79 *Crescimento!#REF!) - (3.13 * Crescimento!#REF!*Crescimento!#REF!)</f>
        <v>#REF!</v>
      </c>
      <c r="R42" s="16" t="e">
        <f>(S41+(Crescimento!#REF!-(S41*0.64))/0.8)/1000</f>
        <v>#REF!</v>
      </c>
      <c r="S42" s="17" t="e">
        <f>-53.07 + (304.89 * (R42)) + (90.79 *Crescimento!#REF!) - (3.13 * Crescimento!#REF!*Crescimento!#REF!)</f>
        <v>#REF!</v>
      </c>
      <c r="U42" s="16" t="e">
        <f>(V41+(Crescimento!#REF!-(V41*0.64))/0.8)/1000</f>
        <v>#REF!</v>
      </c>
      <c r="V42" s="17" t="e">
        <f>-53.07 + (304.89 * (U42)) + (90.79 *Crescimento!#REF!) - (3.13 * Crescimento!#REF!*Crescimento!#REF!)</f>
        <v>#REF!</v>
      </c>
      <c r="X42" s="16" t="e">
        <f>(Y41+(Crescimento!#REF!-(Y41*0.64))/0.8)/1000</f>
        <v>#REF!</v>
      </c>
      <c r="Y42" s="17" t="e">
        <f>-53.07 + (304.89 * (X42)) + (90.79 *Crescimento!#REF!) - (3.13 * Crescimento!#REF!*Crescimento!#REF!)</f>
        <v>#REF!</v>
      </c>
      <c r="Z42" s="6"/>
      <c r="AA42" s="16" t="e">
        <f>(AB41+(Crescimento!#REF!-(AB41*0.64))/0.8)/1000</f>
        <v>#REF!</v>
      </c>
      <c r="AB42" s="17" t="e">
        <f>-53.07 + (304.89 * (AA42)) + (90.79 *Crescimento!#REF!) - (3.13 * Crescimento!#REF!*Crescimento!#REF!)</f>
        <v>#REF!</v>
      </c>
      <c r="AC42" s="6"/>
      <c r="AD42" s="16" t="e">
        <f>(AE41+(Crescimento!#REF!-(AE41*0.64))/0.8)/1000</f>
        <v>#REF!</v>
      </c>
      <c r="AE42" s="17" t="e">
        <f>-53.07 + (304.89 * (AD42)) + (90.79 *Crescimento!#REF!) - (3.13 * Crescimento!#REF!*Crescimento!#REF!)</f>
        <v>#REF!</v>
      </c>
      <c r="AF42" s="17"/>
      <c r="AG42" s="16" t="e">
        <f>(AH41+(Crescimento!#REF!-(AH41*0.64))/0.8)/1000</f>
        <v>#REF!</v>
      </c>
      <c r="AH42" s="17" t="e">
        <f>-53.07 + (304.89 * (AG42)) + (90.79 *Crescimento!#REF!) - (3.13 * Crescimento!#REF!*Crescimento!#REF!)</f>
        <v>#REF!</v>
      </c>
      <c r="AJ42" s="16" t="e">
        <f>(AK41+(Crescimento!#REF!-(AK41*0.64))/0.8)/1000</f>
        <v>#REF!</v>
      </c>
      <c r="AK42" s="17" t="e">
        <f>-53.07 + (304.89 * (AJ42)) + (90.79 *Crescimento!#REF!) - (3.13 * Crescimento!#REF!*Crescimento!#REF!)</f>
        <v>#REF!</v>
      </c>
      <c r="AM42" s="16" t="e">
        <f>(AN41+(Crescimento!#REF!-(AN41*0.64))/0.8)/1000</f>
        <v>#REF!</v>
      </c>
      <c r="AN42" s="17" t="e">
        <f>-53.07 + (304.89 * (AM42)) + (90.79 *Crescimento!#REF!) - (3.13 * Crescimento!#REF!*Crescimento!#REF!)</f>
        <v>#REF!</v>
      </c>
      <c r="AP42" s="16" t="e">
        <f>(AQ41+(Crescimento!#REF!-(AQ41*0.64))/0.8)/1000</f>
        <v>#REF!</v>
      </c>
      <c r="AQ42" s="17" t="e">
        <f>-53.07 + (304.89 * (AP42)) + (90.79 *Crescimento!#REF!) - (3.13 * Crescimento!#REF!*Crescimento!#REF!)</f>
        <v>#REF!</v>
      </c>
      <c r="AS42" s="16" t="e">
        <f>(AT41+(Crescimento!#REF!-(AT41*0.64))/0.8)/1000</f>
        <v>#REF!</v>
      </c>
      <c r="AT42" s="17" t="e">
        <f>-53.07 + (304.89 * (AS42)) + (90.79 *Crescimento!#REF!) - (3.13 * Crescimento!#REF!*Crescimento!#REF!)</f>
        <v>#REF!</v>
      </c>
      <c r="AV42" s="16" t="e">
        <f>(AW41+(Crescimento!#REF!-(AW41*0.64))/0.8)/1000</f>
        <v>#REF!</v>
      </c>
      <c r="AW42" s="17" t="e">
        <f>-53.07 + (304.89 * (AV42)) + (90.79 *Crescimento!#REF!) - (3.13 * Crescimento!#REF!*Crescimento!#REF!)</f>
        <v>#REF!</v>
      </c>
      <c r="AY42" s="21" t="e">
        <f>((AZ41+(Crescimento!#REF!-(AZ41*0.64))/0.8)/1000)-Crescimento!#REF!</f>
        <v>#REF!</v>
      </c>
      <c r="AZ42" s="22" t="e">
        <f>-53.07 + (304.89 * (AY42)) + (90.79 *(Crescimento!#REF!-Crescimento!#REF!)) - (3.13 * (Crescimento!#REF!-Crescimento!#REF!)^2)</f>
        <v>#REF!</v>
      </c>
      <c r="BA42" s="23"/>
      <c r="BB42" s="21" t="e">
        <f>((BC41+(Crescimento!#REF!-(BC41*0.64))/0.8)/1000)-Crescimento!#REF!</f>
        <v>#REF!</v>
      </c>
      <c r="BC42" s="22" t="e">
        <f>-53.07 + (304.89 * (BB42)) + (90.79 *(Crescimento!#REF!-Crescimento!#REF!)) - (3.13 * (Crescimento!#REF!-Crescimento!#REF!)^2)</f>
        <v>#REF!</v>
      </c>
      <c r="BD42" s="23"/>
      <c r="BE42" s="21" t="e">
        <f>((BF41+(Crescimento!#REF!-(BF41*0.64))/0.8)/1000)-Crescimento!#REF!</f>
        <v>#REF!</v>
      </c>
      <c r="BF42" s="22" t="e">
        <f>-53.07 + (304.89 * (BE42)) + (90.79 *(Crescimento!#REF!-Crescimento!#REF!)) - (3.13 * (Crescimento!#REF!-Crescimento!#REF!)^2)</f>
        <v>#REF!</v>
      </c>
      <c r="BG42" s="23"/>
      <c r="BH42" s="21" t="e">
        <f>((BI41+(Crescimento!#REF!-(BI41*0.64))/0.8)/1000)-Crescimento!#REF!</f>
        <v>#REF!</v>
      </c>
      <c r="BI42" s="22" t="e">
        <f>-53.07 + (304.89 * (BH42)) + (90.79 *(Crescimento!#REF!-Crescimento!#REF!)) - (3.13 * (Crescimento!#REF!-Crescimento!#REF!)^2)</f>
        <v>#REF!</v>
      </c>
      <c r="BJ42" s="23"/>
      <c r="BK42" s="21" t="e">
        <f>((BL41+(Crescimento!#REF!-(BL41*0.64))/0.8)/1000)-Crescimento!#REF!</f>
        <v>#REF!</v>
      </c>
      <c r="BL42" s="22" t="e">
        <f>-53.07 + (304.89 * (BK42)) + (90.79 *(Crescimento!#REF!-Crescimento!#REF!)) - (3.13 * (Crescimento!#REF!-Crescimento!#REF!)^2)</f>
        <v>#REF!</v>
      </c>
      <c r="BM42" s="23"/>
      <c r="BN42" s="21" t="e">
        <f>((BO41+(Crescimento!#REF!-(BO41*0.64))/0.8)/1000)-Crescimento!#REF!</f>
        <v>#REF!</v>
      </c>
      <c r="BO42" s="22" t="e">
        <f>-53.07 + (304.89 * (BN42)) + (90.79 *(Crescimento!#REF!-Crescimento!#REF!)) - (3.13 * (Crescimento!#REF!-Crescimento!#REF!)^2)</f>
        <v>#REF!</v>
      </c>
      <c r="BP42" s="23"/>
      <c r="BQ42" s="21" t="e">
        <f>((BR41+(Crescimento!#REF!-(BR41*0.64))/0.8)/1000)-Crescimento!#REF!</f>
        <v>#REF!</v>
      </c>
      <c r="BR42" s="22" t="e">
        <f>-53.07 + (304.89 * (BQ42)) + (90.79 *(Crescimento!#REF!-Crescimento!#REF!)) - (3.13 * (Crescimento!#REF!-Crescimento!#REF!)^2)</f>
        <v>#REF!</v>
      </c>
      <c r="BS42" s="23"/>
      <c r="BT42" s="21" t="e">
        <f>((BU41+(Crescimento!#REF!-(BU41*0.64))/0.8)/1000)-Crescimento!#REF!</f>
        <v>#REF!</v>
      </c>
      <c r="BU42" s="22" t="e">
        <f>-53.07 + (304.89 * (BT42)) + (90.79 *(Crescimento!#REF!-Crescimento!#REF!)) - (3.13 * (Crescimento!#REF!-Crescimento!#REF!)^2)</f>
        <v>#REF!</v>
      </c>
      <c r="BV42" s="23"/>
      <c r="BW42" s="21" t="e">
        <f>((BX41+(Crescimento!#REF!-(BX41*0.64))/0.8)/1000)-Crescimento!#REF!</f>
        <v>#REF!</v>
      </c>
      <c r="BX42" s="22" t="e">
        <f>-53.07 + (304.89 * (BW42)) + (90.79 *(Crescimento!#REF!-Crescimento!#REF!)) - (3.13 * (Crescimento!#REF!-Crescimento!#REF!)^2)</f>
        <v>#REF!</v>
      </c>
      <c r="BY42" s="23"/>
      <c r="BZ42" s="21" t="e">
        <f>((CA41+(Crescimento!#REF!-(CA41*0.64))/0.8)/1000)-Crescimento!#REF!</f>
        <v>#REF!</v>
      </c>
      <c r="CA42" s="22" t="e">
        <f>-53.07 + (304.89 * (BZ42)) + (90.79 *(Crescimento!#REF!-Crescimento!#REF!)) - (3.13 * (Crescimento!#REF!-Crescimento!#REF!)^2)</f>
        <v>#REF!</v>
      </c>
      <c r="CB42" s="23"/>
      <c r="CC42" s="21" t="e">
        <f>((CD41+(Crescimento!#REF!-(CD41*0.64))/0.8)/1000)-Crescimento!#REF!</f>
        <v>#REF!</v>
      </c>
      <c r="CD42" s="22" t="e">
        <f>-53.07 + (304.89 * (CC42)) + (90.79 *(Crescimento!#REF!-Crescimento!#REF!)) - (3.13 * (Crescimento!#REF!-Crescimento!#REF!)^2)</f>
        <v>#REF!</v>
      </c>
      <c r="CE42" s="23"/>
      <c r="CF42" s="21" t="e">
        <f>((CG41+(Crescimento!#REF!-(CG41*0.64))/0.8)/1000)-Crescimento!#REF!</f>
        <v>#REF!</v>
      </c>
      <c r="CG42" s="22" t="e">
        <f>-53.07 + (304.89 * (CF42)) + (90.79 *(Crescimento!#REF!-Crescimento!#REF!)) - (3.13 * (Crescimento!#REF!-Crescimento!#REF!)^2)</f>
        <v>#REF!</v>
      </c>
      <c r="CH42" s="23"/>
      <c r="CI42" s="21" t="e">
        <f>((CJ41+(Crescimento!#REF!-(CJ41*0.64))/0.8)/1000)-Crescimento!#REF!</f>
        <v>#REF!</v>
      </c>
      <c r="CJ42" s="22" t="e">
        <f>-53.07 + (304.89 * (CI42)) + (90.79 *(Crescimento!#REF!-Crescimento!#REF!)) - (3.13 * (Crescimento!#REF!-Crescimento!#REF!)^2)</f>
        <v>#REF!</v>
      </c>
      <c r="CK42" s="23"/>
      <c r="CL42" s="21" t="e">
        <f>((CM41+(Crescimento!#REF!-(CM41*0.64))/0.8)/1000)-Crescimento!#REF!</f>
        <v>#REF!</v>
      </c>
      <c r="CM42" s="22" t="e">
        <f>-53.07 + (304.89 * (CL42)) + (90.79 *(Crescimento!#REF!-Crescimento!#REF!)) - (3.13 * (Crescimento!#REF!-Crescimento!#REF!)^2)</f>
        <v>#REF!</v>
      </c>
      <c r="CN42" s="23"/>
      <c r="CO42" s="21" t="e">
        <f>((CP41+(Crescimento!#REF!-(CP41*0.64))/0.8)/1000)-Crescimento!#REF!</f>
        <v>#REF!</v>
      </c>
      <c r="CP42" s="22" t="e">
        <f>-53.07 + (304.89 * (CO42)) + (90.79 *(Crescimento!#REF!-Crescimento!#REF!)) - (3.13 * (Crescimento!#REF!-Crescimento!#REF!)^2)</f>
        <v>#REF!</v>
      </c>
      <c r="CQ42" s="23"/>
      <c r="CR42" s="21" t="e">
        <f>((CS41+(Crescimento!#REF!-(CS41*0.64))/0.8)/1000)-Crescimento!#REF!</f>
        <v>#REF!</v>
      </c>
      <c r="CS42" s="22" t="e">
        <f>-53.07 + (304.89 * (CR42)) + (90.79 *(Crescimento!#REF!-Crescimento!#REF!)) - (3.13 * (Crescimento!#REF!-Crescimento!#REF!)^2)</f>
        <v>#REF!</v>
      </c>
      <c r="CX42" s="16" t="e">
        <f>((CY41+(Crescimento!#REF!-(CY41*0.64))/0.8)/1000)-Crescimento!#REF!</f>
        <v>#REF!</v>
      </c>
      <c r="CY42" s="17" t="e">
        <f>-53.07 + (304.89 * (CX42)) + (90.79 *(Crescimento!#REF!-Crescimento!#REF!)) - (3.13 * (Crescimento!#REF!-Crescimento!#REF!)^2)</f>
        <v>#REF!</v>
      </c>
      <c r="DA42" s="16" t="e">
        <f>((DB41+(Crescimento!#REF!-(DB41*0.64))/0.8)/1000)-Crescimento!#REF!</f>
        <v>#REF!</v>
      </c>
      <c r="DB42" s="17" t="e">
        <f>-53.07 + (304.89 * (DA42)) + (90.79 *(Crescimento!#REF!-Crescimento!#REF!)) - (3.13 * (Crescimento!#REF!-Crescimento!#REF!)^2)</f>
        <v>#REF!</v>
      </c>
      <c r="DD42" s="16" t="e">
        <f>(DE41+(Crescimento!#REF!-(DE41*0.64))/0.8)/1000</f>
        <v>#REF!</v>
      </c>
      <c r="DE42" s="17" t="e">
        <f>-53.07 + (304.89 * (DD42)) + (90.79 *Crescimento!#REF!) - (3.13 * Crescimento!#REF!*Crescimento!#REF!)</f>
        <v>#REF!</v>
      </c>
      <c r="DG42" s="16" t="e">
        <f>((DH41+(Crescimento!#REF!-(DH41*0.64))/0.8)/1000)-Crescimento!#REF!</f>
        <v>#REF!</v>
      </c>
      <c r="DH42" s="17" t="e">
        <f>-53.07 + (304.89 * (DG42)) + (90.79 *(Crescimento!#REF!-Crescimento!#REF!)) - (3.13 * (Crescimento!#REF!-Crescimento!#REF!)^2)</f>
        <v>#REF!</v>
      </c>
      <c r="DJ42" s="16" t="e">
        <f>((DK41+(Crescimento!#REF!-(DK41*0.64))/0.8)/1000)-Crescimento!#REF!</f>
        <v>#REF!</v>
      </c>
      <c r="DK42" s="17" t="e">
        <f>-53.07 + (304.89 * (DJ42)) + (90.79 *(Crescimento!#REF!-Crescimento!#REF!)) - (3.13 * (Crescimento!#REF!-Crescimento!#REF!)^2)</f>
        <v>#REF!</v>
      </c>
      <c r="DM42" s="16" t="e">
        <f>((DN41+(Crescimento!#REF!-(DN41*0.64))/0.8)/1000)-Crescimento!#REF!</f>
        <v>#REF!</v>
      </c>
      <c r="DN42" s="17" t="e">
        <f>-53.07 + (304.89 * (DM42)) + (90.79 *(Crescimento!#REF!-Crescimento!#REF!)) - (3.13 * (Crescimento!#REF!-Crescimento!#REF!)^2)</f>
        <v>#REF!</v>
      </c>
      <c r="DP42" s="16" t="e">
        <f>(DQ41+(Crescimento!#REF!-(DQ41*0.64))/0.8)/1000</f>
        <v>#REF!</v>
      </c>
      <c r="DQ42" s="17" t="e">
        <f>-53.07 + (304.89 * (DP42)) + (90.79 *(Crescimento!#REF!-Crescimento!#REF!)) - (3.13 * (Crescimento!#REF!-Crescimento!#REF!)^2)</f>
        <v>#REF!</v>
      </c>
      <c r="DS42" s="16" t="e">
        <f>((DT41+(Crescimento!#REF!-(DT41*0.64))/0.8)/1000)-Crescimento!#REF!</f>
        <v>#REF!</v>
      </c>
      <c r="DT42" s="17" t="e">
        <f>-53.07 + (304.89 * (DS42)) + (90.79 *(Crescimento!#REF!-Crescimento!#REF!)) - (3.13 * (Crescimento!#REF!-Crescimento!#REF!)^2)</f>
        <v>#REF!</v>
      </c>
      <c r="DV42" s="16" t="e">
        <f>((DW41+(Crescimento!#REF!-(DW41*0.64))/0.8)/1000)-Crescimento!#REF!</f>
        <v>#REF!</v>
      </c>
      <c r="DW42" s="17" t="e">
        <f>-53.07 + (304.89 * (DV42)) + (90.79 *(Crescimento!#REF!-Crescimento!#REF!)) - (3.13 * (Crescimento!#REF!-Crescimento!#REF!)^2)</f>
        <v>#REF!</v>
      </c>
      <c r="DY42" s="16" t="e">
        <f>((DZ41+(Crescimento!#REF!-(DZ41*0.64))/0.8)/1000)-Crescimento!#REF!</f>
        <v>#REF!</v>
      </c>
      <c r="DZ42" s="17" t="e">
        <f>-53.07 + (304.89 * (DY42)) + (90.79 *(Crescimento!#REF!-Crescimento!#REF!)) - (3.13 * (Crescimento!#REF!-Crescimento!#REF!)^2)</f>
        <v>#REF!</v>
      </c>
      <c r="EB42" s="16" t="e">
        <f>((EC41+(Crescimento!#REF!-(EC41*0.64))/0.8)/1000)-Crescimento!#REF!</f>
        <v>#REF!</v>
      </c>
      <c r="EC42" s="17" t="e">
        <f>-53.07 + (304.89 * (EB42)) + (90.79 *(Crescimento!#REF!-Crescimento!#REF!)) - (3.13 * (Crescimento!#REF!-Crescimento!#REF!)^2)</f>
        <v>#REF!</v>
      </c>
      <c r="EE42" s="16" t="e">
        <f>((EF41+(Crescimento!#REF!-(EF41*0.64))/0.8)/1000)-Crescimento!#REF!</f>
        <v>#REF!</v>
      </c>
      <c r="EF42" s="17" t="e">
        <f>-53.07 + (304.89 * (EE42)) + (90.79 *(Crescimento!#REF!-Crescimento!#REF!)) - (3.13 * (Crescimento!#REF!-Crescimento!#REF!)^2)</f>
        <v>#REF!</v>
      </c>
      <c r="EH42" s="16" t="e">
        <f>((EI41+(Crescimento!#REF!-(EI41*0.64))/0.8)/1000)-Crescimento!#REF!</f>
        <v>#REF!</v>
      </c>
      <c r="EI42" s="17" t="e">
        <f>-53.07 + (304.89 * (EH42)) + (90.79 *(Crescimento!#REF!-Crescimento!#REF!)) - (3.13 * (Crescimento!#REF!-Crescimento!#REF!)^2)</f>
        <v>#REF!</v>
      </c>
      <c r="EK42" s="16" t="e">
        <f>((EL41+(Crescimento!#REF!-(EL41*0.64))/0.8)/1000)-Crescimento!#REF!</f>
        <v>#REF!</v>
      </c>
      <c r="EL42" s="17" t="e">
        <f>-53.07 + (304.89 * (EK42)) + (90.79 *(Crescimento!#REF!-Crescimento!#REF!)) - (3.13 * (Crescimento!#REF!-Crescimento!#REF!)^2)</f>
        <v>#REF!</v>
      </c>
      <c r="EN42" s="16" t="e">
        <f>((EO41+(Crescimento!#REF!-(EO41*0.64))/0.8)/1000)-Crescimento!#REF!</f>
        <v>#REF!</v>
      </c>
      <c r="EO42" s="17" t="e">
        <f>-53.07 + (304.89 * (EN42)) + (90.79 *(Crescimento!#REF!-Crescimento!#REF!)) - (3.13 * (Crescimento!#REF!-Crescimento!#REF!)^2)</f>
        <v>#REF!</v>
      </c>
      <c r="EQ42" s="16" t="e">
        <f>((ER41+(Crescimento!#REF!-(ER41*0.64))/0.8)/1000)-Crescimento!#REF!</f>
        <v>#REF!</v>
      </c>
      <c r="ER42" s="17" t="e">
        <f>-53.07 + (304.89 * (EQ42)) + (90.79 *(Crescimento!#REF!-Crescimento!#REF!)) - (3.13 * (Crescimento!#REF!-Crescimento!#REF!)^2)</f>
        <v>#REF!</v>
      </c>
      <c r="ET42" s="16" t="e">
        <f>((EU41+(Crescimento!#REF!-(EU41*0.64))/0.8)/1000)-Crescimento!#REF!</f>
        <v>#REF!</v>
      </c>
      <c r="EU42" s="17" t="e">
        <f>-53.07 + (304.89 * (ET42)) + (90.79 *(Crescimento!#REF!-Crescimento!#REF!)) - (3.13 * (Crescimento!#REF!-Crescimento!#REF!)^2)</f>
        <v>#REF!</v>
      </c>
      <c r="EW42" s="16" t="e">
        <f>((EX41+('Vacas e Bezerros'!#REF!-(EX41*0.64))/0.8)/1000)-'Vacas e Bezerros'!#REF!</f>
        <v>#REF!</v>
      </c>
      <c r="EX42" s="17" t="e">
        <f>-53.07 + (304.89 * (EW42)) + (90.79 *('Vacas e Bezerros'!#REF!-'Vacas e Bezerros'!#REF!)) - (3.13 * ('Vacas e Bezerros'!#REF!-'Vacas e Bezerros'!#REF!)^2)</f>
        <v>#REF!</v>
      </c>
      <c r="EZ42" s="16" t="e">
        <f>((FA41+('Vacas e Bezerros'!#REF!-(FA41*0.64))/0.8)/1000)-'Vacas e Bezerros'!#REF!</f>
        <v>#REF!</v>
      </c>
      <c r="FA42" s="17" t="e">
        <f>-53.07 + (304.89 * (EZ42)) + (90.79 *('Vacas e Bezerros'!#REF!-'Vacas e Bezerros'!#REF!)) - (3.13 * ('Vacas e Bezerros'!#REF!-'Vacas e Bezerros'!#REF!)^2)</f>
        <v>#REF!</v>
      </c>
      <c r="FC42" s="16" t="e">
        <f>((FD41+('Vacas e Bezerros'!#REF!-(FD41*0.64))/0.8)/1000)-'Vacas e Bezerros'!#REF!</f>
        <v>#REF!</v>
      </c>
      <c r="FD42" s="17" t="e">
        <f>-53.07 + (304.89 * (FC42)) + (90.79 *('Vacas e Bezerros'!#REF!-'Vacas e Bezerros'!#REF!)) - (3.13 * ('Vacas e Bezerros'!#REF!-'Vacas e Bezerros'!#REF!)^2)</f>
        <v>#REF!</v>
      </c>
      <c r="FF42" s="16" t="e">
        <f>((FG41+('Vacas e Bezerros'!#REF!-(FG41*0.64))/0.8)/1000)-'Vacas e Bezerros'!#REF!</f>
        <v>#REF!</v>
      </c>
      <c r="FG42" s="17" t="e">
        <f>-53.07 + (304.89 * (FF42)) + (90.79 *('Vacas e Bezerros'!#REF!-'Vacas e Bezerros'!#REF!)) - (3.13 * ('Vacas e Bezerros'!#REF!-'Vacas e Bezerros'!#REF!)^2)</f>
        <v>#REF!</v>
      </c>
      <c r="FI42" s="16" t="e">
        <f>((FJ41+('Vacas e Bezerros'!#REF!-(FJ41*0.64))/0.8)/1000)-'Vacas e Bezerros'!#REF!</f>
        <v>#REF!</v>
      </c>
      <c r="FJ42" s="17" t="e">
        <f>-53.07 + (304.89 * (FI42)) + (90.79 *('Vacas e Bezerros'!#REF!-'Vacas e Bezerros'!#REF!)) - (3.13 * ('Vacas e Bezerros'!#REF!-'Vacas e Bezerros'!#REF!)^2)</f>
        <v>#REF!</v>
      </c>
      <c r="FL42" s="16" t="e">
        <f>((FM41+('Vacas e Bezerros'!#REF!-(FM41*0.64))/0.8)/1000)-'Vacas e Bezerros'!#REF!</f>
        <v>#REF!</v>
      </c>
      <c r="FM42" s="17" t="e">
        <f>-53.07 + (304.89 * (FL42)) + (90.79 *('Vacas e Bezerros'!#REF!-'Vacas e Bezerros'!#REF!)) - (3.13 * ('Vacas e Bezerros'!#REF!-'Vacas e Bezerros'!#REF!)^2)</f>
        <v>#REF!</v>
      </c>
      <c r="FO42" s="16" t="e">
        <f>((FP41+('Vacas e Bezerros'!#REF!-(FP41*0.64))/0.8)/1000)-'Vacas e Bezerros'!#REF!</f>
        <v>#REF!</v>
      </c>
      <c r="FP42" s="17" t="e">
        <f>-53.07 + (304.89 * (FO42)) + (90.79 *('Vacas e Bezerros'!#REF!-'Vacas e Bezerros'!#REF!)) - (3.13 * ('Vacas e Bezerros'!#REF!-'Vacas e Bezerros'!#REF!)^2)</f>
        <v>#REF!</v>
      </c>
      <c r="FR42" s="16" t="e">
        <f>((FS41+('Vacas e Bezerros'!#REF!-(FS41*0.64))/0.8)/1000)-'Vacas e Bezerros'!#REF!</f>
        <v>#REF!</v>
      </c>
      <c r="FS42" s="17" t="e">
        <f>-53.07 + (304.89 * (FR42)) + (90.79 *('Vacas e Bezerros'!#REF!-'Vacas e Bezerros'!#REF!)) - (3.13 * ('Vacas e Bezerros'!#REF!-'Vacas e Bezerros'!#REF!)^2)</f>
        <v>#REF!</v>
      </c>
      <c r="FU42" s="16" t="e">
        <f>((FV41+('Vacas e Bezerros'!#REF!-(FV41*0.64))/0.8)/1000)-'Vacas e Bezerros'!#REF!</f>
        <v>#REF!</v>
      </c>
      <c r="FV42" s="17" t="e">
        <f>-53.07 + (304.89 * (FU42)) + (90.79 *('Vacas e Bezerros'!#REF!-'Vacas e Bezerros'!#REF!)) - (3.13 * ('Vacas e Bezerros'!#REF!-'Vacas e Bezerros'!#REF!)^2)</f>
        <v>#REF!</v>
      </c>
      <c r="FX42" s="16" t="e">
        <f>((FY41+('Vacas e Bezerros'!#REF!-(FY41*0.64))/0.8)/1000)-'Vacas e Bezerros'!#REF!</f>
        <v>#REF!</v>
      </c>
      <c r="FY42" s="17" t="e">
        <f>-53.07 + (304.89 * (FX42)) + (90.79 *('Vacas e Bezerros'!#REF!-'Vacas e Bezerros'!#REF!)) - (3.13 * ('Vacas e Bezerros'!#REF!-'Vacas e Bezerros'!#REF!)^2)</f>
        <v>#REF!</v>
      </c>
      <c r="GA42" s="16" t="e">
        <f>((GB41+('Vacas e Bezerros'!#REF!-(GB41*0.64))/0.8)/1000)-'Vacas e Bezerros'!#REF!</f>
        <v>#REF!</v>
      </c>
      <c r="GB42" s="17" t="e">
        <f>-53.07 + (304.89 * (GA42)) + (90.79 *('Vacas e Bezerros'!#REF!-'Vacas e Bezerros'!#REF!)) - (3.13 * ('Vacas e Bezerros'!#REF!-'Vacas e Bezerros'!#REF!)^2)</f>
        <v>#REF!</v>
      </c>
      <c r="GD42" s="16" t="e">
        <f>((GE41+('Vacas e Bezerros'!#REF!-(GE41*0.64))/0.8)/1000)-'Vacas e Bezerros'!#REF!</f>
        <v>#REF!</v>
      </c>
      <c r="GE42" s="17" t="e">
        <f>-53.07 + (304.89 * (GD42)) + (90.79 *('Vacas e Bezerros'!#REF!-'Vacas e Bezerros'!#REF!)) - (3.13 * ('Vacas e Bezerros'!#REF!-'Vacas e Bezerros'!#REF!)^2)</f>
        <v>#REF!</v>
      </c>
      <c r="GG42" s="16" t="e">
        <f>((GH41+('Vacas e Bezerros'!#REF!-(GH41*0.64))/0.8)/1000)-'Vacas e Bezerros'!#REF!</f>
        <v>#REF!</v>
      </c>
      <c r="GH42" s="17" t="e">
        <f>-53.07 + (304.89 * (GG42)) + (90.79 *('Vacas e Bezerros'!#REF!-'Vacas e Bezerros'!#REF!)) - (3.13 * ('Vacas e Bezerros'!#REF!-'Vacas e Bezerros'!#REF!)^2)</f>
        <v>#REF!</v>
      </c>
      <c r="GJ42" s="16" t="e">
        <f>((GK41+('Vacas e Bezerros'!#REF!-(GK41*0.64))/0.8)/1000)-'Vacas e Bezerros'!#REF!</f>
        <v>#REF!</v>
      </c>
      <c r="GK42" s="17" t="e">
        <f>-53.07 + (304.89 * (GJ42)) + (90.79 *('Vacas e Bezerros'!#REF!-'Vacas e Bezerros'!#REF!)) - (3.13 * ('Vacas e Bezerros'!#REF!-'Vacas e Bezerros'!#REF!)^2)</f>
        <v>#REF!</v>
      </c>
      <c r="GM42" s="16" t="e">
        <f>((GN41+('Vacas e Bezerros'!#REF!-(GN41*0.64))/0.8)/1000)-'Vacas e Bezerros'!#REF!</f>
        <v>#REF!</v>
      </c>
      <c r="GN42" s="17" t="e">
        <f>-53.07 + (304.89 * (GM42)) + (90.79 *('Vacas e Bezerros'!#REF!-'Vacas e Bezerros'!#REF!)) - (3.13 * ('Vacas e Bezerros'!#REF!-'Vacas e Bezerros'!#REF!)^2)</f>
        <v>#REF!</v>
      </c>
    </row>
    <row r="43" spans="3:196" x14ac:dyDescent="0.25">
      <c r="C43" s="16">
        <f>(D42+('Vacas e Bezerros'!$AA$28-(D42*0.64))/0.8)/1000</f>
        <v>0.35719668016155687</v>
      </c>
      <c r="D43" s="17">
        <f>-53.07 + (304.89 * (C43-'Vacas e Bezerros'!$C$206)) + (90.79 *('Vacas e Bezerros'!$AA$22)) - (3.13 *('Vacas e Bezerros'!$AA$22)^2)</f>
        <v>165.01876457544017</v>
      </c>
      <c r="F43" s="16" t="e">
        <f>(G42+(Crescimento!#REF!-(G42*0.64))/0.8)/1000</f>
        <v>#REF!</v>
      </c>
      <c r="G43" s="17" t="e">
        <f>-53.07 + (304.89 * (F43)) + (90.79 *Crescimento!#REF!) - (3.13 * Crescimento!#REF!*Crescimento!#REF!)</f>
        <v>#REF!</v>
      </c>
      <c r="H43" s="1"/>
      <c r="I43" s="16" t="e">
        <f>(J42+(Crescimento!#REF!-(J42*0.64))/0.8)/1000</f>
        <v>#REF!</v>
      </c>
      <c r="J43" s="17" t="e">
        <f>-53.07 + (304.89 * (I43)) + (90.79 *Crescimento!#REF!) - (3.13 * Crescimento!#REF!*Crescimento!#REF!)</f>
        <v>#REF!</v>
      </c>
      <c r="L43" s="16" t="e">
        <f>(M42+(Crescimento!#REF!-(M42*0.64))/0.8)/1000</f>
        <v>#REF!</v>
      </c>
      <c r="M43" s="17" t="e">
        <f>-53.07 + (304.89 * (L43)) + (90.79 *Crescimento!#REF!) - (3.13 * Crescimento!#REF!*Crescimento!#REF!)</f>
        <v>#REF!</v>
      </c>
      <c r="O43" s="16" t="e">
        <f>(P42+(Crescimento!#REF!-(P42*0.64))/0.8)/1000</f>
        <v>#REF!</v>
      </c>
      <c r="P43" s="17" t="e">
        <f>-53.07 + (304.89 * (O43)) + (90.79 *Crescimento!#REF!) - (3.13 * Crescimento!#REF!*Crescimento!#REF!)</f>
        <v>#REF!</v>
      </c>
      <c r="R43" s="16" t="e">
        <f>(S42+(Crescimento!#REF!-(S42*0.64))/0.8)/1000</f>
        <v>#REF!</v>
      </c>
      <c r="S43" s="17" t="e">
        <f>-53.07 + (304.89 * (R43)) + (90.79 *Crescimento!#REF!) - (3.13 * Crescimento!#REF!*Crescimento!#REF!)</f>
        <v>#REF!</v>
      </c>
      <c r="U43" s="16" t="e">
        <f>(V42+(Crescimento!#REF!-(V42*0.64))/0.8)/1000</f>
        <v>#REF!</v>
      </c>
      <c r="V43" s="17" t="e">
        <f>-53.07 + (304.89 * (U43)) + (90.79 *Crescimento!#REF!) - (3.13 * Crescimento!#REF!*Crescimento!#REF!)</f>
        <v>#REF!</v>
      </c>
      <c r="X43" s="16" t="e">
        <f>(Y42+(Crescimento!#REF!-(Y42*0.64))/0.8)/1000</f>
        <v>#REF!</v>
      </c>
      <c r="Y43" s="17" t="e">
        <f>-53.07 + (304.89 * (X43)) + (90.79 *Crescimento!#REF!) - (3.13 * Crescimento!#REF!*Crescimento!#REF!)</f>
        <v>#REF!</v>
      </c>
      <c r="Z43" s="6"/>
      <c r="AA43" s="16" t="e">
        <f>(AB42+(Crescimento!#REF!-(AB42*0.64))/0.8)/1000</f>
        <v>#REF!</v>
      </c>
      <c r="AB43" s="17" t="e">
        <f>-53.07 + (304.89 * (AA43)) + (90.79 *Crescimento!#REF!) - (3.13 * Crescimento!#REF!*Crescimento!#REF!)</f>
        <v>#REF!</v>
      </c>
      <c r="AC43" s="6"/>
      <c r="AD43" s="16" t="e">
        <f>(AE42+(Crescimento!#REF!-(AE42*0.64))/0.8)/1000</f>
        <v>#REF!</v>
      </c>
      <c r="AE43" s="17" t="e">
        <f>-53.07 + (304.89 * (AD43)) + (90.79 *Crescimento!#REF!) - (3.13 * Crescimento!#REF!*Crescimento!#REF!)</f>
        <v>#REF!</v>
      </c>
      <c r="AF43" s="17"/>
      <c r="AG43" s="16" t="e">
        <f>(AH42+(Crescimento!#REF!-(AH42*0.64))/0.8)/1000</f>
        <v>#REF!</v>
      </c>
      <c r="AH43" s="17" t="e">
        <f>-53.07 + (304.89 * (AG43)) + (90.79 *Crescimento!#REF!) - (3.13 * Crescimento!#REF!*Crescimento!#REF!)</f>
        <v>#REF!</v>
      </c>
      <c r="AJ43" s="16" t="e">
        <f>(AK42+(Crescimento!#REF!-(AK42*0.64))/0.8)/1000</f>
        <v>#REF!</v>
      </c>
      <c r="AK43" s="17" t="e">
        <f>-53.07 + (304.89 * (AJ43)) + (90.79 *Crescimento!#REF!) - (3.13 * Crescimento!#REF!*Crescimento!#REF!)</f>
        <v>#REF!</v>
      </c>
      <c r="AM43" s="16" t="e">
        <f>(AN42+(Crescimento!#REF!-(AN42*0.64))/0.8)/1000</f>
        <v>#REF!</v>
      </c>
      <c r="AN43" s="17" t="e">
        <f>-53.07 + (304.89 * (AM43)) + (90.79 *Crescimento!#REF!) - (3.13 * Crescimento!#REF!*Crescimento!#REF!)</f>
        <v>#REF!</v>
      </c>
      <c r="AP43" s="16" t="e">
        <f>(AQ42+(Crescimento!#REF!-(AQ42*0.64))/0.8)/1000</f>
        <v>#REF!</v>
      </c>
      <c r="AQ43" s="17" t="e">
        <f>-53.07 + (304.89 * (AP43)) + (90.79 *Crescimento!#REF!) - (3.13 * Crescimento!#REF!*Crescimento!#REF!)</f>
        <v>#REF!</v>
      </c>
      <c r="AS43" s="16" t="e">
        <f>(AT42+(Crescimento!#REF!-(AT42*0.64))/0.8)/1000</f>
        <v>#REF!</v>
      </c>
      <c r="AT43" s="17" t="e">
        <f>-53.07 + (304.89 * (AS43)) + (90.79 *Crescimento!#REF!) - (3.13 * Crescimento!#REF!*Crescimento!#REF!)</f>
        <v>#REF!</v>
      </c>
      <c r="AV43" s="16" t="e">
        <f>(AW42+(Crescimento!#REF!-(AW42*0.64))/0.8)/1000</f>
        <v>#REF!</v>
      </c>
      <c r="AW43" s="17" t="e">
        <f>-53.07 + (304.89 * (AV43)) + (90.79 *Crescimento!#REF!) - (3.13 * Crescimento!#REF!*Crescimento!#REF!)</f>
        <v>#REF!</v>
      </c>
      <c r="AY43" s="21" t="e">
        <f>((AZ42+(Crescimento!#REF!-(AZ42*0.64))/0.8)/1000)-Crescimento!#REF!</f>
        <v>#REF!</v>
      </c>
      <c r="AZ43" s="22" t="e">
        <f>-53.07 + (304.89 * (AY43)) + (90.79 *(Crescimento!#REF!-Crescimento!#REF!)) - (3.13 * (Crescimento!#REF!-Crescimento!#REF!)^2)</f>
        <v>#REF!</v>
      </c>
      <c r="BA43" s="23"/>
      <c r="BB43" s="21" t="e">
        <f>((BC42+(Crescimento!#REF!-(BC42*0.64))/0.8)/1000)-Crescimento!#REF!</f>
        <v>#REF!</v>
      </c>
      <c r="BC43" s="22" t="e">
        <f>-53.07 + (304.89 * (BB43)) + (90.79 *(Crescimento!#REF!-Crescimento!#REF!)) - (3.13 * (Crescimento!#REF!-Crescimento!#REF!)^2)</f>
        <v>#REF!</v>
      </c>
      <c r="BD43" s="23"/>
      <c r="BE43" s="21" t="e">
        <f>((BF42+(Crescimento!#REF!-(BF42*0.64))/0.8)/1000)-Crescimento!#REF!</f>
        <v>#REF!</v>
      </c>
      <c r="BF43" s="22" t="e">
        <f>-53.07 + (304.89 * (BE43)) + (90.79 *(Crescimento!#REF!-Crescimento!#REF!)) - (3.13 * (Crescimento!#REF!-Crescimento!#REF!)^2)</f>
        <v>#REF!</v>
      </c>
      <c r="BG43" s="23"/>
      <c r="BH43" s="21" t="e">
        <f>((BI42+(Crescimento!#REF!-(BI42*0.64))/0.8)/1000)-Crescimento!#REF!</f>
        <v>#REF!</v>
      </c>
      <c r="BI43" s="22" t="e">
        <f>-53.07 + (304.89 * (BH43)) + (90.79 *(Crescimento!#REF!-Crescimento!#REF!)) - (3.13 * (Crescimento!#REF!-Crescimento!#REF!)^2)</f>
        <v>#REF!</v>
      </c>
      <c r="BJ43" s="23"/>
      <c r="BK43" s="21" t="e">
        <f>((BL42+(Crescimento!#REF!-(BL42*0.64))/0.8)/1000)-Crescimento!#REF!</f>
        <v>#REF!</v>
      </c>
      <c r="BL43" s="22" t="e">
        <f>-53.07 + (304.89 * (BK43)) + (90.79 *(Crescimento!#REF!-Crescimento!#REF!)) - (3.13 * (Crescimento!#REF!-Crescimento!#REF!)^2)</f>
        <v>#REF!</v>
      </c>
      <c r="BM43" s="23"/>
      <c r="BN43" s="21" t="e">
        <f>((BO42+(Crescimento!#REF!-(BO42*0.64))/0.8)/1000)-Crescimento!#REF!</f>
        <v>#REF!</v>
      </c>
      <c r="BO43" s="22" t="e">
        <f>-53.07 + (304.89 * (BN43)) + (90.79 *(Crescimento!#REF!-Crescimento!#REF!)) - (3.13 * (Crescimento!#REF!-Crescimento!#REF!)^2)</f>
        <v>#REF!</v>
      </c>
      <c r="BP43" s="23"/>
      <c r="BQ43" s="21" t="e">
        <f>((BR42+(Crescimento!#REF!-(BR42*0.64))/0.8)/1000)-Crescimento!#REF!</f>
        <v>#REF!</v>
      </c>
      <c r="BR43" s="22" t="e">
        <f>-53.07 + (304.89 * (BQ43)) + (90.79 *(Crescimento!#REF!-Crescimento!#REF!)) - (3.13 * (Crescimento!#REF!-Crescimento!#REF!)^2)</f>
        <v>#REF!</v>
      </c>
      <c r="BS43" s="23"/>
      <c r="BT43" s="21" t="e">
        <f>((BU42+(Crescimento!#REF!-(BU42*0.64))/0.8)/1000)-Crescimento!#REF!</f>
        <v>#REF!</v>
      </c>
      <c r="BU43" s="22" t="e">
        <f>-53.07 + (304.89 * (BT43)) + (90.79 *(Crescimento!#REF!-Crescimento!#REF!)) - (3.13 * (Crescimento!#REF!-Crescimento!#REF!)^2)</f>
        <v>#REF!</v>
      </c>
      <c r="BV43" s="23"/>
      <c r="BW43" s="21" t="e">
        <f>((BX42+(Crescimento!#REF!-(BX42*0.64))/0.8)/1000)-Crescimento!#REF!</f>
        <v>#REF!</v>
      </c>
      <c r="BX43" s="22" t="e">
        <f>-53.07 + (304.89 * (BW43)) + (90.79 *(Crescimento!#REF!-Crescimento!#REF!)) - (3.13 * (Crescimento!#REF!-Crescimento!#REF!)^2)</f>
        <v>#REF!</v>
      </c>
      <c r="BY43" s="23"/>
      <c r="BZ43" s="21" t="e">
        <f>((CA42+(Crescimento!#REF!-(CA42*0.64))/0.8)/1000)-Crescimento!#REF!</f>
        <v>#REF!</v>
      </c>
      <c r="CA43" s="22" t="e">
        <f>-53.07 + (304.89 * (BZ43)) + (90.79 *(Crescimento!#REF!-Crescimento!#REF!)) - (3.13 * (Crescimento!#REF!-Crescimento!#REF!)^2)</f>
        <v>#REF!</v>
      </c>
      <c r="CB43" s="23"/>
      <c r="CC43" s="21" t="e">
        <f>((CD42+(Crescimento!#REF!-(CD42*0.64))/0.8)/1000)-Crescimento!#REF!</f>
        <v>#REF!</v>
      </c>
      <c r="CD43" s="22" t="e">
        <f>-53.07 + (304.89 * (CC43)) + (90.79 *(Crescimento!#REF!-Crescimento!#REF!)) - (3.13 * (Crescimento!#REF!-Crescimento!#REF!)^2)</f>
        <v>#REF!</v>
      </c>
      <c r="CE43" s="23"/>
      <c r="CF43" s="21" t="e">
        <f>((CG42+(Crescimento!#REF!-(CG42*0.64))/0.8)/1000)-Crescimento!#REF!</f>
        <v>#REF!</v>
      </c>
      <c r="CG43" s="22" t="e">
        <f>-53.07 + (304.89 * (CF43)) + (90.79 *(Crescimento!#REF!-Crescimento!#REF!)) - (3.13 * (Crescimento!#REF!-Crescimento!#REF!)^2)</f>
        <v>#REF!</v>
      </c>
      <c r="CH43" s="23"/>
      <c r="CI43" s="21" t="e">
        <f>((CJ42+(Crescimento!#REF!-(CJ42*0.64))/0.8)/1000)-Crescimento!#REF!</f>
        <v>#REF!</v>
      </c>
      <c r="CJ43" s="22" t="e">
        <f>-53.07 + (304.89 * (CI43)) + (90.79 *(Crescimento!#REF!-Crescimento!#REF!)) - (3.13 * (Crescimento!#REF!-Crescimento!#REF!)^2)</f>
        <v>#REF!</v>
      </c>
      <c r="CK43" s="23"/>
      <c r="CL43" s="21" t="e">
        <f>((CM42+(Crescimento!#REF!-(CM42*0.64))/0.8)/1000)-Crescimento!#REF!</f>
        <v>#REF!</v>
      </c>
      <c r="CM43" s="22" t="e">
        <f>-53.07 + (304.89 * (CL43)) + (90.79 *(Crescimento!#REF!-Crescimento!#REF!)) - (3.13 * (Crescimento!#REF!-Crescimento!#REF!)^2)</f>
        <v>#REF!</v>
      </c>
      <c r="CN43" s="23"/>
      <c r="CO43" s="21" t="e">
        <f>((CP42+(Crescimento!#REF!-(CP42*0.64))/0.8)/1000)-Crescimento!#REF!</f>
        <v>#REF!</v>
      </c>
      <c r="CP43" s="22" t="e">
        <f>-53.07 + (304.89 * (CO43)) + (90.79 *(Crescimento!#REF!-Crescimento!#REF!)) - (3.13 * (Crescimento!#REF!-Crescimento!#REF!)^2)</f>
        <v>#REF!</v>
      </c>
      <c r="CQ43" s="23"/>
      <c r="CR43" s="21" t="e">
        <f>((CS42+(Crescimento!#REF!-(CS42*0.64))/0.8)/1000)-Crescimento!#REF!</f>
        <v>#REF!</v>
      </c>
      <c r="CS43" s="22" t="e">
        <f>-53.07 + (304.89 * (CR43)) + (90.79 *(Crescimento!#REF!-Crescimento!#REF!)) - (3.13 * (Crescimento!#REF!-Crescimento!#REF!)^2)</f>
        <v>#REF!</v>
      </c>
      <c r="CX43" s="16" t="e">
        <f>((CY42+(Crescimento!#REF!-(CY42*0.64))/0.8)/1000)-Crescimento!#REF!</f>
        <v>#REF!</v>
      </c>
      <c r="CY43" s="17" t="e">
        <f>-53.07 + (304.89 * (CX43)) + (90.79 *(Crescimento!#REF!-Crescimento!#REF!)) - (3.13 * (Crescimento!#REF!-Crescimento!#REF!)^2)</f>
        <v>#REF!</v>
      </c>
      <c r="DA43" s="16" t="e">
        <f>((DB42+(Crescimento!#REF!-(DB42*0.64))/0.8)/1000)-Crescimento!#REF!</f>
        <v>#REF!</v>
      </c>
      <c r="DB43" s="17" t="e">
        <f>-53.07 + (304.89 * (DA43)) + (90.79 *(Crescimento!#REF!-Crescimento!#REF!)) - (3.13 * (Crescimento!#REF!-Crescimento!#REF!)^2)</f>
        <v>#REF!</v>
      </c>
      <c r="DD43" s="16" t="e">
        <f>(DE42+(Crescimento!#REF!-(DE42*0.64))/0.8)/1000</f>
        <v>#REF!</v>
      </c>
      <c r="DE43" s="17" t="e">
        <f>-53.07 + (304.89 * (DD43)) + (90.79 *Crescimento!#REF!) - (3.13 * Crescimento!#REF!*Crescimento!#REF!)</f>
        <v>#REF!</v>
      </c>
      <c r="DG43" s="16" t="e">
        <f>((DH42+(Crescimento!#REF!-(DH42*0.64))/0.8)/1000)-Crescimento!#REF!</f>
        <v>#REF!</v>
      </c>
      <c r="DH43" s="17" t="e">
        <f>-53.07 + (304.89 * (DG43)) + (90.79 *(Crescimento!#REF!-Crescimento!#REF!)) - (3.13 * (Crescimento!#REF!-Crescimento!#REF!)^2)</f>
        <v>#REF!</v>
      </c>
      <c r="DJ43" s="16" t="e">
        <f>((DK42+(Crescimento!#REF!-(DK42*0.64))/0.8)/1000)-Crescimento!#REF!</f>
        <v>#REF!</v>
      </c>
      <c r="DK43" s="17" t="e">
        <f>-53.07 + (304.89 * (DJ43)) + (90.79 *(Crescimento!#REF!-Crescimento!#REF!)) - (3.13 * (Crescimento!#REF!-Crescimento!#REF!)^2)</f>
        <v>#REF!</v>
      </c>
      <c r="DM43" s="16" t="e">
        <f>((DN42+(Crescimento!#REF!-(DN42*0.64))/0.8)/1000)-Crescimento!#REF!</f>
        <v>#REF!</v>
      </c>
      <c r="DN43" s="17" t="e">
        <f>-53.07 + (304.89 * (DM43)) + (90.79 *(Crescimento!#REF!-Crescimento!#REF!)) - (3.13 * (Crescimento!#REF!-Crescimento!#REF!)^2)</f>
        <v>#REF!</v>
      </c>
      <c r="DP43" s="16" t="e">
        <f>(DQ42+(Crescimento!#REF!-(DQ42*0.64))/0.8)/1000</f>
        <v>#REF!</v>
      </c>
      <c r="DQ43" s="17" t="e">
        <f>-53.07 + (304.89 * (DP43)) + (90.79 *(Crescimento!#REF!-Crescimento!#REF!)) - (3.13 * (Crescimento!#REF!-Crescimento!#REF!)^2)</f>
        <v>#REF!</v>
      </c>
      <c r="DS43" s="16" t="e">
        <f>((DT42+(Crescimento!#REF!-(DT42*0.64))/0.8)/1000)-Crescimento!#REF!</f>
        <v>#REF!</v>
      </c>
      <c r="DT43" s="17" t="e">
        <f>-53.07 + (304.89 * (DS43)) + (90.79 *(Crescimento!#REF!-Crescimento!#REF!)) - (3.13 * (Crescimento!#REF!-Crescimento!#REF!)^2)</f>
        <v>#REF!</v>
      </c>
      <c r="DV43" s="16" t="e">
        <f>((DW42+(Crescimento!#REF!-(DW42*0.64))/0.8)/1000)-Crescimento!#REF!</f>
        <v>#REF!</v>
      </c>
      <c r="DW43" s="17" t="e">
        <f>-53.07 + (304.89 * (DV43)) + (90.79 *(Crescimento!#REF!-Crescimento!#REF!)) - (3.13 * (Crescimento!#REF!-Crescimento!#REF!)^2)</f>
        <v>#REF!</v>
      </c>
      <c r="DY43" s="16" t="e">
        <f>((DZ42+(Crescimento!#REF!-(DZ42*0.64))/0.8)/1000)-Crescimento!#REF!</f>
        <v>#REF!</v>
      </c>
      <c r="DZ43" s="17" t="e">
        <f>-53.07 + (304.89 * (DY43)) + (90.79 *(Crescimento!#REF!-Crescimento!#REF!)) - (3.13 * (Crescimento!#REF!-Crescimento!#REF!)^2)</f>
        <v>#REF!</v>
      </c>
      <c r="EB43" s="16" t="e">
        <f>((EC42+(Crescimento!#REF!-(EC42*0.64))/0.8)/1000)-Crescimento!#REF!</f>
        <v>#REF!</v>
      </c>
      <c r="EC43" s="17" t="e">
        <f>-53.07 + (304.89 * (EB43)) + (90.79 *(Crescimento!#REF!-Crescimento!#REF!)) - (3.13 * (Crescimento!#REF!-Crescimento!#REF!)^2)</f>
        <v>#REF!</v>
      </c>
      <c r="EE43" s="16" t="e">
        <f>((EF42+(Crescimento!#REF!-(EF42*0.64))/0.8)/1000)-Crescimento!#REF!</f>
        <v>#REF!</v>
      </c>
      <c r="EF43" s="17" t="e">
        <f>-53.07 + (304.89 * (EE43)) + (90.79 *(Crescimento!#REF!-Crescimento!#REF!)) - (3.13 * (Crescimento!#REF!-Crescimento!#REF!)^2)</f>
        <v>#REF!</v>
      </c>
      <c r="EH43" s="16" t="e">
        <f>((EI42+(Crescimento!#REF!-(EI42*0.64))/0.8)/1000)-Crescimento!#REF!</f>
        <v>#REF!</v>
      </c>
      <c r="EI43" s="17" t="e">
        <f>-53.07 + (304.89 * (EH43)) + (90.79 *(Crescimento!#REF!-Crescimento!#REF!)) - (3.13 * (Crescimento!#REF!-Crescimento!#REF!)^2)</f>
        <v>#REF!</v>
      </c>
      <c r="EK43" s="16" t="e">
        <f>((EL42+(Crescimento!#REF!-(EL42*0.64))/0.8)/1000)-Crescimento!#REF!</f>
        <v>#REF!</v>
      </c>
      <c r="EL43" s="17" t="e">
        <f>-53.07 + (304.89 * (EK43)) + (90.79 *(Crescimento!#REF!-Crescimento!#REF!)) - (3.13 * (Crescimento!#REF!-Crescimento!#REF!)^2)</f>
        <v>#REF!</v>
      </c>
      <c r="EN43" s="16" t="e">
        <f>((EO42+(Crescimento!#REF!-(EO42*0.64))/0.8)/1000)-Crescimento!#REF!</f>
        <v>#REF!</v>
      </c>
      <c r="EO43" s="17" t="e">
        <f>-53.07 + (304.89 * (EN43)) + (90.79 *(Crescimento!#REF!-Crescimento!#REF!)) - (3.13 * (Crescimento!#REF!-Crescimento!#REF!)^2)</f>
        <v>#REF!</v>
      </c>
      <c r="EQ43" s="16" t="e">
        <f>((ER42+(Crescimento!#REF!-(ER42*0.64))/0.8)/1000)-Crescimento!#REF!</f>
        <v>#REF!</v>
      </c>
      <c r="ER43" s="17" t="e">
        <f>-53.07 + (304.89 * (EQ43)) + (90.79 *(Crescimento!#REF!-Crescimento!#REF!)) - (3.13 * (Crescimento!#REF!-Crescimento!#REF!)^2)</f>
        <v>#REF!</v>
      </c>
      <c r="ET43" s="16" t="e">
        <f>((EU42+(Crescimento!#REF!-(EU42*0.64))/0.8)/1000)-Crescimento!#REF!</f>
        <v>#REF!</v>
      </c>
      <c r="EU43" s="17" t="e">
        <f>-53.07 + (304.89 * (ET43)) + (90.79 *(Crescimento!#REF!-Crescimento!#REF!)) - (3.13 * (Crescimento!#REF!-Crescimento!#REF!)^2)</f>
        <v>#REF!</v>
      </c>
      <c r="EW43" s="16" t="e">
        <f>((EX42+('Vacas e Bezerros'!#REF!-(EX42*0.64))/0.8)/1000)-'Vacas e Bezerros'!#REF!</f>
        <v>#REF!</v>
      </c>
      <c r="EX43" s="17" t="e">
        <f>-53.07 + (304.89 * (EW43)) + (90.79 *('Vacas e Bezerros'!#REF!-'Vacas e Bezerros'!#REF!)) - (3.13 * ('Vacas e Bezerros'!#REF!-'Vacas e Bezerros'!#REF!)^2)</f>
        <v>#REF!</v>
      </c>
      <c r="EZ43" s="16" t="e">
        <f>((FA42+('Vacas e Bezerros'!#REF!-(FA42*0.64))/0.8)/1000)-'Vacas e Bezerros'!#REF!</f>
        <v>#REF!</v>
      </c>
      <c r="FA43" s="17" t="e">
        <f>-53.07 + (304.89 * (EZ43)) + (90.79 *('Vacas e Bezerros'!#REF!-'Vacas e Bezerros'!#REF!)) - (3.13 * ('Vacas e Bezerros'!#REF!-'Vacas e Bezerros'!#REF!)^2)</f>
        <v>#REF!</v>
      </c>
      <c r="FC43" s="16" t="e">
        <f>((FD42+('Vacas e Bezerros'!#REF!-(FD42*0.64))/0.8)/1000)-'Vacas e Bezerros'!#REF!</f>
        <v>#REF!</v>
      </c>
      <c r="FD43" s="17" t="e">
        <f>-53.07 + (304.89 * (FC43)) + (90.79 *('Vacas e Bezerros'!#REF!-'Vacas e Bezerros'!#REF!)) - (3.13 * ('Vacas e Bezerros'!#REF!-'Vacas e Bezerros'!#REF!)^2)</f>
        <v>#REF!</v>
      </c>
      <c r="FF43" s="16" t="e">
        <f>((FG42+('Vacas e Bezerros'!#REF!-(FG42*0.64))/0.8)/1000)-'Vacas e Bezerros'!#REF!</f>
        <v>#REF!</v>
      </c>
      <c r="FG43" s="17" t="e">
        <f>-53.07 + (304.89 * (FF43)) + (90.79 *('Vacas e Bezerros'!#REF!-'Vacas e Bezerros'!#REF!)) - (3.13 * ('Vacas e Bezerros'!#REF!-'Vacas e Bezerros'!#REF!)^2)</f>
        <v>#REF!</v>
      </c>
      <c r="FI43" s="16" t="e">
        <f>((FJ42+('Vacas e Bezerros'!#REF!-(FJ42*0.64))/0.8)/1000)-'Vacas e Bezerros'!#REF!</f>
        <v>#REF!</v>
      </c>
      <c r="FJ43" s="17" t="e">
        <f>-53.07 + (304.89 * (FI43)) + (90.79 *('Vacas e Bezerros'!#REF!-'Vacas e Bezerros'!#REF!)) - (3.13 * ('Vacas e Bezerros'!#REF!-'Vacas e Bezerros'!#REF!)^2)</f>
        <v>#REF!</v>
      </c>
      <c r="FL43" s="16" t="e">
        <f>((FM42+('Vacas e Bezerros'!#REF!-(FM42*0.64))/0.8)/1000)-'Vacas e Bezerros'!#REF!</f>
        <v>#REF!</v>
      </c>
      <c r="FM43" s="17" t="e">
        <f>-53.07 + (304.89 * (FL43)) + (90.79 *('Vacas e Bezerros'!#REF!-'Vacas e Bezerros'!#REF!)) - (3.13 * ('Vacas e Bezerros'!#REF!-'Vacas e Bezerros'!#REF!)^2)</f>
        <v>#REF!</v>
      </c>
      <c r="FO43" s="16" t="e">
        <f>((FP42+('Vacas e Bezerros'!#REF!-(FP42*0.64))/0.8)/1000)-'Vacas e Bezerros'!#REF!</f>
        <v>#REF!</v>
      </c>
      <c r="FP43" s="17" t="e">
        <f>-53.07 + (304.89 * (FO43)) + (90.79 *('Vacas e Bezerros'!#REF!-'Vacas e Bezerros'!#REF!)) - (3.13 * ('Vacas e Bezerros'!#REF!-'Vacas e Bezerros'!#REF!)^2)</f>
        <v>#REF!</v>
      </c>
      <c r="FR43" s="16" t="e">
        <f>((FS42+('Vacas e Bezerros'!#REF!-(FS42*0.64))/0.8)/1000)-'Vacas e Bezerros'!#REF!</f>
        <v>#REF!</v>
      </c>
      <c r="FS43" s="17" t="e">
        <f>-53.07 + (304.89 * (FR43)) + (90.79 *('Vacas e Bezerros'!#REF!-'Vacas e Bezerros'!#REF!)) - (3.13 * ('Vacas e Bezerros'!#REF!-'Vacas e Bezerros'!#REF!)^2)</f>
        <v>#REF!</v>
      </c>
      <c r="FU43" s="16" t="e">
        <f>((FV42+('Vacas e Bezerros'!#REF!-(FV42*0.64))/0.8)/1000)-'Vacas e Bezerros'!#REF!</f>
        <v>#REF!</v>
      </c>
      <c r="FV43" s="17" t="e">
        <f>-53.07 + (304.89 * (FU43)) + (90.79 *('Vacas e Bezerros'!#REF!-'Vacas e Bezerros'!#REF!)) - (3.13 * ('Vacas e Bezerros'!#REF!-'Vacas e Bezerros'!#REF!)^2)</f>
        <v>#REF!</v>
      </c>
      <c r="FX43" s="16" t="e">
        <f>((FY42+('Vacas e Bezerros'!#REF!-(FY42*0.64))/0.8)/1000)-'Vacas e Bezerros'!#REF!</f>
        <v>#REF!</v>
      </c>
      <c r="FY43" s="17" t="e">
        <f>-53.07 + (304.89 * (FX43)) + (90.79 *('Vacas e Bezerros'!#REF!-'Vacas e Bezerros'!#REF!)) - (3.13 * ('Vacas e Bezerros'!#REF!-'Vacas e Bezerros'!#REF!)^2)</f>
        <v>#REF!</v>
      </c>
      <c r="GA43" s="16" t="e">
        <f>((GB42+('Vacas e Bezerros'!#REF!-(GB42*0.64))/0.8)/1000)-'Vacas e Bezerros'!#REF!</f>
        <v>#REF!</v>
      </c>
      <c r="GB43" s="17" t="e">
        <f>-53.07 + (304.89 * (GA43)) + (90.79 *('Vacas e Bezerros'!#REF!-'Vacas e Bezerros'!#REF!)) - (3.13 * ('Vacas e Bezerros'!#REF!-'Vacas e Bezerros'!#REF!)^2)</f>
        <v>#REF!</v>
      </c>
      <c r="GD43" s="16" t="e">
        <f>((GE42+('Vacas e Bezerros'!#REF!-(GE42*0.64))/0.8)/1000)-'Vacas e Bezerros'!#REF!</f>
        <v>#REF!</v>
      </c>
      <c r="GE43" s="17" t="e">
        <f>-53.07 + (304.89 * (GD43)) + (90.79 *('Vacas e Bezerros'!#REF!-'Vacas e Bezerros'!#REF!)) - (3.13 * ('Vacas e Bezerros'!#REF!-'Vacas e Bezerros'!#REF!)^2)</f>
        <v>#REF!</v>
      </c>
      <c r="GG43" s="16" t="e">
        <f>((GH42+('Vacas e Bezerros'!#REF!-(GH42*0.64))/0.8)/1000)-'Vacas e Bezerros'!#REF!</f>
        <v>#REF!</v>
      </c>
      <c r="GH43" s="17" t="e">
        <f>-53.07 + (304.89 * (GG43)) + (90.79 *('Vacas e Bezerros'!#REF!-'Vacas e Bezerros'!#REF!)) - (3.13 * ('Vacas e Bezerros'!#REF!-'Vacas e Bezerros'!#REF!)^2)</f>
        <v>#REF!</v>
      </c>
      <c r="GJ43" s="16" t="e">
        <f>((GK42+('Vacas e Bezerros'!#REF!-(GK42*0.64))/0.8)/1000)-'Vacas e Bezerros'!#REF!</f>
        <v>#REF!</v>
      </c>
      <c r="GK43" s="17" t="e">
        <f>-53.07 + (304.89 * (GJ43)) + (90.79 *('Vacas e Bezerros'!#REF!-'Vacas e Bezerros'!#REF!)) - (3.13 * ('Vacas e Bezerros'!#REF!-'Vacas e Bezerros'!#REF!)^2)</f>
        <v>#REF!</v>
      </c>
      <c r="GM43" s="16" t="e">
        <f>((GN42+('Vacas e Bezerros'!#REF!-(GN42*0.64))/0.8)/1000)-'Vacas e Bezerros'!#REF!</f>
        <v>#REF!</v>
      </c>
      <c r="GN43" s="17" t="e">
        <f>-53.07 + (304.89 * (GM43)) + (90.79 *('Vacas e Bezerros'!#REF!-'Vacas e Bezerros'!#REF!)) - (3.13 * ('Vacas e Bezerros'!#REF!-'Vacas e Bezerros'!#REF!)^2)</f>
        <v>#REF!</v>
      </c>
    </row>
    <row r="44" spans="3:196" x14ac:dyDescent="0.25">
      <c r="C44" s="16">
        <f>(D43+('Vacas e Bezerros'!$AA$28-(D43*0.64))/0.8)/1000</f>
        <v>0.35719668016155687</v>
      </c>
      <c r="D44" s="17">
        <f>-53.07 + (304.89 * (C44-'Vacas e Bezerros'!$C$206)) + (90.79 *('Vacas e Bezerros'!$AA$22)) - (3.13 *('Vacas e Bezerros'!$AA$22)^2)</f>
        <v>165.01876457544017</v>
      </c>
      <c r="F44" s="16" t="e">
        <f>(G43+(Crescimento!#REF!-(G43*0.64))/0.8)/1000</f>
        <v>#REF!</v>
      </c>
      <c r="G44" s="17" t="e">
        <f>-53.07 + (304.89 * (F44)) + (90.79 *Crescimento!#REF!) - (3.13 * Crescimento!#REF!*Crescimento!#REF!)</f>
        <v>#REF!</v>
      </c>
      <c r="H44" s="1"/>
      <c r="I44" s="16" t="e">
        <f>(J43+(Crescimento!#REF!-(J43*0.64))/0.8)/1000</f>
        <v>#REF!</v>
      </c>
      <c r="J44" s="17" t="e">
        <f>-53.07 + (304.89 * (I44)) + (90.79 *Crescimento!#REF!) - (3.13 * Crescimento!#REF!*Crescimento!#REF!)</f>
        <v>#REF!</v>
      </c>
      <c r="L44" s="16" t="e">
        <f>(M43+(Crescimento!#REF!-(M43*0.64))/0.8)/1000</f>
        <v>#REF!</v>
      </c>
      <c r="M44" s="17" t="e">
        <f>-53.07 + (304.89 * (L44)) + (90.79 *Crescimento!#REF!) - (3.13 * Crescimento!#REF!*Crescimento!#REF!)</f>
        <v>#REF!</v>
      </c>
      <c r="O44" s="16" t="e">
        <f>(P43+(Crescimento!#REF!-(P43*0.64))/0.8)/1000</f>
        <v>#REF!</v>
      </c>
      <c r="P44" s="17" t="e">
        <f>-53.07 + (304.89 * (O44)) + (90.79 *Crescimento!#REF!) - (3.13 * Crescimento!#REF!*Crescimento!#REF!)</f>
        <v>#REF!</v>
      </c>
      <c r="R44" s="16" t="e">
        <f>(S43+(Crescimento!#REF!-(S43*0.64))/0.8)/1000</f>
        <v>#REF!</v>
      </c>
      <c r="S44" s="17" t="e">
        <f>-53.07 + (304.89 * (R44)) + (90.79 *Crescimento!#REF!) - (3.13 * Crescimento!#REF!*Crescimento!#REF!)</f>
        <v>#REF!</v>
      </c>
      <c r="U44" s="16" t="e">
        <f>(V43+(Crescimento!#REF!-(V43*0.64))/0.8)/1000</f>
        <v>#REF!</v>
      </c>
      <c r="V44" s="17" t="e">
        <f>-53.07 + (304.89 * (U44)) + (90.79 *Crescimento!#REF!) - (3.13 * Crescimento!#REF!*Crescimento!#REF!)</f>
        <v>#REF!</v>
      </c>
      <c r="X44" s="16" t="e">
        <f>(Y43+(Crescimento!#REF!-(Y43*0.64))/0.8)/1000</f>
        <v>#REF!</v>
      </c>
      <c r="Y44" s="17" t="e">
        <f>-53.07 + (304.89 * (X44)) + (90.79 *Crescimento!#REF!) - (3.13 * Crescimento!#REF!*Crescimento!#REF!)</f>
        <v>#REF!</v>
      </c>
      <c r="Z44" s="6"/>
      <c r="AA44" s="16" t="e">
        <f>(AB43+(Crescimento!#REF!-(AB43*0.64))/0.8)/1000</f>
        <v>#REF!</v>
      </c>
      <c r="AB44" s="17" t="e">
        <f>-53.07 + (304.89 * (AA44)) + (90.79 *Crescimento!#REF!) - (3.13 * Crescimento!#REF!*Crescimento!#REF!)</f>
        <v>#REF!</v>
      </c>
      <c r="AC44" s="6"/>
      <c r="AD44" s="16" t="e">
        <f>(AE43+(Crescimento!#REF!-(AE43*0.64))/0.8)/1000</f>
        <v>#REF!</v>
      </c>
      <c r="AE44" s="17" t="e">
        <f>-53.07 + (304.89 * (AD44)) + (90.79 *Crescimento!#REF!) - (3.13 * Crescimento!#REF!*Crescimento!#REF!)</f>
        <v>#REF!</v>
      </c>
      <c r="AF44" s="17"/>
      <c r="AG44" s="16" t="e">
        <f>(AH43+(Crescimento!#REF!-(AH43*0.64))/0.8)/1000</f>
        <v>#REF!</v>
      </c>
      <c r="AH44" s="17" t="e">
        <f>-53.07 + (304.89 * (AG44)) + (90.79 *Crescimento!#REF!) - (3.13 * Crescimento!#REF!*Crescimento!#REF!)</f>
        <v>#REF!</v>
      </c>
      <c r="AJ44" s="16" t="e">
        <f>(AK43+(Crescimento!#REF!-(AK43*0.64))/0.8)/1000</f>
        <v>#REF!</v>
      </c>
      <c r="AK44" s="17" t="e">
        <f>-53.07 + (304.89 * (AJ44)) + (90.79 *Crescimento!#REF!) - (3.13 * Crescimento!#REF!*Crescimento!#REF!)</f>
        <v>#REF!</v>
      </c>
      <c r="AM44" s="16" t="e">
        <f>(AN43+(Crescimento!#REF!-(AN43*0.64))/0.8)/1000</f>
        <v>#REF!</v>
      </c>
      <c r="AN44" s="17" t="e">
        <f>-53.07 + (304.89 * (AM44)) + (90.79 *Crescimento!#REF!) - (3.13 * Crescimento!#REF!*Crescimento!#REF!)</f>
        <v>#REF!</v>
      </c>
      <c r="AP44" s="16" t="e">
        <f>(AQ43+(Crescimento!#REF!-(AQ43*0.64))/0.8)/1000</f>
        <v>#REF!</v>
      </c>
      <c r="AQ44" s="17" t="e">
        <f>-53.07 + (304.89 * (AP44)) + (90.79 *Crescimento!#REF!) - (3.13 * Crescimento!#REF!*Crescimento!#REF!)</f>
        <v>#REF!</v>
      </c>
      <c r="AS44" s="16" t="e">
        <f>(AT43+(Crescimento!#REF!-(AT43*0.64))/0.8)/1000</f>
        <v>#REF!</v>
      </c>
      <c r="AT44" s="17" t="e">
        <f>-53.07 + (304.89 * (AS44)) + (90.79 *Crescimento!#REF!) - (3.13 * Crescimento!#REF!*Crescimento!#REF!)</f>
        <v>#REF!</v>
      </c>
      <c r="AV44" s="16" t="e">
        <f>(AW43+(Crescimento!#REF!-(AW43*0.64))/0.8)/1000</f>
        <v>#REF!</v>
      </c>
      <c r="AW44" s="17" t="e">
        <f>-53.07 + (304.89 * (AV44)) + (90.79 *Crescimento!#REF!) - (3.13 * Crescimento!#REF!*Crescimento!#REF!)</f>
        <v>#REF!</v>
      </c>
      <c r="AY44" s="21" t="e">
        <f>((AZ43+(Crescimento!#REF!-(AZ43*0.64))/0.8)/1000)-Crescimento!#REF!</f>
        <v>#REF!</v>
      </c>
      <c r="AZ44" s="22" t="e">
        <f>-53.07 + (304.89 * (AY44)) + (90.79 *(Crescimento!#REF!-Crescimento!#REF!)) - (3.13 * (Crescimento!#REF!-Crescimento!#REF!)^2)</f>
        <v>#REF!</v>
      </c>
      <c r="BA44" s="23"/>
      <c r="BB44" s="21" t="e">
        <f>((BC43+(Crescimento!#REF!-(BC43*0.64))/0.8)/1000)-Crescimento!#REF!</f>
        <v>#REF!</v>
      </c>
      <c r="BC44" s="22" t="e">
        <f>-53.07 + (304.89 * (BB44)) + (90.79 *(Crescimento!#REF!-Crescimento!#REF!)) - (3.13 * (Crescimento!#REF!-Crescimento!#REF!)^2)</f>
        <v>#REF!</v>
      </c>
      <c r="BD44" s="23"/>
      <c r="BE44" s="21" t="e">
        <f>((BF43+(Crescimento!#REF!-(BF43*0.64))/0.8)/1000)-Crescimento!#REF!</f>
        <v>#REF!</v>
      </c>
      <c r="BF44" s="22" t="e">
        <f>-53.07 + (304.89 * (BE44)) + (90.79 *(Crescimento!#REF!-Crescimento!#REF!)) - (3.13 * (Crescimento!#REF!-Crescimento!#REF!)^2)</f>
        <v>#REF!</v>
      </c>
      <c r="BG44" s="23"/>
      <c r="BH44" s="21" t="e">
        <f>((BI43+(Crescimento!#REF!-(BI43*0.64))/0.8)/1000)-Crescimento!#REF!</f>
        <v>#REF!</v>
      </c>
      <c r="BI44" s="22" t="e">
        <f>-53.07 + (304.89 * (BH44)) + (90.79 *(Crescimento!#REF!-Crescimento!#REF!)) - (3.13 * (Crescimento!#REF!-Crescimento!#REF!)^2)</f>
        <v>#REF!</v>
      </c>
      <c r="BJ44" s="23"/>
      <c r="BK44" s="21" t="e">
        <f>((BL43+(Crescimento!#REF!-(BL43*0.64))/0.8)/1000)-Crescimento!#REF!</f>
        <v>#REF!</v>
      </c>
      <c r="BL44" s="22" t="e">
        <f>-53.07 + (304.89 * (BK44)) + (90.79 *(Crescimento!#REF!-Crescimento!#REF!)) - (3.13 * (Crescimento!#REF!-Crescimento!#REF!)^2)</f>
        <v>#REF!</v>
      </c>
      <c r="BM44" s="23"/>
      <c r="BN44" s="21" t="e">
        <f>((BO43+(Crescimento!#REF!-(BO43*0.64))/0.8)/1000)-Crescimento!#REF!</f>
        <v>#REF!</v>
      </c>
      <c r="BO44" s="22" t="e">
        <f>-53.07 + (304.89 * (BN44)) + (90.79 *(Crescimento!#REF!-Crescimento!#REF!)) - (3.13 * (Crescimento!#REF!-Crescimento!#REF!)^2)</f>
        <v>#REF!</v>
      </c>
      <c r="BP44" s="23"/>
      <c r="BQ44" s="21" t="e">
        <f>((BR43+(Crescimento!#REF!-(BR43*0.64))/0.8)/1000)-Crescimento!#REF!</f>
        <v>#REF!</v>
      </c>
      <c r="BR44" s="22" t="e">
        <f>-53.07 + (304.89 * (BQ44)) + (90.79 *(Crescimento!#REF!-Crescimento!#REF!)) - (3.13 * (Crescimento!#REF!-Crescimento!#REF!)^2)</f>
        <v>#REF!</v>
      </c>
      <c r="BS44" s="23"/>
      <c r="BT44" s="21" t="e">
        <f>((BU43+(Crescimento!#REF!-(BU43*0.64))/0.8)/1000)-Crescimento!#REF!</f>
        <v>#REF!</v>
      </c>
      <c r="BU44" s="22" t="e">
        <f>-53.07 + (304.89 * (BT44)) + (90.79 *(Crescimento!#REF!-Crescimento!#REF!)) - (3.13 * (Crescimento!#REF!-Crescimento!#REF!)^2)</f>
        <v>#REF!</v>
      </c>
      <c r="BV44" s="23"/>
      <c r="BW44" s="21" t="e">
        <f>((BX43+(Crescimento!#REF!-(BX43*0.64))/0.8)/1000)-Crescimento!#REF!</f>
        <v>#REF!</v>
      </c>
      <c r="BX44" s="22" t="e">
        <f>-53.07 + (304.89 * (BW44)) + (90.79 *(Crescimento!#REF!-Crescimento!#REF!)) - (3.13 * (Crescimento!#REF!-Crescimento!#REF!)^2)</f>
        <v>#REF!</v>
      </c>
      <c r="BY44" s="23"/>
      <c r="BZ44" s="21" t="e">
        <f>((CA43+(Crescimento!#REF!-(CA43*0.64))/0.8)/1000)-Crescimento!#REF!</f>
        <v>#REF!</v>
      </c>
      <c r="CA44" s="22" t="e">
        <f>-53.07 + (304.89 * (BZ44)) + (90.79 *(Crescimento!#REF!-Crescimento!#REF!)) - (3.13 * (Crescimento!#REF!-Crescimento!#REF!)^2)</f>
        <v>#REF!</v>
      </c>
      <c r="CB44" s="23"/>
      <c r="CC44" s="21" t="e">
        <f>((CD43+(Crescimento!#REF!-(CD43*0.64))/0.8)/1000)-Crescimento!#REF!</f>
        <v>#REF!</v>
      </c>
      <c r="CD44" s="22" t="e">
        <f>-53.07 + (304.89 * (CC44)) + (90.79 *(Crescimento!#REF!-Crescimento!#REF!)) - (3.13 * (Crescimento!#REF!-Crescimento!#REF!)^2)</f>
        <v>#REF!</v>
      </c>
      <c r="CE44" s="23"/>
      <c r="CF44" s="21" t="e">
        <f>((CG43+(Crescimento!#REF!-(CG43*0.64))/0.8)/1000)-Crescimento!#REF!</f>
        <v>#REF!</v>
      </c>
      <c r="CG44" s="22" t="e">
        <f>-53.07 + (304.89 * (CF44)) + (90.79 *(Crescimento!#REF!-Crescimento!#REF!)) - (3.13 * (Crescimento!#REF!-Crescimento!#REF!)^2)</f>
        <v>#REF!</v>
      </c>
      <c r="CH44" s="23"/>
      <c r="CI44" s="21" t="e">
        <f>((CJ43+(Crescimento!#REF!-(CJ43*0.64))/0.8)/1000)-Crescimento!#REF!</f>
        <v>#REF!</v>
      </c>
      <c r="CJ44" s="22" t="e">
        <f>-53.07 + (304.89 * (CI44)) + (90.79 *(Crescimento!#REF!-Crescimento!#REF!)) - (3.13 * (Crescimento!#REF!-Crescimento!#REF!)^2)</f>
        <v>#REF!</v>
      </c>
      <c r="CK44" s="23"/>
      <c r="CL44" s="21" t="e">
        <f>((CM43+(Crescimento!#REF!-(CM43*0.64))/0.8)/1000)-Crescimento!#REF!</f>
        <v>#REF!</v>
      </c>
      <c r="CM44" s="22" t="e">
        <f>-53.07 + (304.89 * (CL44)) + (90.79 *(Crescimento!#REF!-Crescimento!#REF!)) - (3.13 * (Crescimento!#REF!-Crescimento!#REF!)^2)</f>
        <v>#REF!</v>
      </c>
      <c r="CN44" s="23"/>
      <c r="CO44" s="21" t="e">
        <f>((CP43+(Crescimento!#REF!-(CP43*0.64))/0.8)/1000)-Crescimento!#REF!</f>
        <v>#REF!</v>
      </c>
      <c r="CP44" s="22" t="e">
        <f>-53.07 + (304.89 * (CO44)) + (90.79 *(Crescimento!#REF!-Crescimento!#REF!)) - (3.13 * (Crescimento!#REF!-Crescimento!#REF!)^2)</f>
        <v>#REF!</v>
      </c>
      <c r="CQ44" s="23"/>
      <c r="CR44" s="21" t="e">
        <f>((CS43+(Crescimento!#REF!-(CS43*0.64))/0.8)/1000)-Crescimento!#REF!</f>
        <v>#REF!</v>
      </c>
      <c r="CS44" s="22" t="e">
        <f>-53.07 + (304.89 * (CR44)) + (90.79 *(Crescimento!#REF!-Crescimento!#REF!)) - (3.13 * (Crescimento!#REF!-Crescimento!#REF!)^2)</f>
        <v>#REF!</v>
      </c>
      <c r="CX44" s="16" t="e">
        <f>((CY43+(Crescimento!#REF!-(CY43*0.64))/0.8)/1000)-Crescimento!#REF!</f>
        <v>#REF!</v>
      </c>
      <c r="CY44" s="17" t="e">
        <f>-53.07 + (304.89 * (CX44)) + (90.79 *(Crescimento!#REF!-Crescimento!#REF!)) - (3.13 * (Crescimento!#REF!-Crescimento!#REF!)^2)</f>
        <v>#REF!</v>
      </c>
      <c r="DA44" s="16" t="e">
        <f>((DB43+(Crescimento!#REF!-(DB43*0.64))/0.8)/1000)-Crescimento!#REF!</f>
        <v>#REF!</v>
      </c>
      <c r="DB44" s="17" t="e">
        <f>-53.07 + (304.89 * (DA44)) + (90.79 *(Crescimento!#REF!-Crescimento!#REF!)) - (3.13 * (Crescimento!#REF!-Crescimento!#REF!)^2)</f>
        <v>#REF!</v>
      </c>
      <c r="DD44" s="16" t="e">
        <f>(DE43+(Crescimento!#REF!-(DE43*0.64))/0.8)/1000</f>
        <v>#REF!</v>
      </c>
      <c r="DE44" s="17" t="e">
        <f>-53.07 + (304.89 * (DD44)) + (90.79 *Crescimento!#REF!) - (3.13 * Crescimento!#REF!*Crescimento!#REF!)</f>
        <v>#REF!</v>
      </c>
      <c r="DG44" s="16" t="e">
        <f>((DH43+(Crescimento!#REF!-(DH43*0.64))/0.8)/1000)-Crescimento!#REF!</f>
        <v>#REF!</v>
      </c>
      <c r="DH44" s="17" t="e">
        <f>-53.07 + (304.89 * (DG44)) + (90.79 *(Crescimento!#REF!-Crescimento!#REF!)) - (3.13 * (Crescimento!#REF!-Crescimento!#REF!)^2)</f>
        <v>#REF!</v>
      </c>
      <c r="DJ44" s="16" t="e">
        <f>((DK43+(Crescimento!#REF!-(DK43*0.64))/0.8)/1000)-Crescimento!#REF!</f>
        <v>#REF!</v>
      </c>
      <c r="DK44" s="17" t="e">
        <f>-53.07 + (304.89 * (DJ44)) + (90.79 *(Crescimento!#REF!-Crescimento!#REF!)) - (3.13 * (Crescimento!#REF!-Crescimento!#REF!)^2)</f>
        <v>#REF!</v>
      </c>
      <c r="DM44" s="16" t="e">
        <f>((DN43+(Crescimento!#REF!-(DN43*0.64))/0.8)/1000)-Crescimento!#REF!</f>
        <v>#REF!</v>
      </c>
      <c r="DN44" s="17" t="e">
        <f>-53.07 + (304.89 * (DM44)) + (90.79 *(Crescimento!#REF!-Crescimento!#REF!)) - (3.13 * (Crescimento!#REF!-Crescimento!#REF!)^2)</f>
        <v>#REF!</v>
      </c>
      <c r="DP44" s="16" t="e">
        <f>(DQ43+(Crescimento!#REF!-(DQ43*0.64))/0.8)/1000</f>
        <v>#REF!</v>
      </c>
      <c r="DQ44" s="17" t="e">
        <f>-53.07 + (304.89 * (DP44)) + (90.79 *(Crescimento!#REF!-Crescimento!#REF!)) - (3.13 * (Crescimento!#REF!-Crescimento!#REF!)^2)</f>
        <v>#REF!</v>
      </c>
      <c r="DS44" s="16" t="e">
        <f>((DT43+(Crescimento!#REF!-(DT43*0.64))/0.8)/1000)-Crescimento!#REF!</f>
        <v>#REF!</v>
      </c>
      <c r="DT44" s="17" t="e">
        <f>-53.07 + (304.89 * (DS44)) + (90.79 *(Crescimento!#REF!-Crescimento!#REF!)) - (3.13 * (Crescimento!#REF!-Crescimento!#REF!)^2)</f>
        <v>#REF!</v>
      </c>
      <c r="DV44" s="16" t="e">
        <f>((DW43+(Crescimento!#REF!-(DW43*0.64))/0.8)/1000)-Crescimento!#REF!</f>
        <v>#REF!</v>
      </c>
      <c r="DW44" s="17" t="e">
        <f>-53.07 + (304.89 * (DV44)) + (90.79 *(Crescimento!#REF!-Crescimento!#REF!)) - (3.13 * (Crescimento!#REF!-Crescimento!#REF!)^2)</f>
        <v>#REF!</v>
      </c>
      <c r="DY44" s="16" t="e">
        <f>((DZ43+(Crescimento!#REF!-(DZ43*0.64))/0.8)/1000)-Crescimento!#REF!</f>
        <v>#REF!</v>
      </c>
      <c r="DZ44" s="17" t="e">
        <f>-53.07 + (304.89 * (DY44)) + (90.79 *(Crescimento!#REF!-Crescimento!#REF!)) - (3.13 * (Crescimento!#REF!-Crescimento!#REF!)^2)</f>
        <v>#REF!</v>
      </c>
      <c r="EB44" s="16" t="e">
        <f>((EC43+(Crescimento!#REF!-(EC43*0.64))/0.8)/1000)-Crescimento!#REF!</f>
        <v>#REF!</v>
      </c>
      <c r="EC44" s="17" t="e">
        <f>-53.07 + (304.89 * (EB44)) + (90.79 *(Crescimento!#REF!-Crescimento!#REF!)) - (3.13 * (Crescimento!#REF!-Crescimento!#REF!)^2)</f>
        <v>#REF!</v>
      </c>
      <c r="EE44" s="16" t="e">
        <f>((EF43+(Crescimento!#REF!-(EF43*0.64))/0.8)/1000)-Crescimento!#REF!</f>
        <v>#REF!</v>
      </c>
      <c r="EF44" s="17" t="e">
        <f>-53.07 + (304.89 * (EE44)) + (90.79 *(Crescimento!#REF!-Crescimento!#REF!)) - (3.13 * (Crescimento!#REF!-Crescimento!#REF!)^2)</f>
        <v>#REF!</v>
      </c>
      <c r="EH44" s="16" t="e">
        <f>((EI43+(Crescimento!#REF!-(EI43*0.64))/0.8)/1000)-Crescimento!#REF!</f>
        <v>#REF!</v>
      </c>
      <c r="EI44" s="17" t="e">
        <f>-53.07 + (304.89 * (EH44)) + (90.79 *(Crescimento!#REF!-Crescimento!#REF!)) - (3.13 * (Crescimento!#REF!-Crescimento!#REF!)^2)</f>
        <v>#REF!</v>
      </c>
      <c r="EK44" s="16" t="e">
        <f>((EL43+(Crescimento!#REF!-(EL43*0.64))/0.8)/1000)-Crescimento!#REF!</f>
        <v>#REF!</v>
      </c>
      <c r="EL44" s="17" t="e">
        <f>-53.07 + (304.89 * (EK44)) + (90.79 *(Crescimento!#REF!-Crescimento!#REF!)) - (3.13 * (Crescimento!#REF!-Crescimento!#REF!)^2)</f>
        <v>#REF!</v>
      </c>
      <c r="EN44" s="16" t="e">
        <f>((EO43+(Crescimento!#REF!-(EO43*0.64))/0.8)/1000)-Crescimento!#REF!</f>
        <v>#REF!</v>
      </c>
      <c r="EO44" s="17" t="e">
        <f>-53.07 + (304.89 * (EN44)) + (90.79 *(Crescimento!#REF!-Crescimento!#REF!)) - (3.13 * (Crescimento!#REF!-Crescimento!#REF!)^2)</f>
        <v>#REF!</v>
      </c>
      <c r="EQ44" s="16" t="e">
        <f>((ER43+(Crescimento!#REF!-(ER43*0.64))/0.8)/1000)-Crescimento!#REF!</f>
        <v>#REF!</v>
      </c>
      <c r="ER44" s="17" t="e">
        <f>-53.07 + (304.89 * (EQ44)) + (90.79 *(Crescimento!#REF!-Crescimento!#REF!)) - (3.13 * (Crescimento!#REF!-Crescimento!#REF!)^2)</f>
        <v>#REF!</v>
      </c>
      <c r="ET44" s="16" t="e">
        <f>((EU43+(Crescimento!#REF!-(EU43*0.64))/0.8)/1000)-Crescimento!#REF!</f>
        <v>#REF!</v>
      </c>
      <c r="EU44" s="17" t="e">
        <f>-53.07 + (304.89 * (ET44)) + (90.79 *(Crescimento!#REF!-Crescimento!#REF!)) - (3.13 * (Crescimento!#REF!-Crescimento!#REF!)^2)</f>
        <v>#REF!</v>
      </c>
      <c r="EW44" s="16" t="e">
        <f>((EX43+('Vacas e Bezerros'!#REF!-(EX43*0.64))/0.8)/1000)-'Vacas e Bezerros'!#REF!</f>
        <v>#REF!</v>
      </c>
      <c r="EX44" s="17" t="e">
        <f>-53.07 + (304.89 * (EW44)) + (90.79 *('Vacas e Bezerros'!#REF!-'Vacas e Bezerros'!#REF!)) - (3.13 * ('Vacas e Bezerros'!#REF!-'Vacas e Bezerros'!#REF!)^2)</f>
        <v>#REF!</v>
      </c>
      <c r="EZ44" s="16" t="e">
        <f>((FA43+('Vacas e Bezerros'!#REF!-(FA43*0.64))/0.8)/1000)-'Vacas e Bezerros'!#REF!</f>
        <v>#REF!</v>
      </c>
      <c r="FA44" s="17" t="e">
        <f>-53.07 + (304.89 * (EZ44)) + (90.79 *('Vacas e Bezerros'!#REF!-'Vacas e Bezerros'!#REF!)) - (3.13 * ('Vacas e Bezerros'!#REF!-'Vacas e Bezerros'!#REF!)^2)</f>
        <v>#REF!</v>
      </c>
      <c r="FC44" s="16" t="e">
        <f>((FD43+('Vacas e Bezerros'!#REF!-(FD43*0.64))/0.8)/1000)-'Vacas e Bezerros'!#REF!</f>
        <v>#REF!</v>
      </c>
      <c r="FD44" s="17" t="e">
        <f>-53.07 + (304.89 * (FC44)) + (90.79 *('Vacas e Bezerros'!#REF!-'Vacas e Bezerros'!#REF!)) - (3.13 * ('Vacas e Bezerros'!#REF!-'Vacas e Bezerros'!#REF!)^2)</f>
        <v>#REF!</v>
      </c>
      <c r="FF44" s="16" t="e">
        <f>((FG43+('Vacas e Bezerros'!#REF!-(FG43*0.64))/0.8)/1000)-'Vacas e Bezerros'!#REF!</f>
        <v>#REF!</v>
      </c>
      <c r="FG44" s="17" t="e">
        <f>-53.07 + (304.89 * (FF44)) + (90.79 *('Vacas e Bezerros'!#REF!-'Vacas e Bezerros'!#REF!)) - (3.13 * ('Vacas e Bezerros'!#REF!-'Vacas e Bezerros'!#REF!)^2)</f>
        <v>#REF!</v>
      </c>
      <c r="FI44" s="16" t="e">
        <f>((FJ43+('Vacas e Bezerros'!#REF!-(FJ43*0.64))/0.8)/1000)-'Vacas e Bezerros'!#REF!</f>
        <v>#REF!</v>
      </c>
      <c r="FJ44" s="17" t="e">
        <f>-53.07 + (304.89 * (FI44)) + (90.79 *('Vacas e Bezerros'!#REF!-'Vacas e Bezerros'!#REF!)) - (3.13 * ('Vacas e Bezerros'!#REF!-'Vacas e Bezerros'!#REF!)^2)</f>
        <v>#REF!</v>
      </c>
      <c r="FL44" s="16" t="e">
        <f>((FM43+('Vacas e Bezerros'!#REF!-(FM43*0.64))/0.8)/1000)-'Vacas e Bezerros'!#REF!</f>
        <v>#REF!</v>
      </c>
      <c r="FM44" s="17" t="e">
        <f>-53.07 + (304.89 * (FL44)) + (90.79 *('Vacas e Bezerros'!#REF!-'Vacas e Bezerros'!#REF!)) - (3.13 * ('Vacas e Bezerros'!#REF!-'Vacas e Bezerros'!#REF!)^2)</f>
        <v>#REF!</v>
      </c>
      <c r="FO44" s="16" t="e">
        <f>((FP43+('Vacas e Bezerros'!#REF!-(FP43*0.64))/0.8)/1000)-'Vacas e Bezerros'!#REF!</f>
        <v>#REF!</v>
      </c>
      <c r="FP44" s="17" t="e">
        <f>-53.07 + (304.89 * (FO44)) + (90.79 *('Vacas e Bezerros'!#REF!-'Vacas e Bezerros'!#REF!)) - (3.13 * ('Vacas e Bezerros'!#REF!-'Vacas e Bezerros'!#REF!)^2)</f>
        <v>#REF!</v>
      </c>
      <c r="FR44" s="16" t="e">
        <f>((FS43+('Vacas e Bezerros'!#REF!-(FS43*0.64))/0.8)/1000)-'Vacas e Bezerros'!#REF!</f>
        <v>#REF!</v>
      </c>
      <c r="FS44" s="17" t="e">
        <f>-53.07 + (304.89 * (FR44)) + (90.79 *('Vacas e Bezerros'!#REF!-'Vacas e Bezerros'!#REF!)) - (3.13 * ('Vacas e Bezerros'!#REF!-'Vacas e Bezerros'!#REF!)^2)</f>
        <v>#REF!</v>
      </c>
      <c r="FU44" s="16" t="e">
        <f>((FV43+('Vacas e Bezerros'!#REF!-(FV43*0.64))/0.8)/1000)-'Vacas e Bezerros'!#REF!</f>
        <v>#REF!</v>
      </c>
      <c r="FV44" s="17" t="e">
        <f>-53.07 + (304.89 * (FU44)) + (90.79 *('Vacas e Bezerros'!#REF!-'Vacas e Bezerros'!#REF!)) - (3.13 * ('Vacas e Bezerros'!#REF!-'Vacas e Bezerros'!#REF!)^2)</f>
        <v>#REF!</v>
      </c>
      <c r="FX44" s="16" t="e">
        <f>((FY43+('Vacas e Bezerros'!#REF!-(FY43*0.64))/0.8)/1000)-'Vacas e Bezerros'!#REF!</f>
        <v>#REF!</v>
      </c>
      <c r="FY44" s="17" t="e">
        <f>-53.07 + (304.89 * (FX44)) + (90.79 *('Vacas e Bezerros'!#REF!-'Vacas e Bezerros'!#REF!)) - (3.13 * ('Vacas e Bezerros'!#REF!-'Vacas e Bezerros'!#REF!)^2)</f>
        <v>#REF!</v>
      </c>
      <c r="GA44" s="16" t="e">
        <f>((GB43+('Vacas e Bezerros'!#REF!-(GB43*0.64))/0.8)/1000)-'Vacas e Bezerros'!#REF!</f>
        <v>#REF!</v>
      </c>
      <c r="GB44" s="17" t="e">
        <f>-53.07 + (304.89 * (GA44)) + (90.79 *('Vacas e Bezerros'!#REF!-'Vacas e Bezerros'!#REF!)) - (3.13 * ('Vacas e Bezerros'!#REF!-'Vacas e Bezerros'!#REF!)^2)</f>
        <v>#REF!</v>
      </c>
      <c r="GD44" s="16" t="e">
        <f>((GE43+('Vacas e Bezerros'!#REF!-(GE43*0.64))/0.8)/1000)-'Vacas e Bezerros'!#REF!</f>
        <v>#REF!</v>
      </c>
      <c r="GE44" s="17" t="e">
        <f>-53.07 + (304.89 * (GD44)) + (90.79 *('Vacas e Bezerros'!#REF!-'Vacas e Bezerros'!#REF!)) - (3.13 * ('Vacas e Bezerros'!#REF!-'Vacas e Bezerros'!#REF!)^2)</f>
        <v>#REF!</v>
      </c>
      <c r="GG44" s="16" t="e">
        <f>((GH43+('Vacas e Bezerros'!#REF!-(GH43*0.64))/0.8)/1000)-'Vacas e Bezerros'!#REF!</f>
        <v>#REF!</v>
      </c>
      <c r="GH44" s="17" t="e">
        <f>-53.07 + (304.89 * (GG44)) + (90.79 *('Vacas e Bezerros'!#REF!-'Vacas e Bezerros'!#REF!)) - (3.13 * ('Vacas e Bezerros'!#REF!-'Vacas e Bezerros'!#REF!)^2)</f>
        <v>#REF!</v>
      </c>
      <c r="GJ44" s="16" t="e">
        <f>((GK43+('Vacas e Bezerros'!#REF!-(GK43*0.64))/0.8)/1000)-'Vacas e Bezerros'!#REF!</f>
        <v>#REF!</v>
      </c>
      <c r="GK44" s="17" t="e">
        <f>-53.07 + (304.89 * (GJ44)) + (90.79 *('Vacas e Bezerros'!#REF!-'Vacas e Bezerros'!#REF!)) - (3.13 * ('Vacas e Bezerros'!#REF!-'Vacas e Bezerros'!#REF!)^2)</f>
        <v>#REF!</v>
      </c>
      <c r="GM44" s="16" t="e">
        <f>((GN43+('Vacas e Bezerros'!#REF!-(GN43*0.64))/0.8)/1000)-'Vacas e Bezerros'!#REF!</f>
        <v>#REF!</v>
      </c>
      <c r="GN44" s="17" t="e">
        <f>-53.07 + (304.89 * (GM44)) + (90.79 *('Vacas e Bezerros'!#REF!-'Vacas e Bezerros'!#REF!)) - (3.13 * ('Vacas e Bezerros'!#REF!-'Vacas e Bezerros'!#REF!)^2)</f>
        <v>#REF!</v>
      </c>
    </row>
    <row r="45" spans="3:196" x14ac:dyDescent="0.25">
      <c r="C45" s="16">
        <f>(D44+('Vacas e Bezerros'!$AA$28-(D44*0.64))/0.8)/1000</f>
        <v>0.35719668016155687</v>
      </c>
      <c r="D45" s="17">
        <f>-53.07 + (304.89 * (C45-'Vacas e Bezerros'!$C$206)) + (90.79 *('Vacas e Bezerros'!$AA$22)) - (3.13 *('Vacas e Bezerros'!$AA$22)^2)</f>
        <v>165.01876457544017</v>
      </c>
      <c r="F45" s="16" t="e">
        <f>(G44+(Crescimento!#REF!-(G44*0.64))/0.8)/1000</f>
        <v>#REF!</v>
      </c>
      <c r="G45" s="17" t="e">
        <f>-53.07 + (304.89 * (F45)) + (90.79 *Crescimento!#REF!) - (3.13 * Crescimento!#REF!*Crescimento!#REF!)</f>
        <v>#REF!</v>
      </c>
      <c r="H45" s="1"/>
      <c r="I45" s="16" t="e">
        <f>(J44+(Crescimento!#REF!-(J44*0.64))/0.8)/1000</f>
        <v>#REF!</v>
      </c>
      <c r="J45" s="17" t="e">
        <f>-53.07 + (304.89 * (I45)) + (90.79 *Crescimento!#REF!) - (3.13 * Crescimento!#REF!*Crescimento!#REF!)</f>
        <v>#REF!</v>
      </c>
      <c r="L45" s="16" t="e">
        <f>(M44+(Crescimento!#REF!-(M44*0.64))/0.8)/1000</f>
        <v>#REF!</v>
      </c>
      <c r="M45" s="17" t="e">
        <f>-53.07 + (304.89 * (L45)) + (90.79 *Crescimento!#REF!) - (3.13 * Crescimento!#REF!*Crescimento!#REF!)</f>
        <v>#REF!</v>
      </c>
      <c r="O45" s="16" t="e">
        <f>(P44+(Crescimento!#REF!-(P44*0.64))/0.8)/1000</f>
        <v>#REF!</v>
      </c>
      <c r="P45" s="17" t="e">
        <f>-53.07 + (304.89 * (O45)) + (90.79 *Crescimento!#REF!) - (3.13 * Crescimento!#REF!*Crescimento!#REF!)</f>
        <v>#REF!</v>
      </c>
      <c r="R45" s="16" t="e">
        <f>(S44+(Crescimento!#REF!-(S44*0.64))/0.8)/1000</f>
        <v>#REF!</v>
      </c>
      <c r="S45" s="17" t="e">
        <f>-53.07 + (304.89 * (R45)) + (90.79 *Crescimento!#REF!) - (3.13 * Crescimento!#REF!*Crescimento!#REF!)</f>
        <v>#REF!</v>
      </c>
      <c r="U45" s="16" t="e">
        <f>(V44+(Crescimento!#REF!-(V44*0.64))/0.8)/1000</f>
        <v>#REF!</v>
      </c>
      <c r="V45" s="17" t="e">
        <f>-53.07 + (304.89 * (U45)) + (90.79 *Crescimento!#REF!) - (3.13 * Crescimento!#REF!*Crescimento!#REF!)</f>
        <v>#REF!</v>
      </c>
      <c r="X45" s="16" t="e">
        <f>(Y44+(Crescimento!#REF!-(Y44*0.64))/0.8)/1000</f>
        <v>#REF!</v>
      </c>
      <c r="Y45" s="17" t="e">
        <f>-53.07 + (304.89 * (X45)) + (90.79 *Crescimento!#REF!) - (3.13 * Crescimento!#REF!*Crescimento!#REF!)</f>
        <v>#REF!</v>
      </c>
      <c r="Z45" s="6"/>
      <c r="AA45" s="16" t="e">
        <f>(AB44+(Crescimento!#REF!-(AB44*0.64))/0.8)/1000</f>
        <v>#REF!</v>
      </c>
      <c r="AB45" s="17" t="e">
        <f>-53.07 + (304.89 * (AA45)) + (90.79 *Crescimento!#REF!) - (3.13 * Crescimento!#REF!*Crescimento!#REF!)</f>
        <v>#REF!</v>
      </c>
      <c r="AC45" s="6"/>
      <c r="AD45" s="16" t="e">
        <f>(AE44+(Crescimento!#REF!-(AE44*0.64))/0.8)/1000</f>
        <v>#REF!</v>
      </c>
      <c r="AE45" s="17" t="e">
        <f>-53.07 + (304.89 * (AD45)) + (90.79 *Crescimento!#REF!) - (3.13 * Crescimento!#REF!*Crescimento!#REF!)</f>
        <v>#REF!</v>
      </c>
      <c r="AF45" s="17"/>
      <c r="AG45" s="16" t="e">
        <f>(AH44+(Crescimento!#REF!-(AH44*0.64))/0.8)/1000</f>
        <v>#REF!</v>
      </c>
      <c r="AH45" s="17" t="e">
        <f>-53.07 + (304.89 * (AG45)) + (90.79 *Crescimento!#REF!) - (3.13 * Crescimento!#REF!*Crescimento!#REF!)</f>
        <v>#REF!</v>
      </c>
      <c r="AJ45" s="16" t="e">
        <f>(AK44+(Crescimento!#REF!-(AK44*0.64))/0.8)/1000</f>
        <v>#REF!</v>
      </c>
      <c r="AK45" s="17" t="e">
        <f>-53.07 + (304.89 * (AJ45)) + (90.79 *Crescimento!#REF!) - (3.13 * Crescimento!#REF!*Crescimento!#REF!)</f>
        <v>#REF!</v>
      </c>
      <c r="AM45" s="16" t="e">
        <f>(AN44+(Crescimento!#REF!-(AN44*0.64))/0.8)/1000</f>
        <v>#REF!</v>
      </c>
      <c r="AN45" s="17" t="e">
        <f>-53.07 + (304.89 * (AM45)) + (90.79 *Crescimento!#REF!) - (3.13 * Crescimento!#REF!*Crescimento!#REF!)</f>
        <v>#REF!</v>
      </c>
      <c r="AP45" s="16" t="e">
        <f>(AQ44+(Crescimento!#REF!-(AQ44*0.64))/0.8)/1000</f>
        <v>#REF!</v>
      </c>
      <c r="AQ45" s="17" t="e">
        <f>-53.07 + (304.89 * (AP45)) + (90.79 *Crescimento!#REF!) - (3.13 * Crescimento!#REF!*Crescimento!#REF!)</f>
        <v>#REF!</v>
      </c>
      <c r="AS45" s="16" t="e">
        <f>(AT44+(Crescimento!#REF!-(AT44*0.64))/0.8)/1000</f>
        <v>#REF!</v>
      </c>
      <c r="AT45" s="17" t="e">
        <f>-53.07 + (304.89 * (AS45)) + (90.79 *Crescimento!#REF!) - (3.13 * Crescimento!#REF!*Crescimento!#REF!)</f>
        <v>#REF!</v>
      </c>
      <c r="AV45" s="16" t="e">
        <f>(AW44+(Crescimento!#REF!-(AW44*0.64))/0.8)/1000</f>
        <v>#REF!</v>
      </c>
      <c r="AW45" s="17" t="e">
        <f>-53.07 + (304.89 * (AV45)) + (90.79 *Crescimento!#REF!) - (3.13 * Crescimento!#REF!*Crescimento!#REF!)</f>
        <v>#REF!</v>
      </c>
      <c r="AY45" s="21" t="e">
        <f>((AZ44+(Crescimento!#REF!-(AZ44*0.64))/0.8)/1000)-Crescimento!#REF!</f>
        <v>#REF!</v>
      </c>
      <c r="AZ45" s="22" t="e">
        <f>-53.07 + (304.89 * (AY45)) + (90.79 *(Crescimento!#REF!-Crescimento!#REF!)) - (3.13 * (Crescimento!#REF!-Crescimento!#REF!)^2)</f>
        <v>#REF!</v>
      </c>
      <c r="BA45" s="23"/>
      <c r="BB45" s="21" t="e">
        <f>((BC44+(Crescimento!#REF!-(BC44*0.64))/0.8)/1000)-Crescimento!#REF!</f>
        <v>#REF!</v>
      </c>
      <c r="BC45" s="22" t="e">
        <f>-53.07 + (304.89 * (BB45)) + (90.79 *(Crescimento!#REF!-Crescimento!#REF!)) - (3.13 * (Crescimento!#REF!-Crescimento!#REF!)^2)</f>
        <v>#REF!</v>
      </c>
      <c r="BD45" s="23"/>
      <c r="BE45" s="21" t="e">
        <f>((BF44+(Crescimento!#REF!-(BF44*0.64))/0.8)/1000)-Crescimento!#REF!</f>
        <v>#REF!</v>
      </c>
      <c r="BF45" s="22" t="e">
        <f>-53.07 + (304.89 * (BE45)) + (90.79 *(Crescimento!#REF!-Crescimento!#REF!)) - (3.13 * (Crescimento!#REF!-Crescimento!#REF!)^2)</f>
        <v>#REF!</v>
      </c>
      <c r="BG45" s="23"/>
      <c r="BH45" s="21" t="e">
        <f>((BI44+(Crescimento!#REF!-(BI44*0.64))/0.8)/1000)-Crescimento!#REF!</f>
        <v>#REF!</v>
      </c>
      <c r="BI45" s="22" t="e">
        <f>-53.07 + (304.89 * (BH45)) + (90.79 *(Crescimento!#REF!-Crescimento!#REF!)) - (3.13 * (Crescimento!#REF!-Crescimento!#REF!)^2)</f>
        <v>#REF!</v>
      </c>
      <c r="BJ45" s="23"/>
      <c r="BK45" s="21" t="e">
        <f>((BL44+(Crescimento!#REF!-(BL44*0.64))/0.8)/1000)-Crescimento!#REF!</f>
        <v>#REF!</v>
      </c>
      <c r="BL45" s="22" t="e">
        <f>-53.07 + (304.89 * (BK45)) + (90.79 *(Crescimento!#REF!-Crescimento!#REF!)) - (3.13 * (Crescimento!#REF!-Crescimento!#REF!)^2)</f>
        <v>#REF!</v>
      </c>
      <c r="BM45" s="23"/>
      <c r="BN45" s="21" t="e">
        <f>((BO44+(Crescimento!#REF!-(BO44*0.64))/0.8)/1000)-Crescimento!#REF!</f>
        <v>#REF!</v>
      </c>
      <c r="BO45" s="22" t="e">
        <f>-53.07 + (304.89 * (BN45)) + (90.79 *(Crescimento!#REF!-Crescimento!#REF!)) - (3.13 * (Crescimento!#REF!-Crescimento!#REF!)^2)</f>
        <v>#REF!</v>
      </c>
      <c r="BP45" s="23"/>
      <c r="BQ45" s="21" t="e">
        <f>((BR44+(Crescimento!#REF!-(BR44*0.64))/0.8)/1000)-Crescimento!#REF!</f>
        <v>#REF!</v>
      </c>
      <c r="BR45" s="22" t="e">
        <f>-53.07 + (304.89 * (BQ45)) + (90.79 *(Crescimento!#REF!-Crescimento!#REF!)) - (3.13 * (Crescimento!#REF!-Crescimento!#REF!)^2)</f>
        <v>#REF!</v>
      </c>
      <c r="BS45" s="23"/>
      <c r="BT45" s="21" t="e">
        <f>((BU44+(Crescimento!#REF!-(BU44*0.64))/0.8)/1000)-Crescimento!#REF!</f>
        <v>#REF!</v>
      </c>
      <c r="BU45" s="22" t="e">
        <f>-53.07 + (304.89 * (BT45)) + (90.79 *(Crescimento!#REF!-Crescimento!#REF!)) - (3.13 * (Crescimento!#REF!-Crescimento!#REF!)^2)</f>
        <v>#REF!</v>
      </c>
      <c r="BV45" s="23"/>
      <c r="BW45" s="21" t="e">
        <f>((BX44+(Crescimento!#REF!-(BX44*0.64))/0.8)/1000)-Crescimento!#REF!</f>
        <v>#REF!</v>
      </c>
      <c r="BX45" s="22" t="e">
        <f>-53.07 + (304.89 * (BW45)) + (90.79 *(Crescimento!#REF!-Crescimento!#REF!)) - (3.13 * (Crescimento!#REF!-Crescimento!#REF!)^2)</f>
        <v>#REF!</v>
      </c>
      <c r="BY45" s="23"/>
      <c r="BZ45" s="21" t="e">
        <f>((CA44+(Crescimento!#REF!-(CA44*0.64))/0.8)/1000)-Crescimento!#REF!</f>
        <v>#REF!</v>
      </c>
      <c r="CA45" s="22" t="e">
        <f>-53.07 + (304.89 * (BZ45)) + (90.79 *(Crescimento!#REF!-Crescimento!#REF!)) - (3.13 * (Crescimento!#REF!-Crescimento!#REF!)^2)</f>
        <v>#REF!</v>
      </c>
      <c r="CB45" s="23"/>
      <c r="CC45" s="21" t="e">
        <f>((CD44+(Crescimento!#REF!-(CD44*0.64))/0.8)/1000)-Crescimento!#REF!</f>
        <v>#REF!</v>
      </c>
      <c r="CD45" s="22" t="e">
        <f>-53.07 + (304.89 * (CC45)) + (90.79 *(Crescimento!#REF!-Crescimento!#REF!)) - (3.13 * (Crescimento!#REF!-Crescimento!#REF!)^2)</f>
        <v>#REF!</v>
      </c>
      <c r="CE45" s="23"/>
      <c r="CF45" s="21" t="e">
        <f>((CG44+(Crescimento!#REF!-(CG44*0.64))/0.8)/1000)-Crescimento!#REF!</f>
        <v>#REF!</v>
      </c>
      <c r="CG45" s="22" t="e">
        <f>-53.07 + (304.89 * (CF45)) + (90.79 *(Crescimento!#REF!-Crescimento!#REF!)) - (3.13 * (Crescimento!#REF!-Crescimento!#REF!)^2)</f>
        <v>#REF!</v>
      </c>
      <c r="CH45" s="23"/>
      <c r="CI45" s="21" t="e">
        <f>((CJ44+(Crescimento!#REF!-(CJ44*0.64))/0.8)/1000)-Crescimento!#REF!</f>
        <v>#REF!</v>
      </c>
      <c r="CJ45" s="22" t="e">
        <f>-53.07 + (304.89 * (CI45)) + (90.79 *(Crescimento!#REF!-Crescimento!#REF!)) - (3.13 * (Crescimento!#REF!-Crescimento!#REF!)^2)</f>
        <v>#REF!</v>
      </c>
      <c r="CK45" s="23"/>
      <c r="CL45" s="21" t="e">
        <f>((CM44+(Crescimento!#REF!-(CM44*0.64))/0.8)/1000)-Crescimento!#REF!</f>
        <v>#REF!</v>
      </c>
      <c r="CM45" s="22" t="e">
        <f>-53.07 + (304.89 * (CL45)) + (90.79 *(Crescimento!#REF!-Crescimento!#REF!)) - (3.13 * (Crescimento!#REF!-Crescimento!#REF!)^2)</f>
        <v>#REF!</v>
      </c>
      <c r="CN45" s="23"/>
      <c r="CO45" s="21" t="e">
        <f>((CP44+(Crescimento!#REF!-(CP44*0.64))/0.8)/1000)-Crescimento!#REF!</f>
        <v>#REF!</v>
      </c>
      <c r="CP45" s="22" t="e">
        <f>-53.07 + (304.89 * (CO45)) + (90.79 *(Crescimento!#REF!-Crescimento!#REF!)) - (3.13 * (Crescimento!#REF!-Crescimento!#REF!)^2)</f>
        <v>#REF!</v>
      </c>
      <c r="CQ45" s="23"/>
      <c r="CR45" s="21" t="e">
        <f>((CS44+(Crescimento!#REF!-(CS44*0.64))/0.8)/1000)-Crescimento!#REF!</f>
        <v>#REF!</v>
      </c>
      <c r="CS45" s="22" t="e">
        <f>-53.07 + (304.89 * (CR45)) + (90.79 *(Crescimento!#REF!-Crescimento!#REF!)) - (3.13 * (Crescimento!#REF!-Crescimento!#REF!)^2)</f>
        <v>#REF!</v>
      </c>
      <c r="CX45" s="16" t="e">
        <f>((CY44+(Crescimento!#REF!-(CY44*0.64))/0.8)/1000)-Crescimento!#REF!</f>
        <v>#REF!</v>
      </c>
      <c r="CY45" s="17" t="e">
        <f>-53.07 + (304.89 * (CX45)) + (90.79 *(Crescimento!#REF!-Crescimento!#REF!)) - (3.13 * (Crescimento!#REF!-Crescimento!#REF!)^2)</f>
        <v>#REF!</v>
      </c>
      <c r="DA45" s="16" t="e">
        <f>((DB44+(Crescimento!#REF!-(DB44*0.64))/0.8)/1000)-Crescimento!#REF!</f>
        <v>#REF!</v>
      </c>
      <c r="DB45" s="17" t="e">
        <f>-53.07 + (304.89 * (DA45)) + (90.79 *(Crescimento!#REF!-Crescimento!#REF!)) - (3.13 * (Crescimento!#REF!-Crescimento!#REF!)^2)</f>
        <v>#REF!</v>
      </c>
      <c r="DD45" s="16" t="e">
        <f>(DE44+(Crescimento!#REF!-(DE44*0.64))/0.8)/1000</f>
        <v>#REF!</v>
      </c>
      <c r="DE45" s="17" t="e">
        <f>-53.07 + (304.89 * (DD45)) + (90.79 *Crescimento!#REF!) - (3.13 * Crescimento!#REF!*Crescimento!#REF!)</f>
        <v>#REF!</v>
      </c>
      <c r="DG45" s="16" t="e">
        <f>((DH44+(Crescimento!#REF!-(DH44*0.64))/0.8)/1000)-Crescimento!#REF!</f>
        <v>#REF!</v>
      </c>
      <c r="DH45" s="17" t="e">
        <f>-53.07 + (304.89 * (DG45)) + (90.79 *(Crescimento!#REF!-Crescimento!#REF!)) - (3.13 * (Crescimento!#REF!-Crescimento!#REF!)^2)</f>
        <v>#REF!</v>
      </c>
      <c r="DJ45" s="16" t="e">
        <f>((DK44+(Crescimento!#REF!-(DK44*0.64))/0.8)/1000)-Crescimento!#REF!</f>
        <v>#REF!</v>
      </c>
      <c r="DK45" s="17" t="e">
        <f>-53.07 + (304.89 * (DJ45)) + (90.79 *(Crescimento!#REF!-Crescimento!#REF!)) - (3.13 * (Crescimento!#REF!-Crescimento!#REF!)^2)</f>
        <v>#REF!</v>
      </c>
      <c r="DM45" s="16" t="e">
        <f>((DN44+(Crescimento!#REF!-(DN44*0.64))/0.8)/1000)-Crescimento!#REF!</f>
        <v>#REF!</v>
      </c>
      <c r="DN45" s="17" t="e">
        <f>-53.07 + (304.89 * (DM45)) + (90.79 *(Crescimento!#REF!-Crescimento!#REF!)) - (3.13 * (Crescimento!#REF!-Crescimento!#REF!)^2)</f>
        <v>#REF!</v>
      </c>
      <c r="DP45" s="16" t="e">
        <f>(DQ44+(Crescimento!#REF!-(DQ44*0.64))/0.8)/1000</f>
        <v>#REF!</v>
      </c>
      <c r="DQ45" s="17" t="e">
        <f>-53.07 + (304.89 * (DP45)) + (90.79 *(Crescimento!#REF!-Crescimento!#REF!)) - (3.13 * (Crescimento!#REF!-Crescimento!#REF!)^2)</f>
        <v>#REF!</v>
      </c>
      <c r="DS45" s="16" t="e">
        <f>((DT44+(Crescimento!#REF!-(DT44*0.64))/0.8)/1000)-Crescimento!#REF!</f>
        <v>#REF!</v>
      </c>
      <c r="DT45" s="17" t="e">
        <f>-53.07 + (304.89 * (DS45)) + (90.79 *(Crescimento!#REF!-Crescimento!#REF!)) - (3.13 * (Crescimento!#REF!-Crescimento!#REF!)^2)</f>
        <v>#REF!</v>
      </c>
      <c r="DV45" s="16" t="e">
        <f>((DW44+(Crescimento!#REF!-(DW44*0.64))/0.8)/1000)-Crescimento!#REF!</f>
        <v>#REF!</v>
      </c>
      <c r="DW45" s="17" t="e">
        <f>-53.07 + (304.89 * (DV45)) + (90.79 *(Crescimento!#REF!-Crescimento!#REF!)) - (3.13 * (Crescimento!#REF!-Crescimento!#REF!)^2)</f>
        <v>#REF!</v>
      </c>
      <c r="DY45" s="16" t="e">
        <f>((DZ44+(Crescimento!#REF!-(DZ44*0.64))/0.8)/1000)-Crescimento!#REF!</f>
        <v>#REF!</v>
      </c>
      <c r="DZ45" s="17" t="e">
        <f>-53.07 + (304.89 * (DY45)) + (90.79 *(Crescimento!#REF!-Crescimento!#REF!)) - (3.13 * (Crescimento!#REF!-Crescimento!#REF!)^2)</f>
        <v>#REF!</v>
      </c>
      <c r="EB45" s="16" t="e">
        <f>((EC44+(Crescimento!#REF!-(EC44*0.64))/0.8)/1000)-Crescimento!#REF!</f>
        <v>#REF!</v>
      </c>
      <c r="EC45" s="17" t="e">
        <f>-53.07 + (304.89 * (EB45)) + (90.79 *(Crescimento!#REF!-Crescimento!#REF!)) - (3.13 * (Crescimento!#REF!-Crescimento!#REF!)^2)</f>
        <v>#REF!</v>
      </c>
      <c r="EE45" s="16" t="e">
        <f>((EF44+(Crescimento!#REF!-(EF44*0.64))/0.8)/1000)-Crescimento!#REF!</f>
        <v>#REF!</v>
      </c>
      <c r="EF45" s="17" t="e">
        <f>-53.07 + (304.89 * (EE45)) + (90.79 *(Crescimento!#REF!-Crescimento!#REF!)) - (3.13 * (Crescimento!#REF!-Crescimento!#REF!)^2)</f>
        <v>#REF!</v>
      </c>
      <c r="EH45" s="16" t="e">
        <f>((EI44+(Crescimento!#REF!-(EI44*0.64))/0.8)/1000)-Crescimento!#REF!</f>
        <v>#REF!</v>
      </c>
      <c r="EI45" s="17" t="e">
        <f>-53.07 + (304.89 * (EH45)) + (90.79 *(Crescimento!#REF!-Crescimento!#REF!)) - (3.13 * (Crescimento!#REF!-Crescimento!#REF!)^2)</f>
        <v>#REF!</v>
      </c>
      <c r="EK45" s="16" t="e">
        <f>((EL44+(Crescimento!#REF!-(EL44*0.64))/0.8)/1000)-Crescimento!#REF!</f>
        <v>#REF!</v>
      </c>
      <c r="EL45" s="17" t="e">
        <f>-53.07 + (304.89 * (EK45)) + (90.79 *(Crescimento!#REF!-Crescimento!#REF!)) - (3.13 * (Crescimento!#REF!-Crescimento!#REF!)^2)</f>
        <v>#REF!</v>
      </c>
      <c r="EN45" s="16" t="e">
        <f>((EO44+(Crescimento!#REF!-(EO44*0.64))/0.8)/1000)-Crescimento!#REF!</f>
        <v>#REF!</v>
      </c>
      <c r="EO45" s="17" t="e">
        <f>-53.07 + (304.89 * (EN45)) + (90.79 *(Crescimento!#REF!-Crescimento!#REF!)) - (3.13 * (Crescimento!#REF!-Crescimento!#REF!)^2)</f>
        <v>#REF!</v>
      </c>
      <c r="EQ45" s="16" t="e">
        <f>((ER44+(Crescimento!#REF!-(ER44*0.64))/0.8)/1000)-Crescimento!#REF!</f>
        <v>#REF!</v>
      </c>
      <c r="ER45" s="17" t="e">
        <f>-53.07 + (304.89 * (EQ45)) + (90.79 *(Crescimento!#REF!-Crescimento!#REF!)) - (3.13 * (Crescimento!#REF!-Crescimento!#REF!)^2)</f>
        <v>#REF!</v>
      </c>
      <c r="ET45" s="16" t="e">
        <f>((EU44+(Crescimento!#REF!-(EU44*0.64))/0.8)/1000)-Crescimento!#REF!</f>
        <v>#REF!</v>
      </c>
      <c r="EU45" s="17" t="e">
        <f>-53.07 + (304.89 * (ET45)) + (90.79 *(Crescimento!#REF!-Crescimento!#REF!)) - (3.13 * (Crescimento!#REF!-Crescimento!#REF!)^2)</f>
        <v>#REF!</v>
      </c>
      <c r="EW45" s="16" t="e">
        <f>((EX44+('Vacas e Bezerros'!#REF!-(EX44*0.64))/0.8)/1000)-'Vacas e Bezerros'!#REF!</f>
        <v>#REF!</v>
      </c>
      <c r="EX45" s="17" t="e">
        <f>-53.07 + (304.89 * (EW45)) + (90.79 *('Vacas e Bezerros'!#REF!-'Vacas e Bezerros'!#REF!)) - (3.13 * ('Vacas e Bezerros'!#REF!-'Vacas e Bezerros'!#REF!)^2)</f>
        <v>#REF!</v>
      </c>
      <c r="EZ45" s="16" t="e">
        <f>((FA44+('Vacas e Bezerros'!#REF!-(FA44*0.64))/0.8)/1000)-'Vacas e Bezerros'!#REF!</f>
        <v>#REF!</v>
      </c>
      <c r="FA45" s="17" t="e">
        <f>-53.07 + (304.89 * (EZ45)) + (90.79 *('Vacas e Bezerros'!#REF!-'Vacas e Bezerros'!#REF!)) - (3.13 * ('Vacas e Bezerros'!#REF!-'Vacas e Bezerros'!#REF!)^2)</f>
        <v>#REF!</v>
      </c>
      <c r="FC45" s="16" t="e">
        <f>((FD44+('Vacas e Bezerros'!#REF!-(FD44*0.64))/0.8)/1000)-'Vacas e Bezerros'!#REF!</f>
        <v>#REF!</v>
      </c>
      <c r="FD45" s="17" t="e">
        <f>-53.07 + (304.89 * (FC45)) + (90.79 *('Vacas e Bezerros'!#REF!-'Vacas e Bezerros'!#REF!)) - (3.13 * ('Vacas e Bezerros'!#REF!-'Vacas e Bezerros'!#REF!)^2)</f>
        <v>#REF!</v>
      </c>
      <c r="FF45" s="16" t="e">
        <f>((FG44+('Vacas e Bezerros'!#REF!-(FG44*0.64))/0.8)/1000)-'Vacas e Bezerros'!#REF!</f>
        <v>#REF!</v>
      </c>
      <c r="FG45" s="17" t="e">
        <f>-53.07 + (304.89 * (FF45)) + (90.79 *('Vacas e Bezerros'!#REF!-'Vacas e Bezerros'!#REF!)) - (3.13 * ('Vacas e Bezerros'!#REF!-'Vacas e Bezerros'!#REF!)^2)</f>
        <v>#REF!</v>
      </c>
      <c r="FI45" s="16" t="e">
        <f>((FJ44+('Vacas e Bezerros'!#REF!-(FJ44*0.64))/0.8)/1000)-'Vacas e Bezerros'!#REF!</f>
        <v>#REF!</v>
      </c>
      <c r="FJ45" s="17" t="e">
        <f>-53.07 + (304.89 * (FI45)) + (90.79 *('Vacas e Bezerros'!#REF!-'Vacas e Bezerros'!#REF!)) - (3.13 * ('Vacas e Bezerros'!#REF!-'Vacas e Bezerros'!#REF!)^2)</f>
        <v>#REF!</v>
      </c>
      <c r="FL45" s="16" t="e">
        <f>((FM44+('Vacas e Bezerros'!#REF!-(FM44*0.64))/0.8)/1000)-'Vacas e Bezerros'!#REF!</f>
        <v>#REF!</v>
      </c>
      <c r="FM45" s="17" t="e">
        <f>-53.07 + (304.89 * (FL45)) + (90.79 *('Vacas e Bezerros'!#REF!-'Vacas e Bezerros'!#REF!)) - (3.13 * ('Vacas e Bezerros'!#REF!-'Vacas e Bezerros'!#REF!)^2)</f>
        <v>#REF!</v>
      </c>
      <c r="FO45" s="16" t="e">
        <f>((FP44+('Vacas e Bezerros'!#REF!-(FP44*0.64))/0.8)/1000)-'Vacas e Bezerros'!#REF!</f>
        <v>#REF!</v>
      </c>
      <c r="FP45" s="17" t="e">
        <f>-53.07 + (304.89 * (FO45)) + (90.79 *('Vacas e Bezerros'!#REF!-'Vacas e Bezerros'!#REF!)) - (3.13 * ('Vacas e Bezerros'!#REF!-'Vacas e Bezerros'!#REF!)^2)</f>
        <v>#REF!</v>
      </c>
      <c r="FR45" s="16" t="e">
        <f>((FS44+('Vacas e Bezerros'!#REF!-(FS44*0.64))/0.8)/1000)-'Vacas e Bezerros'!#REF!</f>
        <v>#REF!</v>
      </c>
      <c r="FS45" s="17" t="e">
        <f>-53.07 + (304.89 * (FR45)) + (90.79 *('Vacas e Bezerros'!#REF!-'Vacas e Bezerros'!#REF!)) - (3.13 * ('Vacas e Bezerros'!#REF!-'Vacas e Bezerros'!#REF!)^2)</f>
        <v>#REF!</v>
      </c>
      <c r="FU45" s="16" t="e">
        <f>((FV44+('Vacas e Bezerros'!#REF!-(FV44*0.64))/0.8)/1000)-'Vacas e Bezerros'!#REF!</f>
        <v>#REF!</v>
      </c>
      <c r="FV45" s="17" t="e">
        <f>-53.07 + (304.89 * (FU45)) + (90.79 *('Vacas e Bezerros'!#REF!-'Vacas e Bezerros'!#REF!)) - (3.13 * ('Vacas e Bezerros'!#REF!-'Vacas e Bezerros'!#REF!)^2)</f>
        <v>#REF!</v>
      </c>
      <c r="FX45" s="16" t="e">
        <f>((FY44+('Vacas e Bezerros'!#REF!-(FY44*0.64))/0.8)/1000)-'Vacas e Bezerros'!#REF!</f>
        <v>#REF!</v>
      </c>
      <c r="FY45" s="17" t="e">
        <f>-53.07 + (304.89 * (FX45)) + (90.79 *('Vacas e Bezerros'!#REF!-'Vacas e Bezerros'!#REF!)) - (3.13 * ('Vacas e Bezerros'!#REF!-'Vacas e Bezerros'!#REF!)^2)</f>
        <v>#REF!</v>
      </c>
      <c r="GA45" s="16" t="e">
        <f>((GB44+('Vacas e Bezerros'!#REF!-(GB44*0.64))/0.8)/1000)-'Vacas e Bezerros'!#REF!</f>
        <v>#REF!</v>
      </c>
      <c r="GB45" s="17" t="e">
        <f>-53.07 + (304.89 * (GA45)) + (90.79 *('Vacas e Bezerros'!#REF!-'Vacas e Bezerros'!#REF!)) - (3.13 * ('Vacas e Bezerros'!#REF!-'Vacas e Bezerros'!#REF!)^2)</f>
        <v>#REF!</v>
      </c>
      <c r="GD45" s="16" t="e">
        <f>((GE44+('Vacas e Bezerros'!#REF!-(GE44*0.64))/0.8)/1000)-'Vacas e Bezerros'!#REF!</f>
        <v>#REF!</v>
      </c>
      <c r="GE45" s="17" t="e">
        <f>-53.07 + (304.89 * (GD45)) + (90.79 *('Vacas e Bezerros'!#REF!-'Vacas e Bezerros'!#REF!)) - (3.13 * ('Vacas e Bezerros'!#REF!-'Vacas e Bezerros'!#REF!)^2)</f>
        <v>#REF!</v>
      </c>
      <c r="GG45" s="16" t="e">
        <f>((GH44+('Vacas e Bezerros'!#REF!-(GH44*0.64))/0.8)/1000)-'Vacas e Bezerros'!#REF!</f>
        <v>#REF!</v>
      </c>
      <c r="GH45" s="17" t="e">
        <f>-53.07 + (304.89 * (GG45)) + (90.79 *('Vacas e Bezerros'!#REF!-'Vacas e Bezerros'!#REF!)) - (3.13 * ('Vacas e Bezerros'!#REF!-'Vacas e Bezerros'!#REF!)^2)</f>
        <v>#REF!</v>
      </c>
      <c r="GJ45" s="16" t="e">
        <f>((GK44+('Vacas e Bezerros'!#REF!-(GK44*0.64))/0.8)/1000)-'Vacas e Bezerros'!#REF!</f>
        <v>#REF!</v>
      </c>
      <c r="GK45" s="17" t="e">
        <f>-53.07 + (304.89 * (GJ45)) + (90.79 *('Vacas e Bezerros'!#REF!-'Vacas e Bezerros'!#REF!)) - (3.13 * ('Vacas e Bezerros'!#REF!-'Vacas e Bezerros'!#REF!)^2)</f>
        <v>#REF!</v>
      </c>
      <c r="GM45" s="16" t="e">
        <f>((GN44+('Vacas e Bezerros'!#REF!-(GN44*0.64))/0.8)/1000)-'Vacas e Bezerros'!#REF!</f>
        <v>#REF!</v>
      </c>
      <c r="GN45" s="17" t="e">
        <f>-53.07 + (304.89 * (GM45)) + (90.79 *('Vacas e Bezerros'!#REF!-'Vacas e Bezerros'!#REF!)) - (3.13 * ('Vacas e Bezerros'!#REF!-'Vacas e Bezerros'!#REF!)^2)</f>
        <v>#REF!</v>
      </c>
    </row>
    <row r="46" spans="3:196" x14ac:dyDescent="0.25">
      <c r="C46" s="16">
        <f>(D45+('Vacas e Bezerros'!$AA$28-(D45*0.64))/0.8)/1000</f>
        <v>0.35719668016155687</v>
      </c>
      <c r="D46" s="17">
        <f>-53.07 + (304.89 * (C46-'Vacas e Bezerros'!$C$206)) + (90.79 *('Vacas e Bezerros'!$AA$22)) - (3.13 *('Vacas e Bezerros'!$AA$22)^2)</f>
        <v>165.01876457544017</v>
      </c>
      <c r="F46" s="16" t="e">
        <f>(G45+(Crescimento!#REF!-(G45*0.64))/0.8)/1000</f>
        <v>#REF!</v>
      </c>
      <c r="G46" s="17" t="e">
        <f>-53.07 + (304.89 * (F46)) + (90.79 *Crescimento!#REF!) - (3.13 * Crescimento!#REF!*Crescimento!#REF!)</f>
        <v>#REF!</v>
      </c>
      <c r="H46" s="1"/>
      <c r="I46" s="16" t="e">
        <f>(J45+(Crescimento!#REF!-(J45*0.64))/0.8)/1000</f>
        <v>#REF!</v>
      </c>
      <c r="J46" s="17" t="e">
        <f>-53.07 + (304.89 * (I46)) + (90.79 *Crescimento!#REF!) - (3.13 * Crescimento!#REF!*Crescimento!#REF!)</f>
        <v>#REF!</v>
      </c>
      <c r="L46" s="16" t="e">
        <f>(M45+(Crescimento!#REF!-(M45*0.64))/0.8)/1000</f>
        <v>#REF!</v>
      </c>
      <c r="M46" s="17" t="e">
        <f>-53.07 + (304.89 * (L46)) + (90.79 *Crescimento!#REF!) - (3.13 * Crescimento!#REF!*Crescimento!#REF!)</f>
        <v>#REF!</v>
      </c>
      <c r="O46" s="16" t="e">
        <f>(P45+(Crescimento!#REF!-(P45*0.64))/0.8)/1000</f>
        <v>#REF!</v>
      </c>
      <c r="P46" s="17" t="e">
        <f>-53.07 + (304.89 * (O46)) + (90.79 *Crescimento!#REF!) - (3.13 * Crescimento!#REF!*Crescimento!#REF!)</f>
        <v>#REF!</v>
      </c>
      <c r="R46" s="16" t="e">
        <f>(S45+(Crescimento!#REF!-(S45*0.64))/0.8)/1000</f>
        <v>#REF!</v>
      </c>
      <c r="S46" s="17" t="e">
        <f>-53.07 + (304.89 * (R46)) + (90.79 *Crescimento!#REF!) - (3.13 * Crescimento!#REF!*Crescimento!#REF!)</f>
        <v>#REF!</v>
      </c>
      <c r="U46" s="16" t="e">
        <f>(V45+(Crescimento!#REF!-(V45*0.64))/0.8)/1000</f>
        <v>#REF!</v>
      </c>
      <c r="V46" s="17" t="e">
        <f>-53.07 + (304.89 * (U46)) + (90.79 *Crescimento!#REF!) - (3.13 * Crescimento!#REF!*Crescimento!#REF!)</f>
        <v>#REF!</v>
      </c>
      <c r="X46" s="16" t="e">
        <f>(Y45+(Crescimento!#REF!-(Y45*0.64))/0.8)/1000</f>
        <v>#REF!</v>
      </c>
      <c r="Y46" s="17" t="e">
        <f>-53.07 + (304.89 * (X46)) + (90.79 *Crescimento!#REF!) - (3.13 * Crescimento!#REF!*Crescimento!#REF!)</f>
        <v>#REF!</v>
      </c>
      <c r="Z46" s="6"/>
      <c r="AA46" s="16" t="e">
        <f>(AB45+(Crescimento!#REF!-(AB45*0.64))/0.8)/1000</f>
        <v>#REF!</v>
      </c>
      <c r="AB46" s="17" t="e">
        <f>-53.07 + (304.89 * (AA46)) + (90.79 *Crescimento!#REF!) - (3.13 * Crescimento!#REF!*Crescimento!#REF!)</f>
        <v>#REF!</v>
      </c>
      <c r="AC46" s="6"/>
      <c r="AD46" s="16" t="e">
        <f>(AE45+(Crescimento!#REF!-(AE45*0.64))/0.8)/1000</f>
        <v>#REF!</v>
      </c>
      <c r="AE46" s="17" t="e">
        <f>-53.07 + (304.89 * (AD46)) + (90.79 *Crescimento!#REF!) - (3.13 * Crescimento!#REF!*Crescimento!#REF!)</f>
        <v>#REF!</v>
      </c>
      <c r="AF46" s="17"/>
      <c r="AG46" s="16" t="e">
        <f>(AH45+(Crescimento!#REF!-(AH45*0.64))/0.8)/1000</f>
        <v>#REF!</v>
      </c>
      <c r="AH46" s="17" t="e">
        <f>-53.07 + (304.89 * (AG46)) + (90.79 *Crescimento!#REF!) - (3.13 * Crescimento!#REF!*Crescimento!#REF!)</f>
        <v>#REF!</v>
      </c>
      <c r="AJ46" s="16" t="e">
        <f>(AK45+(Crescimento!#REF!-(AK45*0.64))/0.8)/1000</f>
        <v>#REF!</v>
      </c>
      <c r="AK46" s="17" t="e">
        <f>-53.07 + (304.89 * (AJ46)) + (90.79 *Crescimento!#REF!) - (3.13 * Crescimento!#REF!*Crescimento!#REF!)</f>
        <v>#REF!</v>
      </c>
      <c r="AM46" s="16" t="e">
        <f>(AN45+(Crescimento!#REF!-(AN45*0.64))/0.8)/1000</f>
        <v>#REF!</v>
      </c>
      <c r="AN46" s="17" t="e">
        <f>-53.07 + (304.89 * (AM46)) + (90.79 *Crescimento!#REF!) - (3.13 * Crescimento!#REF!*Crescimento!#REF!)</f>
        <v>#REF!</v>
      </c>
      <c r="AP46" s="16" t="e">
        <f>(AQ45+(Crescimento!#REF!-(AQ45*0.64))/0.8)/1000</f>
        <v>#REF!</v>
      </c>
      <c r="AQ46" s="17" t="e">
        <f>-53.07 + (304.89 * (AP46)) + (90.79 *Crescimento!#REF!) - (3.13 * Crescimento!#REF!*Crescimento!#REF!)</f>
        <v>#REF!</v>
      </c>
      <c r="AS46" s="16" t="e">
        <f>(AT45+(Crescimento!#REF!-(AT45*0.64))/0.8)/1000</f>
        <v>#REF!</v>
      </c>
      <c r="AT46" s="17" t="e">
        <f>-53.07 + (304.89 * (AS46)) + (90.79 *Crescimento!#REF!) - (3.13 * Crescimento!#REF!*Crescimento!#REF!)</f>
        <v>#REF!</v>
      </c>
      <c r="AV46" s="16" t="e">
        <f>(AW45+(Crescimento!#REF!-(AW45*0.64))/0.8)/1000</f>
        <v>#REF!</v>
      </c>
      <c r="AW46" s="17" t="e">
        <f>-53.07 + (304.89 * (AV46)) + (90.79 *Crescimento!#REF!) - (3.13 * Crescimento!#REF!*Crescimento!#REF!)</f>
        <v>#REF!</v>
      </c>
      <c r="AY46" s="21" t="e">
        <f>((AZ45+(Crescimento!#REF!-(AZ45*0.64))/0.8)/1000)-Crescimento!#REF!</f>
        <v>#REF!</v>
      </c>
      <c r="AZ46" s="22" t="e">
        <f>-53.07 + (304.89 * (AY46)) + (90.79 *(Crescimento!#REF!-Crescimento!#REF!)) - (3.13 * (Crescimento!#REF!-Crescimento!#REF!)^2)</f>
        <v>#REF!</v>
      </c>
      <c r="BA46" s="23"/>
      <c r="BB46" s="21" t="e">
        <f>((BC45+(Crescimento!#REF!-(BC45*0.64))/0.8)/1000)-Crescimento!#REF!</f>
        <v>#REF!</v>
      </c>
      <c r="BC46" s="22" t="e">
        <f>-53.07 + (304.89 * (BB46)) + (90.79 *(Crescimento!#REF!-Crescimento!#REF!)) - (3.13 * (Crescimento!#REF!-Crescimento!#REF!)^2)</f>
        <v>#REF!</v>
      </c>
      <c r="BD46" s="23"/>
      <c r="BE46" s="21" t="e">
        <f>((BF45+(Crescimento!#REF!-(BF45*0.64))/0.8)/1000)-Crescimento!#REF!</f>
        <v>#REF!</v>
      </c>
      <c r="BF46" s="22" t="e">
        <f>-53.07 + (304.89 * (BE46)) + (90.79 *(Crescimento!#REF!-Crescimento!#REF!)) - (3.13 * (Crescimento!#REF!-Crescimento!#REF!)^2)</f>
        <v>#REF!</v>
      </c>
      <c r="BG46" s="23"/>
      <c r="BH46" s="21" t="e">
        <f>((BI45+(Crescimento!#REF!-(BI45*0.64))/0.8)/1000)-Crescimento!#REF!</f>
        <v>#REF!</v>
      </c>
      <c r="BI46" s="22" t="e">
        <f>-53.07 + (304.89 * (BH46)) + (90.79 *(Crescimento!#REF!-Crescimento!#REF!)) - (3.13 * (Crescimento!#REF!-Crescimento!#REF!)^2)</f>
        <v>#REF!</v>
      </c>
      <c r="BJ46" s="23"/>
      <c r="BK46" s="21" t="e">
        <f>((BL45+(Crescimento!#REF!-(BL45*0.64))/0.8)/1000)-Crescimento!#REF!</f>
        <v>#REF!</v>
      </c>
      <c r="BL46" s="22" t="e">
        <f>-53.07 + (304.89 * (BK46)) + (90.79 *(Crescimento!#REF!-Crescimento!#REF!)) - (3.13 * (Crescimento!#REF!-Crescimento!#REF!)^2)</f>
        <v>#REF!</v>
      </c>
      <c r="BM46" s="23"/>
      <c r="BN46" s="21" t="e">
        <f>((BO45+(Crescimento!#REF!-(BO45*0.64))/0.8)/1000)-Crescimento!#REF!</f>
        <v>#REF!</v>
      </c>
      <c r="BO46" s="22" t="e">
        <f>-53.07 + (304.89 * (BN46)) + (90.79 *(Crescimento!#REF!-Crescimento!#REF!)) - (3.13 * (Crescimento!#REF!-Crescimento!#REF!)^2)</f>
        <v>#REF!</v>
      </c>
      <c r="BP46" s="23"/>
      <c r="BQ46" s="21" t="e">
        <f>((BR45+(Crescimento!#REF!-(BR45*0.64))/0.8)/1000)-Crescimento!#REF!</f>
        <v>#REF!</v>
      </c>
      <c r="BR46" s="22" t="e">
        <f>-53.07 + (304.89 * (BQ46)) + (90.79 *(Crescimento!#REF!-Crescimento!#REF!)) - (3.13 * (Crescimento!#REF!-Crescimento!#REF!)^2)</f>
        <v>#REF!</v>
      </c>
      <c r="BS46" s="23"/>
      <c r="BT46" s="21" t="e">
        <f>((BU45+(Crescimento!#REF!-(BU45*0.64))/0.8)/1000)-Crescimento!#REF!</f>
        <v>#REF!</v>
      </c>
      <c r="BU46" s="22" t="e">
        <f>-53.07 + (304.89 * (BT46)) + (90.79 *(Crescimento!#REF!-Crescimento!#REF!)) - (3.13 * (Crescimento!#REF!-Crescimento!#REF!)^2)</f>
        <v>#REF!</v>
      </c>
      <c r="BV46" s="23"/>
      <c r="BW46" s="21" t="e">
        <f>((BX45+(Crescimento!#REF!-(BX45*0.64))/0.8)/1000)-Crescimento!#REF!</f>
        <v>#REF!</v>
      </c>
      <c r="BX46" s="22" t="e">
        <f>-53.07 + (304.89 * (BW46)) + (90.79 *(Crescimento!#REF!-Crescimento!#REF!)) - (3.13 * (Crescimento!#REF!-Crescimento!#REF!)^2)</f>
        <v>#REF!</v>
      </c>
      <c r="BY46" s="23"/>
      <c r="BZ46" s="21" t="e">
        <f>((CA45+(Crescimento!#REF!-(CA45*0.64))/0.8)/1000)-Crescimento!#REF!</f>
        <v>#REF!</v>
      </c>
      <c r="CA46" s="22" t="e">
        <f>-53.07 + (304.89 * (BZ46)) + (90.79 *(Crescimento!#REF!-Crescimento!#REF!)) - (3.13 * (Crescimento!#REF!-Crescimento!#REF!)^2)</f>
        <v>#REF!</v>
      </c>
      <c r="CB46" s="23"/>
      <c r="CC46" s="21" t="e">
        <f>((CD45+(Crescimento!#REF!-(CD45*0.64))/0.8)/1000)-Crescimento!#REF!</f>
        <v>#REF!</v>
      </c>
      <c r="CD46" s="22" t="e">
        <f>-53.07 + (304.89 * (CC46)) + (90.79 *(Crescimento!#REF!-Crescimento!#REF!)) - (3.13 * (Crescimento!#REF!-Crescimento!#REF!)^2)</f>
        <v>#REF!</v>
      </c>
      <c r="CE46" s="23"/>
      <c r="CF46" s="21" t="e">
        <f>((CG45+(Crescimento!#REF!-(CG45*0.64))/0.8)/1000)-Crescimento!#REF!</f>
        <v>#REF!</v>
      </c>
      <c r="CG46" s="22" t="e">
        <f>-53.07 + (304.89 * (CF46)) + (90.79 *(Crescimento!#REF!-Crescimento!#REF!)) - (3.13 * (Crescimento!#REF!-Crescimento!#REF!)^2)</f>
        <v>#REF!</v>
      </c>
      <c r="CH46" s="23"/>
      <c r="CI46" s="21" t="e">
        <f>((CJ45+(Crescimento!#REF!-(CJ45*0.64))/0.8)/1000)-Crescimento!#REF!</f>
        <v>#REF!</v>
      </c>
      <c r="CJ46" s="22" t="e">
        <f>-53.07 + (304.89 * (CI46)) + (90.79 *(Crescimento!#REF!-Crescimento!#REF!)) - (3.13 * (Crescimento!#REF!-Crescimento!#REF!)^2)</f>
        <v>#REF!</v>
      </c>
      <c r="CK46" s="23"/>
      <c r="CL46" s="21" t="e">
        <f>((CM45+(Crescimento!#REF!-(CM45*0.64))/0.8)/1000)-Crescimento!#REF!</f>
        <v>#REF!</v>
      </c>
      <c r="CM46" s="22" t="e">
        <f>-53.07 + (304.89 * (CL46)) + (90.79 *(Crescimento!#REF!-Crescimento!#REF!)) - (3.13 * (Crescimento!#REF!-Crescimento!#REF!)^2)</f>
        <v>#REF!</v>
      </c>
      <c r="CN46" s="23"/>
      <c r="CO46" s="21" t="e">
        <f>((CP45+(Crescimento!#REF!-(CP45*0.64))/0.8)/1000)-Crescimento!#REF!</f>
        <v>#REF!</v>
      </c>
      <c r="CP46" s="22" t="e">
        <f>-53.07 + (304.89 * (CO46)) + (90.79 *(Crescimento!#REF!-Crescimento!#REF!)) - (3.13 * (Crescimento!#REF!-Crescimento!#REF!)^2)</f>
        <v>#REF!</v>
      </c>
      <c r="CQ46" s="23"/>
      <c r="CR46" s="21" t="e">
        <f>((CS45+(Crescimento!#REF!-(CS45*0.64))/0.8)/1000)-Crescimento!#REF!</f>
        <v>#REF!</v>
      </c>
      <c r="CS46" s="22" t="e">
        <f>-53.07 + (304.89 * (CR46)) + (90.79 *(Crescimento!#REF!-Crescimento!#REF!)) - (3.13 * (Crescimento!#REF!-Crescimento!#REF!)^2)</f>
        <v>#REF!</v>
      </c>
      <c r="CX46" s="16" t="e">
        <f>((CY45+(Crescimento!#REF!-(CY45*0.64))/0.8)/1000)-Crescimento!#REF!</f>
        <v>#REF!</v>
      </c>
      <c r="CY46" s="17" t="e">
        <f>-53.07 + (304.89 * (CX46)) + (90.79 *(Crescimento!#REF!-Crescimento!#REF!)) - (3.13 * (Crescimento!#REF!-Crescimento!#REF!)^2)</f>
        <v>#REF!</v>
      </c>
      <c r="DA46" s="16" t="e">
        <f>((DB45+(Crescimento!#REF!-(DB45*0.64))/0.8)/1000)-Crescimento!#REF!</f>
        <v>#REF!</v>
      </c>
      <c r="DB46" s="17" t="e">
        <f>-53.07 + (304.89 * (DA46)) + (90.79 *(Crescimento!#REF!-Crescimento!#REF!)) - (3.13 * (Crescimento!#REF!-Crescimento!#REF!)^2)</f>
        <v>#REF!</v>
      </c>
      <c r="DD46" s="16" t="e">
        <f>(DE45+(Crescimento!#REF!-(DE45*0.64))/0.8)/1000</f>
        <v>#REF!</v>
      </c>
      <c r="DE46" s="17" t="e">
        <f>-53.07 + (304.89 * (DD46)) + (90.79 *Crescimento!#REF!) - (3.13 * Crescimento!#REF!*Crescimento!#REF!)</f>
        <v>#REF!</v>
      </c>
      <c r="DG46" s="16" t="e">
        <f>((DH45+(Crescimento!#REF!-(DH45*0.64))/0.8)/1000)-Crescimento!#REF!</f>
        <v>#REF!</v>
      </c>
      <c r="DH46" s="17" t="e">
        <f>-53.07 + (304.89 * (DG46)) + (90.79 *(Crescimento!#REF!-Crescimento!#REF!)) - (3.13 * (Crescimento!#REF!-Crescimento!#REF!)^2)</f>
        <v>#REF!</v>
      </c>
      <c r="DJ46" s="16" t="e">
        <f>((DK45+(Crescimento!#REF!-(DK45*0.64))/0.8)/1000)-Crescimento!#REF!</f>
        <v>#REF!</v>
      </c>
      <c r="DK46" s="17" t="e">
        <f>-53.07 + (304.89 * (DJ46)) + (90.79 *(Crescimento!#REF!-Crescimento!#REF!)) - (3.13 * (Crescimento!#REF!-Crescimento!#REF!)^2)</f>
        <v>#REF!</v>
      </c>
      <c r="DM46" s="16" t="e">
        <f>((DN45+(Crescimento!#REF!-(DN45*0.64))/0.8)/1000)-Crescimento!#REF!</f>
        <v>#REF!</v>
      </c>
      <c r="DN46" s="17" t="e">
        <f>-53.07 + (304.89 * (DM46)) + (90.79 *(Crescimento!#REF!-Crescimento!#REF!)) - (3.13 * (Crescimento!#REF!-Crescimento!#REF!)^2)</f>
        <v>#REF!</v>
      </c>
      <c r="DP46" s="16" t="e">
        <f>(DQ45+(Crescimento!#REF!-(DQ45*0.64))/0.8)/1000</f>
        <v>#REF!</v>
      </c>
      <c r="DQ46" s="17" t="e">
        <f>-53.07 + (304.89 * (DP46)) + (90.79 *(Crescimento!#REF!-Crescimento!#REF!)) - (3.13 * (Crescimento!#REF!-Crescimento!#REF!)^2)</f>
        <v>#REF!</v>
      </c>
      <c r="DS46" s="16" t="e">
        <f>((DT45+(Crescimento!#REF!-(DT45*0.64))/0.8)/1000)-Crescimento!#REF!</f>
        <v>#REF!</v>
      </c>
      <c r="DT46" s="17" t="e">
        <f>-53.07 + (304.89 * (DS46)) + (90.79 *(Crescimento!#REF!-Crescimento!#REF!)) - (3.13 * (Crescimento!#REF!-Crescimento!#REF!)^2)</f>
        <v>#REF!</v>
      </c>
      <c r="DV46" s="16" t="e">
        <f>((DW45+(Crescimento!#REF!-(DW45*0.64))/0.8)/1000)-Crescimento!#REF!</f>
        <v>#REF!</v>
      </c>
      <c r="DW46" s="17" t="e">
        <f>-53.07 + (304.89 * (DV46)) + (90.79 *(Crescimento!#REF!-Crescimento!#REF!)) - (3.13 * (Crescimento!#REF!-Crescimento!#REF!)^2)</f>
        <v>#REF!</v>
      </c>
      <c r="DY46" s="16" t="e">
        <f>((DZ45+(Crescimento!#REF!-(DZ45*0.64))/0.8)/1000)-Crescimento!#REF!</f>
        <v>#REF!</v>
      </c>
      <c r="DZ46" s="17" t="e">
        <f>-53.07 + (304.89 * (DY46)) + (90.79 *(Crescimento!#REF!-Crescimento!#REF!)) - (3.13 * (Crescimento!#REF!-Crescimento!#REF!)^2)</f>
        <v>#REF!</v>
      </c>
      <c r="EB46" s="16" t="e">
        <f>((EC45+(Crescimento!#REF!-(EC45*0.64))/0.8)/1000)-Crescimento!#REF!</f>
        <v>#REF!</v>
      </c>
      <c r="EC46" s="17" t="e">
        <f>-53.07 + (304.89 * (EB46)) + (90.79 *(Crescimento!#REF!-Crescimento!#REF!)) - (3.13 * (Crescimento!#REF!-Crescimento!#REF!)^2)</f>
        <v>#REF!</v>
      </c>
      <c r="EE46" s="16" t="e">
        <f>((EF45+(Crescimento!#REF!-(EF45*0.64))/0.8)/1000)-Crescimento!#REF!</f>
        <v>#REF!</v>
      </c>
      <c r="EF46" s="17" t="e">
        <f>-53.07 + (304.89 * (EE46)) + (90.79 *(Crescimento!#REF!-Crescimento!#REF!)) - (3.13 * (Crescimento!#REF!-Crescimento!#REF!)^2)</f>
        <v>#REF!</v>
      </c>
      <c r="EH46" s="16" t="e">
        <f>((EI45+(Crescimento!#REF!-(EI45*0.64))/0.8)/1000)-Crescimento!#REF!</f>
        <v>#REF!</v>
      </c>
      <c r="EI46" s="17" t="e">
        <f>-53.07 + (304.89 * (EH46)) + (90.79 *(Crescimento!#REF!-Crescimento!#REF!)) - (3.13 * (Crescimento!#REF!-Crescimento!#REF!)^2)</f>
        <v>#REF!</v>
      </c>
      <c r="EK46" s="16" t="e">
        <f>((EL45+(Crescimento!#REF!-(EL45*0.64))/0.8)/1000)-Crescimento!#REF!</f>
        <v>#REF!</v>
      </c>
      <c r="EL46" s="17" t="e">
        <f>-53.07 + (304.89 * (EK46)) + (90.79 *(Crescimento!#REF!-Crescimento!#REF!)) - (3.13 * (Crescimento!#REF!-Crescimento!#REF!)^2)</f>
        <v>#REF!</v>
      </c>
      <c r="EN46" s="16" t="e">
        <f>((EO45+(Crescimento!#REF!-(EO45*0.64))/0.8)/1000)-Crescimento!#REF!</f>
        <v>#REF!</v>
      </c>
      <c r="EO46" s="17" t="e">
        <f>-53.07 + (304.89 * (EN46)) + (90.79 *(Crescimento!#REF!-Crescimento!#REF!)) - (3.13 * (Crescimento!#REF!-Crescimento!#REF!)^2)</f>
        <v>#REF!</v>
      </c>
      <c r="EQ46" s="16" t="e">
        <f>((ER45+(Crescimento!#REF!-(ER45*0.64))/0.8)/1000)-Crescimento!#REF!</f>
        <v>#REF!</v>
      </c>
      <c r="ER46" s="17" t="e">
        <f>-53.07 + (304.89 * (EQ46)) + (90.79 *(Crescimento!#REF!-Crescimento!#REF!)) - (3.13 * (Crescimento!#REF!-Crescimento!#REF!)^2)</f>
        <v>#REF!</v>
      </c>
      <c r="ET46" s="16" t="e">
        <f>((EU45+(Crescimento!#REF!-(EU45*0.64))/0.8)/1000)-Crescimento!#REF!</f>
        <v>#REF!</v>
      </c>
      <c r="EU46" s="17" t="e">
        <f>-53.07 + (304.89 * (ET46)) + (90.79 *(Crescimento!#REF!-Crescimento!#REF!)) - (3.13 * (Crescimento!#REF!-Crescimento!#REF!)^2)</f>
        <v>#REF!</v>
      </c>
      <c r="EW46" s="16" t="e">
        <f>((EX45+('Vacas e Bezerros'!#REF!-(EX45*0.64))/0.8)/1000)-'Vacas e Bezerros'!#REF!</f>
        <v>#REF!</v>
      </c>
      <c r="EX46" s="17" t="e">
        <f>-53.07 + (304.89 * (EW46)) + (90.79 *('Vacas e Bezerros'!#REF!-'Vacas e Bezerros'!#REF!)) - (3.13 * ('Vacas e Bezerros'!#REF!-'Vacas e Bezerros'!#REF!)^2)</f>
        <v>#REF!</v>
      </c>
      <c r="EZ46" s="16" t="e">
        <f>((FA45+('Vacas e Bezerros'!#REF!-(FA45*0.64))/0.8)/1000)-'Vacas e Bezerros'!#REF!</f>
        <v>#REF!</v>
      </c>
      <c r="FA46" s="17" t="e">
        <f>-53.07 + (304.89 * (EZ46)) + (90.79 *('Vacas e Bezerros'!#REF!-'Vacas e Bezerros'!#REF!)) - (3.13 * ('Vacas e Bezerros'!#REF!-'Vacas e Bezerros'!#REF!)^2)</f>
        <v>#REF!</v>
      </c>
      <c r="FC46" s="16" t="e">
        <f>((FD45+('Vacas e Bezerros'!#REF!-(FD45*0.64))/0.8)/1000)-'Vacas e Bezerros'!#REF!</f>
        <v>#REF!</v>
      </c>
      <c r="FD46" s="17" t="e">
        <f>-53.07 + (304.89 * (FC46)) + (90.79 *('Vacas e Bezerros'!#REF!-'Vacas e Bezerros'!#REF!)) - (3.13 * ('Vacas e Bezerros'!#REF!-'Vacas e Bezerros'!#REF!)^2)</f>
        <v>#REF!</v>
      </c>
      <c r="FF46" s="16" t="e">
        <f>((FG45+('Vacas e Bezerros'!#REF!-(FG45*0.64))/0.8)/1000)-'Vacas e Bezerros'!#REF!</f>
        <v>#REF!</v>
      </c>
      <c r="FG46" s="17" t="e">
        <f>-53.07 + (304.89 * (FF46)) + (90.79 *('Vacas e Bezerros'!#REF!-'Vacas e Bezerros'!#REF!)) - (3.13 * ('Vacas e Bezerros'!#REF!-'Vacas e Bezerros'!#REF!)^2)</f>
        <v>#REF!</v>
      </c>
      <c r="FI46" s="16" t="e">
        <f>((FJ45+('Vacas e Bezerros'!#REF!-(FJ45*0.64))/0.8)/1000)-'Vacas e Bezerros'!#REF!</f>
        <v>#REF!</v>
      </c>
      <c r="FJ46" s="17" t="e">
        <f>-53.07 + (304.89 * (FI46)) + (90.79 *('Vacas e Bezerros'!#REF!-'Vacas e Bezerros'!#REF!)) - (3.13 * ('Vacas e Bezerros'!#REF!-'Vacas e Bezerros'!#REF!)^2)</f>
        <v>#REF!</v>
      </c>
      <c r="FL46" s="16" t="e">
        <f>((FM45+('Vacas e Bezerros'!#REF!-(FM45*0.64))/0.8)/1000)-'Vacas e Bezerros'!#REF!</f>
        <v>#REF!</v>
      </c>
      <c r="FM46" s="17" t="e">
        <f>-53.07 + (304.89 * (FL46)) + (90.79 *('Vacas e Bezerros'!#REF!-'Vacas e Bezerros'!#REF!)) - (3.13 * ('Vacas e Bezerros'!#REF!-'Vacas e Bezerros'!#REF!)^2)</f>
        <v>#REF!</v>
      </c>
      <c r="FO46" s="16" t="e">
        <f>((FP45+('Vacas e Bezerros'!#REF!-(FP45*0.64))/0.8)/1000)-'Vacas e Bezerros'!#REF!</f>
        <v>#REF!</v>
      </c>
      <c r="FP46" s="17" t="e">
        <f>-53.07 + (304.89 * (FO46)) + (90.79 *('Vacas e Bezerros'!#REF!-'Vacas e Bezerros'!#REF!)) - (3.13 * ('Vacas e Bezerros'!#REF!-'Vacas e Bezerros'!#REF!)^2)</f>
        <v>#REF!</v>
      </c>
      <c r="FR46" s="16" t="e">
        <f>((FS45+('Vacas e Bezerros'!#REF!-(FS45*0.64))/0.8)/1000)-'Vacas e Bezerros'!#REF!</f>
        <v>#REF!</v>
      </c>
      <c r="FS46" s="17" t="e">
        <f>-53.07 + (304.89 * (FR46)) + (90.79 *('Vacas e Bezerros'!#REF!-'Vacas e Bezerros'!#REF!)) - (3.13 * ('Vacas e Bezerros'!#REF!-'Vacas e Bezerros'!#REF!)^2)</f>
        <v>#REF!</v>
      </c>
      <c r="FU46" s="16" t="e">
        <f>((FV45+('Vacas e Bezerros'!#REF!-(FV45*0.64))/0.8)/1000)-'Vacas e Bezerros'!#REF!</f>
        <v>#REF!</v>
      </c>
      <c r="FV46" s="17" t="e">
        <f>-53.07 + (304.89 * (FU46)) + (90.79 *('Vacas e Bezerros'!#REF!-'Vacas e Bezerros'!#REF!)) - (3.13 * ('Vacas e Bezerros'!#REF!-'Vacas e Bezerros'!#REF!)^2)</f>
        <v>#REF!</v>
      </c>
      <c r="FX46" s="16" t="e">
        <f>((FY45+('Vacas e Bezerros'!#REF!-(FY45*0.64))/0.8)/1000)-'Vacas e Bezerros'!#REF!</f>
        <v>#REF!</v>
      </c>
      <c r="FY46" s="17" t="e">
        <f>-53.07 + (304.89 * (FX46)) + (90.79 *('Vacas e Bezerros'!#REF!-'Vacas e Bezerros'!#REF!)) - (3.13 * ('Vacas e Bezerros'!#REF!-'Vacas e Bezerros'!#REF!)^2)</f>
        <v>#REF!</v>
      </c>
      <c r="GA46" s="16" t="e">
        <f>((GB45+('Vacas e Bezerros'!#REF!-(GB45*0.64))/0.8)/1000)-'Vacas e Bezerros'!#REF!</f>
        <v>#REF!</v>
      </c>
      <c r="GB46" s="17" t="e">
        <f>-53.07 + (304.89 * (GA46)) + (90.79 *('Vacas e Bezerros'!#REF!-'Vacas e Bezerros'!#REF!)) - (3.13 * ('Vacas e Bezerros'!#REF!-'Vacas e Bezerros'!#REF!)^2)</f>
        <v>#REF!</v>
      </c>
      <c r="GD46" s="16" t="e">
        <f>((GE45+('Vacas e Bezerros'!#REF!-(GE45*0.64))/0.8)/1000)-'Vacas e Bezerros'!#REF!</f>
        <v>#REF!</v>
      </c>
      <c r="GE46" s="17" t="e">
        <f>-53.07 + (304.89 * (GD46)) + (90.79 *('Vacas e Bezerros'!#REF!-'Vacas e Bezerros'!#REF!)) - (3.13 * ('Vacas e Bezerros'!#REF!-'Vacas e Bezerros'!#REF!)^2)</f>
        <v>#REF!</v>
      </c>
      <c r="GG46" s="16" t="e">
        <f>((GH45+('Vacas e Bezerros'!#REF!-(GH45*0.64))/0.8)/1000)-'Vacas e Bezerros'!#REF!</f>
        <v>#REF!</v>
      </c>
      <c r="GH46" s="17" t="e">
        <f>-53.07 + (304.89 * (GG46)) + (90.79 *('Vacas e Bezerros'!#REF!-'Vacas e Bezerros'!#REF!)) - (3.13 * ('Vacas e Bezerros'!#REF!-'Vacas e Bezerros'!#REF!)^2)</f>
        <v>#REF!</v>
      </c>
      <c r="GJ46" s="16" t="e">
        <f>((GK45+('Vacas e Bezerros'!#REF!-(GK45*0.64))/0.8)/1000)-'Vacas e Bezerros'!#REF!</f>
        <v>#REF!</v>
      </c>
      <c r="GK46" s="17" t="e">
        <f>-53.07 + (304.89 * (GJ46)) + (90.79 *('Vacas e Bezerros'!#REF!-'Vacas e Bezerros'!#REF!)) - (3.13 * ('Vacas e Bezerros'!#REF!-'Vacas e Bezerros'!#REF!)^2)</f>
        <v>#REF!</v>
      </c>
      <c r="GM46" s="16" t="e">
        <f>((GN45+('Vacas e Bezerros'!#REF!-(GN45*0.64))/0.8)/1000)-'Vacas e Bezerros'!#REF!</f>
        <v>#REF!</v>
      </c>
      <c r="GN46" s="17" t="e">
        <f>-53.07 + (304.89 * (GM46)) + (90.79 *('Vacas e Bezerros'!#REF!-'Vacas e Bezerros'!#REF!)) - (3.13 * ('Vacas e Bezerros'!#REF!-'Vacas e Bezerros'!#REF!)^2)</f>
        <v>#REF!</v>
      </c>
    </row>
    <row r="47" spans="3:196" x14ac:dyDescent="0.25">
      <c r="C47" s="16">
        <f>(D46+('Vacas e Bezerros'!$AA$28-(D46*0.64))/0.8)/1000</f>
        <v>0.35719668016155687</v>
      </c>
      <c r="D47" s="17">
        <f>-53.07 + (304.89 * (C47-'Vacas e Bezerros'!$C$206)) + (90.79 *('Vacas e Bezerros'!$AA$22)) - (3.13 *('Vacas e Bezerros'!$AA$22)^2)</f>
        <v>165.01876457544017</v>
      </c>
      <c r="F47" s="16" t="e">
        <f>(G46+(Crescimento!#REF!-(G46*0.64))/0.8)/1000</f>
        <v>#REF!</v>
      </c>
      <c r="G47" s="17" t="e">
        <f>-53.07 + (304.89 * (F47)) + (90.79 *Crescimento!#REF!) - (3.13 * Crescimento!#REF!*Crescimento!#REF!)</f>
        <v>#REF!</v>
      </c>
      <c r="H47" s="1"/>
      <c r="I47" s="16" t="e">
        <f>(J46+(Crescimento!#REF!-(J46*0.64))/0.8)/1000</f>
        <v>#REF!</v>
      </c>
      <c r="J47" s="17" t="e">
        <f>-53.07 + (304.89 * (I47)) + (90.79 *Crescimento!#REF!) - (3.13 * Crescimento!#REF!*Crescimento!#REF!)</f>
        <v>#REF!</v>
      </c>
      <c r="L47" s="16" t="e">
        <f>(M46+(Crescimento!#REF!-(M46*0.64))/0.8)/1000</f>
        <v>#REF!</v>
      </c>
      <c r="M47" s="17" t="e">
        <f>-53.07 + (304.89 * (L47)) + (90.79 *Crescimento!#REF!) - (3.13 * Crescimento!#REF!*Crescimento!#REF!)</f>
        <v>#REF!</v>
      </c>
      <c r="O47" s="16" t="e">
        <f>(P46+(Crescimento!#REF!-(P46*0.64))/0.8)/1000</f>
        <v>#REF!</v>
      </c>
      <c r="P47" s="17" t="e">
        <f>-53.07 + (304.89 * (O47)) + (90.79 *Crescimento!#REF!) - (3.13 * Crescimento!#REF!*Crescimento!#REF!)</f>
        <v>#REF!</v>
      </c>
      <c r="R47" s="16" t="e">
        <f>(S46+(Crescimento!#REF!-(S46*0.64))/0.8)/1000</f>
        <v>#REF!</v>
      </c>
      <c r="S47" s="17" t="e">
        <f>-53.07 + (304.89 * (R47)) + (90.79 *Crescimento!#REF!) - (3.13 * Crescimento!#REF!*Crescimento!#REF!)</f>
        <v>#REF!</v>
      </c>
      <c r="U47" s="16" t="e">
        <f>(V46+(Crescimento!#REF!-(V46*0.64))/0.8)/1000</f>
        <v>#REF!</v>
      </c>
      <c r="V47" s="17" t="e">
        <f>-53.07 + (304.89 * (U47)) + (90.79 *Crescimento!#REF!) - (3.13 * Crescimento!#REF!*Crescimento!#REF!)</f>
        <v>#REF!</v>
      </c>
      <c r="X47" s="16" t="e">
        <f>(Y46+(Crescimento!#REF!-(Y46*0.64))/0.8)/1000</f>
        <v>#REF!</v>
      </c>
      <c r="Y47" s="17" t="e">
        <f>-53.07 + (304.89 * (X47)) + (90.79 *Crescimento!#REF!) - (3.13 * Crescimento!#REF!*Crescimento!#REF!)</f>
        <v>#REF!</v>
      </c>
      <c r="Z47" s="6"/>
      <c r="AA47" s="16" t="e">
        <f>(AB46+(Crescimento!#REF!-(AB46*0.64))/0.8)/1000</f>
        <v>#REF!</v>
      </c>
      <c r="AB47" s="17" t="e">
        <f>-53.07 + (304.89 * (AA47)) + (90.79 *Crescimento!#REF!) - (3.13 * Crescimento!#REF!*Crescimento!#REF!)</f>
        <v>#REF!</v>
      </c>
      <c r="AC47" s="6"/>
      <c r="AD47" s="16" t="e">
        <f>(AE46+(Crescimento!#REF!-(AE46*0.64))/0.8)/1000</f>
        <v>#REF!</v>
      </c>
      <c r="AE47" s="17" t="e">
        <f>-53.07 + (304.89 * (AD47)) + (90.79 *Crescimento!#REF!) - (3.13 * Crescimento!#REF!*Crescimento!#REF!)</f>
        <v>#REF!</v>
      </c>
      <c r="AF47" s="17"/>
      <c r="AG47" s="16" t="e">
        <f>(AH46+(Crescimento!#REF!-(AH46*0.64))/0.8)/1000</f>
        <v>#REF!</v>
      </c>
      <c r="AH47" s="17" t="e">
        <f>-53.07 + (304.89 * (AG47)) + (90.79 *Crescimento!#REF!) - (3.13 * Crescimento!#REF!*Crescimento!#REF!)</f>
        <v>#REF!</v>
      </c>
      <c r="AJ47" s="16" t="e">
        <f>(AK46+(Crescimento!#REF!-(AK46*0.64))/0.8)/1000</f>
        <v>#REF!</v>
      </c>
      <c r="AK47" s="17" t="e">
        <f>-53.07 + (304.89 * (AJ47)) + (90.79 *Crescimento!#REF!) - (3.13 * Crescimento!#REF!*Crescimento!#REF!)</f>
        <v>#REF!</v>
      </c>
      <c r="AM47" s="16" t="e">
        <f>(AN46+(Crescimento!#REF!-(AN46*0.64))/0.8)/1000</f>
        <v>#REF!</v>
      </c>
      <c r="AN47" s="17" t="e">
        <f>-53.07 + (304.89 * (AM47)) + (90.79 *Crescimento!#REF!) - (3.13 * Crescimento!#REF!*Crescimento!#REF!)</f>
        <v>#REF!</v>
      </c>
      <c r="AP47" s="16" t="e">
        <f>(AQ46+(Crescimento!#REF!-(AQ46*0.64))/0.8)/1000</f>
        <v>#REF!</v>
      </c>
      <c r="AQ47" s="17" t="e">
        <f>-53.07 + (304.89 * (AP47)) + (90.79 *Crescimento!#REF!) - (3.13 * Crescimento!#REF!*Crescimento!#REF!)</f>
        <v>#REF!</v>
      </c>
      <c r="AS47" s="16" t="e">
        <f>(AT46+(Crescimento!#REF!-(AT46*0.64))/0.8)/1000</f>
        <v>#REF!</v>
      </c>
      <c r="AT47" s="17" t="e">
        <f>-53.07 + (304.89 * (AS47)) + (90.79 *Crescimento!#REF!) - (3.13 * Crescimento!#REF!*Crescimento!#REF!)</f>
        <v>#REF!</v>
      </c>
      <c r="AV47" s="16" t="e">
        <f>(AW46+(Crescimento!#REF!-(AW46*0.64))/0.8)/1000</f>
        <v>#REF!</v>
      </c>
      <c r="AW47" s="17" t="e">
        <f>-53.07 + (304.89 * (AV47)) + (90.79 *Crescimento!#REF!) - (3.13 * Crescimento!#REF!*Crescimento!#REF!)</f>
        <v>#REF!</v>
      </c>
      <c r="AY47" s="21" t="e">
        <f>((AZ46+(Crescimento!#REF!-(AZ46*0.64))/0.8)/1000)-Crescimento!#REF!</f>
        <v>#REF!</v>
      </c>
      <c r="AZ47" s="22" t="e">
        <f>-53.07 + (304.89 * (AY47)) + (90.79 *(Crescimento!#REF!-Crescimento!#REF!)) - (3.13 * (Crescimento!#REF!-Crescimento!#REF!)^2)</f>
        <v>#REF!</v>
      </c>
      <c r="BA47" s="23"/>
      <c r="BB47" s="21" t="e">
        <f>((BC46+(Crescimento!#REF!-(BC46*0.64))/0.8)/1000)-Crescimento!#REF!</f>
        <v>#REF!</v>
      </c>
      <c r="BC47" s="22" t="e">
        <f>-53.07 + (304.89 * (BB47)) + (90.79 *(Crescimento!#REF!-Crescimento!#REF!)) - (3.13 * (Crescimento!#REF!-Crescimento!#REF!)^2)</f>
        <v>#REF!</v>
      </c>
      <c r="BD47" s="23"/>
      <c r="BE47" s="21" t="e">
        <f>((BF46+(Crescimento!#REF!-(BF46*0.64))/0.8)/1000)-Crescimento!#REF!</f>
        <v>#REF!</v>
      </c>
      <c r="BF47" s="22" t="e">
        <f>-53.07 + (304.89 * (BE47)) + (90.79 *(Crescimento!#REF!-Crescimento!#REF!)) - (3.13 * (Crescimento!#REF!-Crescimento!#REF!)^2)</f>
        <v>#REF!</v>
      </c>
      <c r="BG47" s="23"/>
      <c r="BH47" s="21" t="e">
        <f>((BI46+(Crescimento!#REF!-(BI46*0.64))/0.8)/1000)-Crescimento!#REF!</f>
        <v>#REF!</v>
      </c>
      <c r="BI47" s="22" t="e">
        <f>-53.07 + (304.89 * (BH47)) + (90.79 *(Crescimento!#REF!-Crescimento!#REF!)) - (3.13 * (Crescimento!#REF!-Crescimento!#REF!)^2)</f>
        <v>#REF!</v>
      </c>
      <c r="BJ47" s="23"/>
      <c r="BK47" s="21" t="e">
        <f>((BL46+(Crescimento!#REF!-(BL46*0.64))/0.8)/1000)-Crescimento!#REF!</f>
        <v>#REF!</v>
      </c>
      <c r="BL47" s="22" t="e">
        <f>-53.07 + (304.89 * (BK47)) + (90.79 *(Crescimento!#REF!-Crescimento!#REF!)) - (3.13 * (Crescimento!#REF!-Crescimento!#REF!)^2)</f>
        <v>#REF!</v>
      </c>
      <c r="BM47" s="23"/>
      <c r="BN47" s="21" t="e">
        <f>((BO46+(Crescimento!#REF!-(BO46*0.64))/0.8)/1000)-Crescimento!#REF!</f>
        <v>#REF!</v>
      </c>
      <c r="BO47" s="22" t="e">
        <f>-53.07 + (304.89 * (BN47)) + (90.79 *(Crescimento!#REF!-Crescimento!#REF!)) - (3.13 * (Crescimento!#REF!-Crescimento!#REF!)^2)</f>
        <v>#REF!</v>
      </c>
      <c r="BP47" s="23"/>
      <c r="BQ47" s="21" t="e">
        <f>((BR46+(Crescimento!#REF!-(BR46*0.64))/0.8)/1000)-Crescimento!#REF!</f>
        <v>#REF!</v>
      </c>
      <c r="BR47" s="22" t="e">
        <f>-53.07 + (304.89 * (BQ47)) + (90.79 *(Crescimento!#REF!-Crescimento!#REF!)) - (3.13 * (Crescimento!#REF!-Crescimento!#REF!)^2)</f>
        <v>#REF!</v>
      </c>
      <c r="BS47" s="23"/>
      <c r="BT47" s="21" t="e">
        <f>((BU46+(Crescimento!#REF!-(BU46*0.64))/0.8)/1000)-Crescimento!#REF!</f>
        <v>#REF!</v>
      </c>
      <c r="BU47" s="22" t="e">
        <f>-53.07 + (304.89 * (BT47)) + (90.79 *(Crescimento!#REF!-Crescimento!#REF!)) - (3.13 * (Crescimento!#REF!-Crescimento!#REF!)^2)</f>
        <v>#REF!</v>
      </c>
      <c r="BV47" s="23"/>
      <c r="BW47" s="21" t="e">
        <f>((BX46+(Crescimento!#REF!-(BX46*0.64))/0.8)/1000)-Crescimento!#REF!</f>
        <v>#REF!</v>
      </c>
      <c r="BX47" s="22" t="e">
        <f>-53.07 + (304.89 * (BW47)) + (90.79 *(Crescimento!#REF!-Crescimento!#REF!)) - (3.13 * (Crescimento!#REF!-Crescimento!#REF!)^2)</f>
        <v>#REF!</v>
      </c>
      <c r="BY47" s="23"/>
      <c r="BZ47" s="21" t="e">
        <f>((CA46+(Crescimento!#REF!-(CA46*0.64))/0.8)/1000)-Crescimento!#REF!</f>
        <v>#REF!</v>
      </c>
      <c r="CA47" s="22" t="e">
        <f>-53.07 + (304.89 * (BZ47)) + (90.79 *(Crescimento!#REF!-Crescimento!#REF!)) - (3.13 * (Crescimento!#REF!-Crescimento!#REF!)^2)</f>
        <v>#REF!</v>
      </c>
      <c r="CB47" s="23"/>
      <c r="CC47" s="21" t="e">
        <f>((CD46+(Crescimento!#REF!-(CD46*0.64))/0.8)/1000)-Crescimento!#REF!</f>
        <v>#REF!</v>
      </c>
      <c r="CD47" s="22" t="e">
        <f>-53.07 + (304.89 * (CC47)) + (90.79 *(Crescimento!#REF!-Crescimento!#REF!)) - (3.13 * (Crescimento!#REF!-Crescimento!#REF!)^2)</f>
        <v>#REF!</v>
      </c>
      <c r="CE47" s="23"/>
      <c r="CF47" s="21" t="e">
        <f>((CG46+(Crescimento!#REF!-(CG46*0.64))/0.8)/1000)-Crescimento!#REF!</f>
        <v>#REF!</v>
      </c>
      <c r="CG47" s="22" t="e">
        <f>-53.07 + (304.89 * (CF47)) + (90.79 *(Crescimento!#REF!-Crescimento!#REF!)) - (3.13 * (Crescimento!#REF!-Crescimento!#REF!)^2)</f>
        <v>#REF!</v>
      </c>
      <c r="CH47" s="23"/>
      <c r="CI47" s="21" t="e">
        <f>((CJ46+(Crescimento!#REF!-(CJ46*0.64))/0.8)/1000)-Crescimento!#REF!</f>
        <v>#REF!</v>
      </c>
      <c r="CJ47" s="22" t="e">
        <f>-53.07 + (304.89 * (CI47)) + (90.79 *(Crescimento!#REF!-Crescimento!#REF!)) - (3.13 * (Crescimento!#REF!-Crescimento!#REF!)^2)</f>
        <v>#REF!</v>
      </c>
      <c r="CK47" s="23"/>
      <c r="CL47" s="21" t="e">
        <f>((CM46+(Crescimento!#REF!-(CM46*0.64))/0.8)/1000)-Crescimento!#REF!</f>
        <v>#REF!</v>
      </c>
      <c r="CM47" s="22" t="e">
        <f>-53.07 + (304.89 * (CL47)) + (90.79 *(Crescimento!#REF!-Crescimento!#REF!)) - (3.13 * (Crescimento!#REF!-Crescimento!#REF!)^2)</f>
        <v>#REF!</v>
      </c>
      <c r="CN47" s="23"/>
      <c r="CO47" s="21" t="e">
        <f>((CP46+(Crescimento!#REF!-(CP46*0.64))/0.8)/1000)-Crescimento!#REF!</f>
        <v>#REF!</v>
      </c>
      <c r="CP47" s="22" t="e">
        <f>-53.07 + (304.89 * (CO47)) + (90.79 *(Crescimento!#REF!-Crescimento!#REF!)) - (3.13 * (Crescimento!#REF!-Crescimento!#REF!)^2)</f>
        <v>#REF!</v>
      </c>
      <c r="CQ47" s="23"/>
      <c r="CR47" s="21" t="e">
        <f>((CS46+(Crescimento!#REF!-(CS46*0.64))/0.8)/1000)-Crescimento!#REF!</f>
        <v>#REF!</v>
      </c>
      <c r="CS47" s="22" t="e">
        <f>-53.07 + (304.89 * (CR47)) + (90.79 *(Crescimento!#REF!-Crescimento!#REF!)) - (3.13 * (Crescimento!#REF!-Crescimento!#REF!)^2)</f>
        <v>#REF!</v>
      </c>
      <c r="CX47" s="16" t="e">
        <f>((CY46+(Crescimento!#REF!-(CY46*0.64))/0.8)/1000)-Crescimento!#REF!</f>
        <v>#REF!</v>
      </c>
      <c r="CY47" s="17" t="e">
        <f>-53.07 + (304.89 * (CX47)) + (90.79 *(Crescimento!#REF!-Crescimento!#REF!)) - (3.13 * (Crescimento!#REF!-Crescimento!#REF!)^2)</f>
        <v>#REF!</v>
      </c>
      <c r="DA47" s="16" t="e">
        <f>((DB46+(Crescimento!#REF!-(DB46*0.64))/0.8)/1000)-Crescimento!#REF!</f>
        <v>#REF!</v>
      </c>
      <c r="DB47" s="17" t="e">
        <f>-53.07 + (304.89 * (DA47)) + (90.79 *(Crescimento!#REF!-Crescimento!#REF!)) - (3.13 * (Crescimento!#REF!-Crescimento!#REF!)^2)</f>
        <v>#REF!</v>
      </c>
      <c r="DD47" s="16" t="e">
        <f>(DE46+(Crescimento!#REF!-(DE46*0.64))/0.8)/1000</f>
        <v>#REF!</v>
      </c>
      <c r="DE47" s="17" t="e">
        <f>-53.07 + (304.89 * (DD47)) + (90.79 *Crescimento!#REF!) - (3.13 * Crescimento!#REF!*Crescimento!#REF!)</f>
        <v>#REF!</v>
      </c>
      <c r="DG47" s="16" t="e">
        <f>((DH46+(Crescimento!#REF!-(DH46*0.64))/0.8)/1000)-Crescimento!#REF!</f>
        <v>#REF!</v>
      </c>
      <c r="DH47" s="17" t="e">
        <f>-53.07 + (304.89 * (DG47)) + (90.79 *(Crescimento!#REF!-Crescimento!#REF!)) - (3.13 * (Crescimento!#REF!-Crescimento!#REF!)^2)</f>
        <v>#REF!</v>
      </c>
      <c r="DJ47" s="16" t="e">
        <f>((DK46+(Crescimento!#REF!-(DK46*0.64))/0.8)/1000)-Crescimento!#REF!</f>
        <v>#REF!</v>
      </c>
      <c r="DK47" s="17" t="e">
        <f>-53.07 + (304.89 * (DJ47)) + (90.79 *(Crescimento!#REF!-Crescimento!#REF!)) - (3.13 * (Crescimento!#REF!-Crescimento!#REF!)^2)</f>
        <v>#REF!</v>
      </c>
      <c r="DM47" s="16" t="e">
        <f>((DN46+(Crescimento!#REF!-(DN46*0.64))/0.8)/1000)-Crescimento!#REF!</f>
        <v>#REF!</v>
      </c>
      <c r="DN47" s="17" t="e">
        <f>-53.07 + (304.89 * (DM47)) + (90.79 *(Crescimento!#REF!-Crescimento!#REF!)) - (3.13 * (Crescimento!#REF!-Crescimento!#REF!)^2)</f>
        <v>#REF!</v>
      </c>
      <c r="DP47" s="16" t="e">
        <f>(DQ46+(Crescimento!#REF!-(DQ46*0.64))/0.8)/1000</f>
        <v>#REF!</v>
      </c>
      <c r="DQ47" s="17" t="e">
        <f>-53.07 + (304.89 * (DP47)) + (90.79 *(Crescimento!#REF!-Crescimento!#REF!)) - (3.13 * (Crescimento!#REF!-Crescimento!#REF!)^2)</f>
        <v>#REF!</v>
      </c>
      <c r="DS47" s="16" t="e">
        <f>((DT46+(Crescimento!#REF!-(DT46*0.64))/0.8)/1000)-Crescimento!#REF!</f>
        <v>#REF!</v>
      </c>
      <c r="DT47" s="17" t="e">
        <f>-53.07 + (304.89 * (DS47)) + (90.79 *(Crescimento!#REF!-Crescimento!#REF!)) - (3.13 * (Crescimento!#REF!-Crescimento!#REF!)^2)</f>
        <v>#REF!</v>
      </c>
      <c r="DV47" s="16" t="e">
        <f>((DW46+(Crescimento!#REF!-(DW46*0.64))/0.8)/1000)-Crescimento!#REF!</f>
        <v>#REF!</v>
      </c>
      <c r="DW47" s="17" t="e">
        <f>-53.07 + (304.89 * (DV47)) + (90.79 *(Crescimento!#REF!-Crescimento!#REF!)) - (3.13 * (Crescimento!#REF!-Crescimento!#REF!)^2)</f>
        <v>#REF!</v>
      </c>
      <c r="DY47" s="16" t="e">
        <f>((DZ46+(Crescimento!#REF!-(DZ46*0.64))/0.8)/1000)-Crescimento!#REF!</f>
        <v>#REF!</v>
      </c>
      <c r="DZ47" s="17" t="e">
        <f>-53.07 + (304.89 * (DY47)) + (90.79 *(Crescimento!#REF!-Crescimento!#REF!)) - (3.13 * (Crescimento!#REF!-Crescimento!#REF!)^2)</f>
        <v>#REF!</v>
      </c>
      <c r="EB47" s="16" t="e">
        <f>((EC46+(Crescimento!#REF!-(EC46*0.64))/0.8)/1000)-Crescimento!#REF!</f>
        <v>#REF!</v>
      </c>
      <c r="EC47" s="17" t="e">
        <f>-53.07 + (304.89 * (EB47)) + (90.79 *(Crescimento!#REF!-Crescimento!#REF!)) - (3.13 * (Crescimento!#REF!-Crescimento!#REF!)^2)</f>
        <v>#REF!</v>
      </c>
      <c r="EE47" s="16" t="e">
        <f>((EF46+(Crescimento!#REF!-(EF46*0.64))/0.8)/1000)-Crescimento!#REF!</f>
        <v>#REF!</v>
      </c>
      <c r="EF47" s="17" t="e">
        <f>-53.07 + (304.89 * (EE47)) + (90.79 *(Crescimento!#REF!-Crescimento!#REF!)) - (3.13 * (Crescimento!#REF!-Crescimento!#REF!)^2)</f>
        <v>#REF!</v>
      </c>
      <c r="EH47" s="16" t="e">
        <f>((EI46+(Crescimento!#REF!-(EI46*0.64))/0.8)/1000)-Crescimento!#REF!</f>
        <v>#REF!</v>
      </c>
      <c r="EI47" s="17" t="e">
        <f>-53.07 + (304.89 * (EH47)) + (90.79 *(Crescimento!#REF!-Crescimento!#REF!)) - (3.13 * (Crescimento!#REF!-Crescimento!#REF!)^2)</f>
        <v>#REF!</v>
      </c>
      <c r="EK47" s="16" t="e">
        <f>((EL46+(Crescimento!#REF!-(EL46*0.64))/0.8)/1000)-Crescimento!#REF!</f>
        <v>#REF!</v>
      </c>
      <c r="EL47" s="17" t="e">
        <f>-53.07 + (304.89 * (EK47)) + (90.79 *(Crescimento!#REF!-Crescimento!#REF!)) - (3.13 * (Crescimento!#REF!-Crescimento!#REF!)^2)</f>
        <v>#REF!</v>
      </c>
      <c r="EN47" s="16" t="e">
        <f>((EO46+(Crescimento!#REF!-(EO46*0.64))/0.8)/1000)-Crescimento!#REF!</f>
        <v>#REF!</v>
      </c>
      <c r="EO47" s="17" t="e">
        <f>-53.07 + (304.89 * (EN47)) + (90.79 *(Crescimento!#REF!-Crescimento!#REF!)) - (3.13 * (Crescimento!#REF!-Crescimento!#REF!)^2)</f>
        <v>#REF!</v>
      </c>
      <c r="EQ47" s="16" t="e">
        <f>((ER46+(Crescimento!#REF!-(ER46*0.64))/0.8)/1000)-Crescimento!#REF!</f>
        <v>#REF!</v>
      </c>
      <c r="ER47" s="17" t="e">
        <f>-53.07 + (304.89 * (EQ47)) + (90.79 *(Crescimento!#REF!-Crescimento!#REF!)) - (3.13 * (Crescimento!#REF!-Crescimento!#REF!)^2)</f>
        <v>#REF!</v>
      </c>
      <c r="ET47" s="16" t="e">
        <f>((EU46+(Crescimento!#REF!-(EU46*0.64))/0.8)/1000)-Crescimento!#REF!</f>
        <v>#REF!</v>
      </c>
      <c r="EU47" s="17" t="e">
        <f>-53.07 + (304.89 * (ET47)) + (90.79 *(Crescimento!#REF!-Crescimento!#REF!)) - (3.13 * (Crescimento!#REF!-Crescimento!#REF!)^2)</f>
        <v>#REF!</v>
      </c>
      <c r="EW47" s="16" t="e">
        <f>((EX46+('Vacas e Bezerros'!#REF!-(EX46*0.64))/0.8)/1000)-'Vacas e Bezerros'!#REF!</f>
        <v>#REF!</v>
      </c>
      <c r="EX47" s="17" t="e">
        <f>-53.07 + (304.89 * (EW47)) + (90.79 *('Vacas e Bezerros'!#REF!-'Vacas e Bezerros'!#REF!)) - (3.13 * ('Vacas e Bezerros'!#REF!-'Vacas e Bezerros'!#REF!)^2)</f>
        <v>#REF!</v>
      </c>
      <c r="EZ47" s="16" t="e">
        <f>((FA46+('Vacas e Bezerros'!#REF!-(FA46*0.64))/0.8)/1000)-'Vacas e Bezerros'!#REF!</f>
        <v>#REF!</v>
      </c>
      <c r="FA47" s="17" t="e">
        <f>-53.07 + (304.89 * (EZ47)) + (90.79 *('Vacas e Bezerros'!#REF!-'Vacas e Bezerros'!#REF!)) - (3.13 * ('Vacas e Bezerros'!#REF!-'Vacas e Bezerros'!#REF!)^2)</f>
        <v>#REF!</v>
      </c>
      <c r="FC47" s="16" t="e">
        <f>((FD46+('Vacas e Bezerros'!#REF!-(FD46*0.64))/0.8)/1000)-'Vacas e Bezerros'!#REF!</f>
        <v>#REF!</v>
      </c>
      <c r="FD47" s="17" t="e">
        <f>-53.07 + (304.89 * (FC47)) + (90.79 *('Vacas e Bezerros'!#REF!-'Vacas e Bezerros'!#REF!)) - (3.13 * ('Vacas e Bezerros'!#REF!-'Vacas e Bezerros'!#REF!)^2)</f>
        <v>#REF!</v>
      </c>
      <c r="FF47" s="16" t="e">
        <f>((FG46+('Vacas e Bezerros'!#REF!-(FG46*0.64))/0.8)/1000)-'Vacas e Bezerros'!#REF!</f>
        <v>#REF!</v>
      </c>
      <c r="FG47" s="17" t="e">
        <f>-53.07 + (304.89 * (FF47)) + (90.79 *('Vacas e Bezerros'!#REF!-'Vacas e Bezerros'!#REF!)) - (3.13 * ('Vacas e Bezerros'!#REF!-'Vacas e Bezerros'!#REF!)^2)</f>
        <v>#REF!</v>
      </c>
      <c r="FI47" s="16" t="e">
        <f>((FJ46+('Vacas e Bezerros'!#REF!-(FJ46*0.64))/0.8)/1000)-'Vacas e Bezerros'!#REF!</f>
        <v>#REF!</v>
      </c>
      <c r="FJ47" s="17" t="e">
        <f>-53.07 + (304.89 * (FI47)) + (90.79 *('Vacas e Bezerros'!#REF!-'Vacas e Bezerros'!#REF!)) - (3.13 * ('Vacas e Bezerros'!#REF!-'Vacas e Bezerros'!#REF!)^2)</f>
        <v>#REF!</v>
      </c>
      <c r="FL47" s="16" t="e">
        <f>((FM46+('Vacas e Bezerros'!#REF!-(FM46*0.64))/0.8)/1000)-'Vacas e Bezerros'!#REF!</f>
        <v>#REF!</v>
      </c>
      <c r="FM47" s="17" t="e">
        <f>-53.07 + (304.89 * (FL47)) + (90.79 *('Vacas e Bezerros'!#REF!-'Vacas e Bezerros'!#REF!)) - (3.13 * ('Vacas e Bezerros'!#REF!-'Vacas e Bezerros'!#REF!)^2)</f>
        <v>#REF!</v>
      </c>
      <c r="FO47" s="16" t="e">
        <f>((FP46+('Vacas e Bezerros'!#REF!-(FP46*0.64))/0.8)/1000)-'Vacas e Bezerros'!#REF!</f>
        <v>#REF!</v>
      </c>
      <c r="FP47" s="17" t="e">
        <f>-53.07 + (304.89 * (FO47)) + (90.79 *('Vacas e Bezerros'!#REF!-'Vacas e Bezerros'!#REF!)) - (3.13 * ('Vacas e Bezerros'!#REF!-'Vacas e Bezerros'!#REF!)^2)</f>
        <v>#REF!</v>
      </c>
      <c r="FR47" s="16" t="e">
        <f>((FS46+('Vacas e Bezerros'!#REF!-(FS46*0.64))/0.8)/1000)-'Vacas e Bezerros'!#REF!</f>
        <v>#REF!</v>
      </c>
      <c r="FS47" s="17" t="e">
        <f>-53.07 + (304.89 * (FR47)) + (90.79 *('Vacas e Bezerros'!#REF!-'Vacas e Bezerros'!#REF!)) - (3.13 * ('Vacas e Bezerros'!#REF!-'Vacas e Bezerros'!#REF!)^2)</f>
        <v>#REF!</v>
      </c>
      <c r="FU47" s="16" t="e">
        <f>((FV46+('Vacas e Bezerros'!#REF!-(FV46*0.64))/0.8)/1000)-'Vacas e Bezerros'!#REF!</f>
        <v>#REF!</v>
      </c>
      <c r="FV47" s="17" t="e">
        <f>-53.07 + (304.89 * (FU47)) + (90.79 *('Vacas e Bezerros'!#REF!-'Vacas e Bezerros'!#REF!)) - (3.13 * ('Vacas e Bezerros'!#REF!-'Vacas e Bezerros'!#REF!)^2)</f>
        <v>#REF!</v>
      </c>
      <c r="FX47" s="16" t="e">
        <f>((FY46+('Vacas e Bezerros'!#REF!-(FY46*0.64))/0.8)/1000)-'Vacas e Bezerros'!#REF!</f>
        <v>#REF!</v>
      </c>
      <c r="FY47" s="17" t="e">
        <f>-53.07 + (304.89 * (FX47)) + (90.79 *('Vacas e Bezerros'!#REF!-'Vacas e Bezerros'!#REF!)) - (3.13 * ('Vacas e Bezerros'!#REF!-'Vacas e Bezerros'!#REF!)^2)</f>
        <v>#REF!</v>
      </c>
      <c r="GA47" s="16" t="e">
        <f>((GB46+('Vacas e Bezerros'!#REF!-(GB46*0.64))/0.8)/1000)-'Vacas e Bezerros'!#REF!</f>
        <v>#REF!</v>
      </c>
      <c r="GB47" s="17" t="e">
        <f>-53.07 + (304.89 * (GA47)) + (90.79 *('Vacas e Bezerros'!#REF!-'Vacas e Bezerros'!#REF!)) - (3.13 * ('Vacas e Bezerros'!#REF!-'Vacas e Bezerros'!#REF!)^2)</f>
        <v>#REF!</v>
      </c>
      <c r="GD47" s="16" t="e">
        <f>((GE46+('Vacas e Bezerros'!#REF!-(GE46*0.64))/0.8)/1000)-'Vacas e Bezerros'!#REF!</f>
        <v>#REF!</v>
      </c>
      <c r="GE47" s="17" t="e">
        <f>-53.07 + (304.89 * (GD47)) + (90.79 *('Vacas e Bezerros'!#REF!-'Vacas e Bezerros'!#REF!)) - (3.13 * ('Vacas e Bezerros'!#REF!-'Vacas e Bezerros'!#REF!)^2)</f>
        <v>#REF!</v>
      </c>
      <c r="GG47" s="16" t="e">
        <f>((GH46+('Vacas e Bezerros'!#REF!-(GH46*0.64))/0.8)/1000)-'Vacas e Bezerros'!#REF!</f>
        <v>#REF!</v>
      </c>
      <c r="GH47" s="17" t="e">
        <f>-53.07 + (304.89 * (GG47)) + (90.79 *('Vacas e Bezerros'!#REF!-'Vacas e Bezerros'!#REF!)) - (3.13 * ('Vacas e Bezerros'!#REF!-'Vacas e Bezerros'!#REF!)^2)</f>
        <v>#REF!</v>
      </c>
      <c r="GJ47" s="16" t="e">
        <f>((GK46+('Vacas e Bezerros'!#REF!-(GK46*0.64))/0.8)/1000)-'Vacas e Bezerros'!#REF!</f>
        <v>#REF!</v>
      </c>
      <c r="GK47" s="17" t="e">
        <f>-53.07 + (304.89 * (GJ47)) + (90.79 *('Vacas e Bezerros'!#REF!-'Vacas e Bezerros'!#REF!)) - (3.13 * ('Vacas e Bezerros'!#REF!-'Vacas e Bezerros'!#REF!)^2)</f>
        <v>#REF!</v>
      </c>
      <c r="GM47" s="16" t="e">
        <f>((GN46+('Vacas e Bezerros'!#REF!-(GN46*0.64))/0.8)/1000)-'Vacas e Bezerros'!#REF!</f>
        <v>#REF!</v>
      </c>
      <c r="GN47" s="17" t="e">
        <f>-53.07 + (304.89 * (GM47)) + (90.79 *('Vacas e Bezerros'!#REF!-'Vacas e Bezerros'!#REF!)) - (3.13 * ('Vacas e Bezerros'!#REF!-'Vacas e Bezerros'!#REF!)^2)</f>
        <v>#REF!</v>
      </c>
    </row>
    <row r="48" spans="3:196" x14ac:dyDescent="0.25">
      <c r="C48" s="16">
        <f>(D47+('Vacas e Bezerros'!$AA$28-(D47*0.64))/0.8)/1000</f>
        <v>0.35719668016155687</v>
      </c>
      <c r="D48" s="17">
        <f>-53.07 + (304.89 * (C48-'Vacas e Bezerros'!$C$206)) + (90.79 *('Vacas e Bezerros'!$AA$22)) - (3.13 *('Vacas e Bezerros'!$AA$22)^2)</f>
        <v>165.01876457544017</v>
      </c>
      <c r="F48" s="16" t="e">
        <f>(G47+(Crescimento!#REF!-(G47*0.64))/0.8)/1000</f>
        <v>#REF!</v>
      </c>
      <c r="G48" s="17" t="e">
        <f>-53.07 + (304.89 * (F48)) + (90.79 *Crescimento!#REF!) - (3.13 * Crescimento!#REF!*Crescimento!#REF!)</f>
        <v>#REF!</v>
      </c>
      <c r="H48" s="1"/>
      <c r="I48" s="16" t="e">
        <f>(J47+(Crescimento!#REF!-(J47*0.64))/0.8)/1000</f>
        <v>#REF!</v>
      </c>
      <c r="J48" s="17" t="e">
        <f>-53.07 + (304.89 * (I48)) + (90.79 *Crescimento!#REF!) - (3.13 * Crescimento!#REF!*Crescimento!#REF!)</f>
        <v>#REF!</v>
      </c>
      <c r="L48" s="16" t="e">
        <f>(M47+(Crescimento!#REF!-(M47*0.64))/0.8)/1000</f>
        <v>#REF!</v>
      </c>
      <c r="M48" s="17" t="e">
        <f>-53.07 + (304.89 * (L48)) + (90.79 *Crescimento!#REF!) - (3.13 * Crescimento!#REF!*Crescimento!#REF!)</f>
        <v>#REF!</v>
      </c>
      <c r="O48" s="16" t="e">
        <f>(P47+(Crescimento!#REF!-(P47*0.64))/0.8)/1000</f>
        <v>#REF!</v>
      </c>
      <c r="P48" s="17" t="e">
        <f>-53.07 + (304.89 * (O48)) + (90.79 *Crescimento!#REF!) - (3.13 * Crescimento!#REF!*Crescimento!#REF!)</f>
        <v>#REF!</v>
      </c>
      <c r="R48" s="16" t="e">
        <f>(S47+(Crescimento!#REF!-(S47*0.64))/0.8)/1000</f>
        <v>#REF!</v>
      </c>
      <c r="S48" s="17" t="e">
        <f>-53.07 + (304.89 * (R48)) + (90.79 *Crescimento!#REF!) - (3.13 * Crescimento!#REF!*Crescimento!#REF!)</f>
        <v>#REF!</v>
      </c>
      <c r="U48" s="16" t="e">
        <f>(V47+(Crescimento!#REF!-(V47*0.64))/0.8)/1000</f>
        <v>#REF!</v>
      </c>
      <c r="V48" s="17" t="e">
        <f>-53.07 + (304.89 * (U48)) + (90.79 *Crescimento!#REF!) - (3.13 * Crescimento!#REF!*Crescimento!#REF!)</f>
        <v>#REF!</v>
      </c>
      <c r="X48" s="16" t="e">
        <f>(Y47+(Crescimento!#REF!-(Y47*0.64))/0.8)/1000</f>
        <v>#REF!</v>
      </c>
      <c r="Y48" s="17" t="e">
        <f>-53.07 + (304.89 * (X48)) + (90.79 *Crescimento!#REF!) - (3.13 * Crescimento!#REF!*Crescimento!#REF!)</f>
        <v>#REF!</v>
      </c>
      <c r="Z48" s="6"/>
      <c r="AA48" s="16" t="e">
        <f>(AB47+(Crescimento!#REF!-(AB47*0.64))/0.8)/1000</f>
        <v>#REF!</v>
      </c>
      <c r="AB48" s="17" t="e">
        <f>-53.07 + (304.89 * (AA48)) + (90.79 *Crescimento!#REF!) - (3.13 * Crescimento!#REF!*Crescimento!#REF!)</f>
        <v>#REF!</v>
      </c>
      <c r="AC48" s="6"/>
      <c r="AD48" s="16" t="e">
        <f>(AE47+(Crescimento!#REF!-(AE47*0.64))/0.8)/1000</f>
        <v>#REF!</v>
      </c>
      <c r="AE48" s="17" t="e">
        <f>-53.07 + (304.89 * (AD48)) + (90.79 *Crescimento!#REF!) - (3.13 * Crescimento!#REF!*Crescimento!#REF!)</f>
        <v>#REF!</v>
      </c>
      <c r="AF48" s="17"/>
      <c r="AG48" s="16" t="e">
        <f>(AH47+(Crescimento!#REF!-(AH47*0.64))/0.8)/1000</f>
        <v>#REF!</v>
      </c>
      <c r="AH48" s="17" t="e">
        <f>-53.07 + (304.89 * (AG48)) + (90.79 *Crescimento!#REF!) - (3.13 * Crescimento!#REF!*Crescimento!#REF!)</f>
        <v>#REF!</v>
      </c>
      <c r="AJ48" s="16" t="e">
        <f>(AK47+(Crescimento!#REF!-(AK47*0.64))/0.8)/1000</f>
        <v>#REF!</v>
      </c>
      <c r="AK48" s="17" t="e">
        <f>-53.07 + (304.89 * (AJ48)) + (90.79 *Crescimento!#REF!) - (3.13 * Crescimento!#REF!*Crescimento!#REF!)</f>
        <v>#REF!</v>
      </c>
      <c r="AM48" s="16" t="e">
        <f>(AN47+(Crescimento!#REF!-(AN47*0.64))/0.8)/1000</f>
        <v>#REF!</v>
      </c>
      <c r="AN48" s="17" t="e">
        <f>-53.07 + (304.89 * (AM48)) + (90.79 *Crescimento!#REF!) - (3.13 * Crescimento!#REF!*Crescimento!#REF!)</f>
        <v>#REF!</v>
      </c>
      <c r="AP48" s="16" t="e">
        <f>(AQ47+(Crescimento!#REF!-(AQ47*0.64))/0.8)/1000</f>
        <v>#REF!</v>
      </c>
      <c r="AQ48" s="17" t="e">
        <f>-53.07 + (304.89 * (AP48)) + (90.79 *Crescimento!#REF!) - (3.13 * Crescimento!#REF!*Crescimento!#REF!)</f>
        <v>#REF!</v>
      </c>
      <c r="AS48" s="16" t="e">
        <f>(AT47+(Crescimento!#REF!-(AT47*0.64))/0.8)/1000</f>
        <v>#REF!</v>
      </c>
      <c r="AT48" s="17" t="e">
        <f>-53.07 + (304.89 * (AS48)) + (90.79 *Crescimento!#REF!) - (3.13 * Crescimento!#REF!*Crescimento!#REF!)</f>
        <v>#REF!</v>
      </c>
      <c r="AV48" s="16" t="e">
        <f>(AW47+(Crescimento!#REF!-(AW47*0.64))/0.8)/1000</f>
        <v>#REF!</v>
      </c>
      <c r="AW48" s="17" t="e">
        <f>-53.07 + (304.89 * (AV48)) + (90.79 *Crescimento!#REF!) - (3.13 * Crescimento!#REF!*Crescimento!#REF!)</f>
        <v>#REF!</v>
      </c>
      <c r="AY48" s="21" t="e">
        <f>((AZ47+(Crescimento!#REF!-(AZ47*0.64))/0.8)/1000)-Crescimento!#REF!</f>
        <v>#REF!</v>
      </c>
      <c r="AZ48" s="22" t="e">
        <f>-53.07 + (304.89 * (AY48)) + (90.79 *(Crescimento!#REF!-Crescimento!#REF!)) - (3.13 * (Crescimento!#REF!-Crescimento!#REF!)^2)</f>
        <v>#REF!</v>
      </c>
      <c r="BA48" s="23"/>
      <c r="BB48" s="21" t="e">
        <f>((BC47+(Crescimento!#REF!-(BC47*0.64))/0.8)/1000)-Crescimento!#REF!</f>
        <v>#REF!</v>
      </c>
      <c r="BC48" s="22" t="e">
        <f>-53.07 + (304.89 * (BB48)) + (90.79 *(Crescimento!#REF!-Crescimento!#REF!)) - (3.13 * (Crescimento!#REF!-Crescimento!#REF!)^2)</f>
        <v>#REF!</v>
      </c>
      <c r="BD48" s="23"/>
      <c r="BE48" s="21" t="e">
        <f>((BF47+(Crescimento!#REF!-(BF47*0.64))/0.8)/1000)-Crescimento!#REF!</f>
        <v>#REF!</v>
      </c>
      <c r="BF48" s="22" t="e">
        <f>-53.07 + (304.89 * (BE48)) + (90.79 *(Crescimento!#REF!-Crescimento!#REF!)) - (3.13 * (Crescimento!#REF!-Crescimento!#REF!)^2)</f>
        <v>#REF!</v>
      </c>
      <c r="BG48" s="23"/>
      <c r="BH48" s="21" t="e">
        <f>((BI47+(Crescimento!#REF!-(BI47*0.64))/0.8)/1000)-Crescimento!#REF!</f>
        <v>#REF!</v>
      </c>
      <c r="BI48" s="22" t="e">
        <f>-53.07 + (304.89 * (BH48)) + (90.79 *(Crescimento!#REF!-Crescimento!#REF!)) - (3.13 * (Crescimento!#REF!-Crescimento!#REF!)^2)</f>
        <v>#REF!</v>
      </c>
      <c r="BJ48" s="23"/>
      <c r="BK48" s="21" t="e">
        <f>((BL47+(Crescimento!#REF!-(BL47*0.64))/0.8)/1000)-Crescimento!#REF!</f>
        <v>#REF!</v>
      </c>
      <c r="BL48" s="22" t="e">
        <f>-53.07 + (304.89 * (BK48)) + (90.79 *(Crescimento!#REF!-Crescimento!#REF!)) - (3.13 * (Crescimento!#REF!-Crescimento!#REF!)^2)</f>
        <v>#REF!</v>
      </c>
      <c r="BM48" s="23"/>
      <c r="BN48" s="21" t="e">
        <f>((BO47+(Crescimento!#REF!-(BO47*0.64))/0.8)/1000)-Crescimento!#REF!</f>
        <v>#REF!</v>
      </c>
      <c r="BO48" s="22" t="e">
        <f>-53.07 + (304.89 * (BN48)) + (90.79 *(Crescimento!#REF!-Crescimento!#REF!)) - (3.13 * (Crescimento!#REF!-Crescimento!#REF!)^2)</f>
        <v>#REF!</v>
      </c>
      <c r="BP48" s="23"/>
      <c r="BQ48" s="21" t="e">
        <f>((BR47+(Crescimento!#REF!-(BR47*0.64))/0.8)/1000)-Crescimento!#REF!</f>
        <v>#REF!</v>
      </c>
      <c r="BR48" s="22" t="e">
        <f>-53.07 + (304.89 * (BQ48)) + (90.79 *(Crescimento!#REF!-Crescimento!#REF!)) - (3.13 * (Crescimento!#REF!-Crescimento!#REF!)^2)</f>
        <v>#REF!</v>
      </c>
      <c r="BS48" s="23"/>
      <c r="BT48" s="21" t="e">
        <f>((BU47+(Crescimento!#REF!-(BU47*0.64))/0.8)/1000)-Crescimento!#REF!</f>
        <v>#REF!</v>
      </c>
      <c r="BU48" s="22" t="e">
        <f>-53.07 + (304.89 * (BT48)) + (90.79 *(Crescimento!#REF!-Crescimento!#REF!)) - (3.13 * (Crescimento!#REF!-Crescimento!#REF!)^2)</f>
        <v>#REF!</v>
      </c>
      <c r="BV48" s="23"/>
      <c r="BW48" s="21" t="e">
        <f>((BX47+(Crescimento!#REF!-(BX47*0.64))/0.8)/1000)-Crescimento!#REF!</f>
        <v>#REF!</v>
      </c>
      <c r="BX48" s="22" t="e">
        <f>-53.07 + (304.89 * (BW48)) + (90.79 *(Crescimento!#REF!-Crescimento!#REF!)) - (3.13 * (Crescimento!#REF!-Crescimento!#REF!)^2)</f>
        <v>#REF!</v>
      </c>
      <c r="BY48" s="23"/>
      <c r="BZ48" s="21" t="e">
        <f>((CA47+(Crescimento!#REF!-(CA47*0.64))/0.8)/1000)-Crescimento!#REF!</f>
        <v>#REF!</v>
      </c>
      <c r="CA48" s="22" t="e">
        <f>-53.07 + (304.89 * (BZ48)) + (90.79 *(Crescimento!#REF!-Crescimento!#REF!)) - (3.13 * (Crescimento!#REF!-Crescimento!#REF!)^2)</f>
        <v>#REF!</v>
      </c>
      <c r="CB48" s="23"/>
      <c r="CC48" s="21" t="e">
        <f>((CD47+(Crescimento!#REF!-(CD47*0.64))/0.8)/1000)-Crescimento!#REF!</f>
        <v>#REF!</v>
      </c>
      <c r="CD48" s="22" t="e">
        <f>-53.07 + (304.89 * (CC48)) + (90.79 *(Crescimento!#REF!-Crescimento!#REF!)) - (3.13 * (Crescimento!#REF!-Crescimento!#REF!)^2)</f>
        <v>#REF!</v>
      </c>
      <c r="CE48" s="23"/>
      <c r="CF48" s="21" t="e">
        <f>((CG47+(Crescimento!#REF!-(CG47*0.64))/0.8)/1000)-Crescimento!#REF!</f>
        <v>#REF!</v>
      </c>
      <c r="CG48" s="22" t="e">
        <f>-53.07 + (304.89 * (CF48)) + (90.79 *(Crescimento!#REF!-Crescimento!#REF!)) - (3.13 * (Crescimento!#REF!-Crescimento!#REF!)^2)</f>
        <v>#REF!</v>
      </c>
      <c r="CH48" s="23"/>
      <c r="CI48" s="21" t="e">
        <f>((CJ47+(Crescimento!#REF!-(CJ47*0.64))/0.8)/1000)-Crescimento!#REF!</f>
        <v>#REF!</v>
      </c>
      <c r="CJ48" s="22" t="e">
        <f>-53.07 + (304.89 * (CI48)) + (90.79 *(Crescimento!#REF!-Crescimento!#REF!)) - (3.13 * (Crescimento!#REF!-Crescimento!#REF!)^2)</f>
        <v>#REF!</v>
      </c>
      <c r="CK48" s="23"/>
      <c r="CL48" s="21" t="e">
        <f>((CM47+(Crescimento!#REF!-(CM47*0.64))/0.8)/1000)-Crescimento!#REF!</f>
        <v>#REF!</v>
      </c>
      <c r="CM48" s="22" t="e">
        <f>-53.07 + (304.89 * (CL48)) + (90.79 *(Crescimento!#REF!-Crescimento!#REF!)) - (3.13 * (Crescimento!#REF!-Crescimento!#REF!)^2)</f>
        <v>#REF!</v>
      </c>
      <c r="CN48" s="23"/>
      <c r="CO48" s="21" t="e">
        <f>((CP47+(Crescimento!#REF!-(CP47*0.64))/0.8)/1000)-Crescimento!#REF!</f>
        <v>#REF!</v>
      </c>
      <c r="CP48" s="22" t="e">
        <f>-53.07 + (304.89 * (CO48)) + (90.79 *(Crescimento!#REF!-Crescimento!#REF!)) - (3.13 * (Crescimento!#REF!-Crescimento!#REF!)^2)</f>
        <v>#REF!</v>
      </c>
      <c r="CQ48" s="23"/>
      <c r="CR48" s="21" t="e">
        <f>((CS47+(Crescimento!#REF!-(CS47*0.64))/0.8)/1000)-Crescimento!#REF!</f>
        <v>#REF!</v>
      </c>
      <c r="CS48" s="22" t="e">
        <f>-53.07 + (304.89 * (CR48)) + (90.79 *(Crescimento!#REF!-Crescimento!#REF!)) - (3.13 * (Crescimento!#REF!-Crescimento!#REF!)^2)</f>
        <v>#REF!</v>
      </c>
      <c r="CX48" s="16" t="e">
        <f>((CY47+(Crescimento!#REF!-(CY47*0.64))/0.8)/1000)-Crescimento!#REF!</f>
        <v>#REF!</v>
      </c>
      <c r="CY48" s="17" t="e">
        <f>-53.07 + (304.89 * (CX48)) + (90.79 *(Crescimento!#REF!-Crescimento!#REF!)) - (3.13 * (Crescimento!#REF!-Crescimento!#REF!)^2)</f>
        <v>#REF!</v>
      </c>
      <c r="DA48" s="16" t="e">
        <f>((DB47+(Crescimento!#REF!-(DB47*0.64))/0.8)/1000)-Crescimento!#REF!</f>
        <v>#REF!</v>
      </c>
      <c r="DB48" s="17" t="e">
        <f>-53.07 + (304.89 * (DA48)) + (90.79 *(Crescimento!#REF!-Crescimento!#REF!)) - (3.13 * (Crescimento!#REF!-Crescimento!#REF!)^2)</f>
        <v>#REF!</v>
      </c>
      <c r="DD48" s="16" t="e">
        <f>(DE47+(Crescimento!#REF!-(DE47*0.64))/0.8)/1000</f>
        <v>#REF!</v>
      </c>
      <c r="DE48" s="17" t="e">
        <f>-53.07 + (304.89 * (DD48)) + (90.79 *Crescimento!#REF!) - (3.13 * Crescimento!#REF!*Crescimento!#REF!)</f>
        <v>#REF!</v>
      </c>
      <c r="DG48" s="16" t="e">
        <f>((DH47+(Crescimento!#REF!-(DH47*0.64))/0.8)/1000)-Crescimento!#REF!</f>
        <v>#REF!</v>
      </c>
      <c r="DH48" s="17" t="e">
        <f>-53.07 + (304.89 * (DG48)) + (90.79 *(Crescimento!#REF!-Crescimento!#REF!)) - (3.13 * (Crescimento!#REF!-Crescimento!#REF!)^2)</f>
        <v>#REF!</v>
      </c>
      <c r="DJ48" s="16" t="e">
        <f>((DK47+(Crescimento!#REF!-(DK47*0.64))/0.8)/1000)-Crescimento!#REF!</f>
        <v>#REF!</v>
      </c>
      <c r="DK48" s="17" t="e">
        <f>-53.07 + (304.89 * (DJ48)) + (90.79 *(Crescimento!#REF!-Crescimento!#REF!)) - (3.13 * (Crescimento!#REF!-Crescimento!#REF!)^2)</f>
        <v>#REF!</v>
      </c>
      <c r="DM48" s="16" t="e">
        <f>((DN47+(Crescimento!#REF!-(DN47*0.64))/0.8)/1000)-Crescimento!#REF!</f>
        <v>#REF!</v>
      </c>
      <c r="DN48" s="17" t="e">
        <f>-53.07 + (304.89 * (DM48)) + (90.79 *(Crescimento!#REF!-Crescimento!#REF!)) - (3.13 * (Crescimento!#REF!-Crescimento!#REF!)^2)</f>
        <v>#REF!</v>
      </c>
      <c r="DP48" s="16" t="e">
        <f>(DQ47+(Crescimento!#REF!-(DQ47*0.64))/0.8)/1000</f>
        <v>#REF!</v>
      </c>
      <c r="DQ48" s="17" t="e">
        <f>-53.07 + (304.89 * (DP48)) + (90.79 *(Crescimento!#REF!-Crescimento!#REF!)) - (3.13 * (Crescimento!#REF!-Crescimento!#REF!)^2)</f>
        <v>#REF!</v>
      </c>
      <c r="DS48" s="16" t="e">
        <f>((DT47+(Crescimento!#REF!-(DT47*0.64))/0.8)/1000)-Crescimento!#REF!</f>
        <v>#REF!</v>
      </c>
      <c r="DT48" s="17" t="e">
        <f>-53.07 + (304.89 * (DS48)) + (90.79 *(Crescimento!#REF!-Crescimento!#REF!)) - (3.13 * (Crescimento!#REF!-Crescimento!#REF!)^2)</f>
        <v>#REF!</v>
      </c>
      <c r="DV48" s="16" t="e">
        <f>((DW47+(Crescimento!#REF!-(DW47*0.64))/0.8)/1000)-Crescimento!#REF!</f>
        <v>#REF!</v>
      </c>
      <c r="DW48" s="17" t="e">
        <f>-53.07 + (304.89 * (DV48)) + (90.79 *(Crescimento!#REF!-Crescimento!#REF!)) - (3.13 * (Crescimento!#REF!-Crescimento!#REF!)^2)</f>
        <v>#REF!</v>
      </c>
      <c r="DY48" s="16" t="e">
        <f>((DZ47+(Crescimento!#REF!-(DZ47*0.64))/0.8)/1000)-Crescimento!#REF!</f>
        <v>#REF!</v>
      </c>
      <c r="DZ48" s="17" t="e">
        <f>-53.07 + (304.89 * (DY48)) + (90.79 *(Crescimento!#REF!-Crescimento!#REF!)) - (3.13 * (Crescimento!#REF!-Crescimento!#REF!)^2)</f>
        <v>#REF!</v>
      </c>
      <c r="EB48" s="16" t="e">
        <f>((EC47+(Crescimento!#REF!-(EC47*0.64))/0.8)/1000)-Crescimento!#REF!</f>
        <v>#REF!</v>
      </c>
      <c r="EC48" s="17" t="e">
        <f>-53.07 + (304.89 * (EB48)) + (90.79 *(Crescimento!#REF!-Crescimento!#REF!)) - (3.13 * (Crescimento!#REF!-Crescimento!#REF!)^2)</f>
        <v>#REF!</v>
      </c>
      <c r="EE48" s="16" t="e">
        <f>((EF47+(Crescimento!#REF!-(EF47*0.64))/0.8)/1000)-Crescimento!#REF!</f>
        <v>#REF!</v>
      </c>
      <c r="EF48" s="17" t="e">
        <f>-53.07 + (304.89 * (EE48)) + (90.79 *(Crescimento!#REF!-Crescimento!#REF!)) - (3.13 * (Crescimento!#REF!-Crescimento!#REF!)^2)</f>
        <v>#REF!</v>
      </c>
      <c r="EH48" s="16" t="e">
        <f>((EI47+(Crescimento!#REF!-(EI47*0.64))/0.8)/1000)-Crescimento!#REF!</f>
        <v>#REF!</v>
      </c>
      <c r="EI48" s="17" t="e">
        <f>-53.07 + (304.89 * (EH48)) + (90.79 *(Crescimento!#REF!-Crescimento!#REF!)) - (3.13 * (Crescimento!#REF!-Crescimento!#REF!)^2)</f>
        <v>#REF!</v>
      </c>
      <c r="EK48" s="16" t="e">
        <f>((EL47+(Crescimento!#REF!-(EL47*0.64))/0.8)/1000)-Crescimento!#REF!</f>
        <v>#REF!</v>
      </c>
      <c r="EL48" s="17" t="e">
        <f>-53.07 + (304.89 * (EK48)) + (90.79 *(Crescimento!#REF!-Crescimento!#REF!)) - (3.13 * (Crescimento!#REF!-Crescimento!#REF!)^2)</f>
        <v>#REF!</v>
      </c>
      <c r="EN48" s="16" t="e">
        <f>((EO47+(Crescimento!#REF!-(EO47*0.64))/0.8)/1000)-Crescimento!#REF!</f>
        <v>#REF!</v>
      </c>
      <c r="EO48" s="17" t="e">
        <f>-53.07 + (304.89 * (EN48)) + (90.79 *(Crescimento!#REF!-Crescimento!#REF!)) - (3.13 * (Crescimento!#REF!-Crescimento!#REF!)^2)</f>
        <v>#REF!</v>
      </c>
      <c r="EQ48" s="16" t="e">
        <f>((ER47+(Crescimento!#REF!-(ER47*0.64))/0.8)/1000)-Crescimento!#REF!</f>
        <v>#REF!</v>
      </c>
      <c r="ER48" s="17" t="e">
        <f>-53.07 + (304.89 * (EQ48)) + (90.79 *(Crescimento!#REF!-Crescimento!#REF!)) - (3.13 * (Crescimento!#REF!-Crescimento!#REF!)^2)</f>
        <v>#REF!</v>
      </c>
      <c r="ET48" s="16" t="e">
        <f>((EU47+(Crescimento!#REF!-(EU47*0.64))/0.8)/1000)-Crescimento!#REF!</f>
        <v>#REF!</v>
      </c>
      <c r="EU48" s="17" t="e">
        <f>-53.07 + (304.89 * (ET48)) + (90.79 *(Crescimento!#REF!-Crescimento!#REF!)) - (3.13 * (Crescimento!#REF!-Crescimento!#REF!)^2)</f>
        <v>#REF!</v>
      </c>
      <c r="EW48" s="16" t="e">
        <f>((EX47+('Vacas e Bezerros'!#REF!-(EX47*0.64))/0.8)/1000)-'Vacas e Bezerros'!#REF!</f>
        <v>#REF!</v>
      </c>
      <c r="EX48" s="17" t="e">
        <f>-53.07 + (304.89 * (EW48)) + (90.79 *('Vacas e Bezerros'!#REF!-'Vacas e Bezerros'!#REF!)) - (3.13 * ('Vacas e Bezerros'!#REF!-'Vacas e Bezerros'!#REF!)^2)</f>
        <v>#REF!</v>
      </c>
      <c r="EZ48" s="16" t="e">
        <f>((FA47+('Vacas e Bezerros'!#REF!-(FA47*0.64))/0.8)/1000)-'Vacas e Bezerros'!#REF!</f>
        <v>#REF!</v>
      </c>
      <c r="FA48" s="17" t="e">
        <f>-53.07 + (304.89 * (EZ48)) + (90.79 *('Vacas e Bezerros'!#REF!-'Vacas e Bezerros'!#REF!)) - (3.13 * ('Vacas e Bezerros'!#REF!-'Vacas e Bezerros'!#REF!)^2)</f>
        <v>#REF!</v>
      </c>
      <c r="FC48" s="16" t="e">
        <f>((FD47+('Vacas e Bezerros'!#REF!-(FD47*0.64))/0.8)/1000)-'Vacas e Bezerros'!#REF!</f>
        <v>#REF!</v>
      </c>
      <c r="FD48" s="17" t="e">
        <f>-53.07 + (304.89 * (FC48)) + (90.79 *('Vacas e Bezerros'!#REF!-'Vacas e Bezerros'!#REF!)) - (3.13 * ('Vacas e Bezerros'!#REF!-'Vacas e Bezerros'!#REF!)^2)</f>
        <v>#REF!</v>
      </c>
      <c r="FF48" s="16" t="e">
        <f>((FG47+('Vacas e Bezerros'!#REF!-(FG47*0.64))/0.8)/1000)-'Vacas e Bezerros'!#REF!</f>
        <v>#REF!</v>
      </c>
      <c r="FG48" s="17" t="e">
        <f>-53.07 + (304.89 * (FF48)) + (90.79 *('Vacas e Bezerros'!#REF!-'Vacas e Bezerros'!#REF!)) - (3.13 * ('Vacas e Bezerros'!#REF!-'Vacas e Bezerros'!#REF!)^2)</f>
        <v>#REF!</v>
      </c>
      <c r="FI48" s="16" t="e">
        <f>((FJ47+('Vacas e Bezerros'!#REF!-(FJ47*0.64))/0.8)/1000)-'Vacas e Bezerros'!#REF!</f>
        <v>#REF!</v>
      </c>
      <c r="FJ48" s="17" t="e">
        <f>-53.07 + (304.89 * (FI48)) + (90.79 *('Vacas e Bezerros'!#REF!-'Vacas e Bezerros'!#REF!)) - (3.13 * ('Vacas e Bezerros'!#REF!-'Vacas e Bezerros'!#REF!)^2)</f>
        <v>#REF!</v>
      </c>
      <c r="FL48" s="16" t="e">
        <f>((FM47+('Vacas e Bezerros'!#REF!-(FM47*0.64))/0.8)/1000)-'Vacas e Bezerros'!#REF!</f>
        <v>#REF!</v>
      </c>
      <c r="FM48" s="17" t="e">
        <f>-53.07 + (304.89 * (FL48)) + (90.79 *('Vacas e Bezerros'!#REF!-'Vacas e Bezerros'!#REF!)) - (3.13 * ('Vacas e Bezerros'!#REF!-'Vacas e Bezerros'!#REF!)^2)</f>
        <v>#REF!</v>
      </c>
      <c r="FO48" s="16" t="e">
        <f>((FP47+('Vacas e Bezerros'!#REF!-(FP47*0.64))/0.8)/1000)-'Vacas e Bezerros'!#REF!</f>
        <v>#REF!</v>
      </c>
      <c r="FP48" s="17" t="e">
        <f>-53.07 + (304.89 * (FO48)) + (90.79 *('Vacas e Bezerros'!#REF!-'Vacas e Bezerros'!#REF!)) - (3.13 * ('Vacas e Bezerros'!#REF!-'Vacas e Bezerros'!#REF!)^2)</f>
        <v>#REF!</v>
      </c>
      <c r="FR48" s="16" t="e">
        <f>((FS47+('Vacas e Bezerros'!#REF!-(FS47*0.64))/0.8)/1000)-'Vacas e Bezerros'!#REF!</f>
        <v>#REF!</v>
      </c>
      <c r="FS48" s="17" t="e">
        <f>-53.07 + (304.89 * (FR48)) + (90.79 *('Vacas e Bezerros'!#REF!-'Vacas e Bezerros'!#REF!)) - (3.13 * ('Vacas e Bezerros'!#REF!-'Vacas e Bezerros'!#REF!)^2)</f>
        <v>#REF!</v>
      </c>
      <c r="FU48" s="16" t="e">
        <f>((FV47+('Vacas e Bezerros'!#REF!-(FV47*0.64))/0.8)/1000)-'Vacas e Bezerros'!#REF!</f>
        <v>#REF!</v>
      </c>
      <c r="FV48" s="17" t="e">
        <f>-53.07 + (304.89 * (FU48)) + (90.79 *('Vacas e Bezerros'!#REF!-'Vacas e Bezerros'!#REF!)) - (3.13 * ('Vacas e Bezerros'!#REF!-'Vacas e Bezerros'!#REF!)^2)</f>
        <v>#REF!</v>
      </c>
      <c r="FX48" s="16" t="e">
        <f>((FY47+('Vacas e Bezerros'!#REF!-(FY47*0.64))/0.8)/1000)-'Vacas e Bezerros'!#REF!</f>
        <v>#REF!</v>
      </c>
      <c r="FY48" s="17" t="e">
        <f>-53.07 + (304.89 * (FX48)) + (90.79 *('Vacas e Bezerros'!#REF!-'Vacas e Bezerros'!#REF!)) - (3.13 * ('Vacas e Bezerros'!#REF!-'Vacas e Bezerros'!#REF!)^2)</f>
        <v>#REF!</v>
      </c>
      <c r="GA48" s="16" t="e">
        <f>((GB47+('Vacas e Bezerros'!#REF!-(GB47*0.64))/0.8)/1000)-'Vacas e Bezerros'!#REF!</f>
        <v>#REF!</v>
      </c>
      <c r="GB48" s="17" t="e">
        <f>-53.07 + (304.89 * (GA48)) + (90.79 *('Vacas e Bezerros'!#REF!-'Vacas e Bezerros'!#REF!)) - (3.13 * ('Vacas e Bezerros'!#REF!-'Vacas e Bezerros'!#REF!)^2)</f>
        <v>#REF!</v>
      </c>
      <c r="GD48" s="16" t="e">
        <f>((GE47+('Vacas e Bezerros'!#REF!-(GE47*0.64))/0.8)/1000)-'Vacas e Bezerros'!#REF!</f>
        <v>#REF!</v>
      </c>
      <c r="GE48" s="17" t="e">
        <f>-53.07 + (304.89 * (GD48)) + (90.79 *('Vacas e Bezerros'!#REF!-'Vacas e Bezerros'!#REF!)) - (3.13 * ('Vacas e Bezerros'!#REF!-'Vacas e Bezerros'!#REF!)^2)</f>
        <v>#REF!</v>
      </c>
      <c r="GG48" s="16" t="e">
        <f>((GH47+('Vacas e Bezerros'!#REF!-(GH47*0.64))/0.8)/1000)-'Vacas e Bezerros'!#REF!</f>
        <v>#REF!</v>
      </c>
      <c r="GH48" s="17" t="e">
        <f>-53.07 + (304.89 * (GG48)) + (90.79 *('Vacas e Bezerros'!#REF!-'Vacas e Bezerros'!#REF!)) - (3.13 * ('Vacas e Bezerros'!#REF!-'Vacas e Bezerros'!#REF!)^2)</f>
        <v>#REF!</v>
      </c>
      <c r="GJ48" s="16" t="e">
        <f>((GK47+('Vacas e Bezerros'!#REF!-(GK47*0.64))/0.8)/1000)-'Vacas e Bezerros'!#REF!</f>
        <v>#REF!</v>
      </c>
      <c r="GK48" s="17" t="e">
        <f>-53.07 + (304.89 * (GJ48)) + (90.79 *('Vacas e Bezerros'!#REF!-'Vacas e Bezerros'!#REF!)) - (3.13 * ('Vacas e Bezerros'!#REF!-'Vacas e Bezerros'!#REF!)^2)</f>
        <v>#REF!</v>
      </c>
      <c r="GM48" s="16" t="e">
        <f>((GN47+('Vacas e Bezerros'!#REF!-(GN47*0.64))/0.8)/1000)-'Vacas e Bezerros'!#REF!</f>
        <v>#REF!</v>
      </c>
      <c r="GN48" s="17" t="e">
        <f>-53.07 + (304.89 * (GM48)) + (90.79 *('Vacas e Bezerros'!#REF!-'Vacas e Bezerros'!#REF!)) - (3.13 * ('Vacas e Bezerros'!#REF!-'Vacas e Bezerros'!#REF!)^2)</f>
        <v>#REF!</v>
      </c>
    </row>
    <row r="49" spans="3:196" x14ac:dyDescent="0.25">
      <c r="C49" s="16">
        <f>(D48+('Vacas e Bezerros'!$AA$28-(D48*0.64))/0.8)/1000</f>
        <v>0.35719668016155687</v>
      </c>
      <c r="D49" s="17">
        <f>-53.07 + (304.89 * (C49-'Vacas e Bezerros'!$C$206)) + (90.79 *('Vacas e Bezerros'!$AA$22)) - (3.13 *('Vacas e Bezerros'!$AA$22)^2)</f>
        <v>165.01876457544017</v>
      </c>
      <c r="F49" s="16" t="e">
        <f>(G48+(Crescimento!#REF!-(G48*0.64))/0.8)/1000</f>
        <v>#REF!</v>
      </c>
      <c r="G49" s="17" t="e">
        <f>-53.07 + (304.89 * (F49)) + (90.79 *Crescimento!#REF!) - (3.13 * Crescimento!#REF!*Crescimento!#REF!)</f>
        <v>#REF!</v>
      </c>
      <c r="H49" s="1"/>
      <c r="I49" s="16" t="e">
        <f>(J48+(Crescimento!#REF!-(J48*0.64))/0.8)/1000</f>
        <v>#REF!</v>
      </c>
      <c r="J49" s="17" t="e">
        <f>-53.07 + (304.89 * (I49)) + (90.79 *Crescimento!#REF!) - (3.13 * Crescimento!#REF!*Crescimento!#REF!)</f>
        <v>#REF!</v>
      </c>
      <c r="L49" s="16" t="e">
        <f>(M48+(Crescimento!#REF!-(M48*0.64))/0.8)/1000</f>
        <v>#REF!</v>
      </c>
      <c r="M49" s="17" t="e">
        <f>-53.07 + (304.89 * (L49)) + (90.79 *Crescimento!#REF!) - (3.13 * Crescimento!#REF!*Crescimento!#REF!)</f>
        <v>#REF!</v>
      </c>
      <c r="O49" s="16" t="e">
        <f>(P48+(Crescimento!#REF!-(P48*0.64))/0.8)/1000</f>
        <v>#REF!</v>
      </c>
      <c r="P49" s="17" t="e">
        <f>-53.07 + (304.89 * (O49)) + (90.79 *Crescimento!#REF!) - (3.13 * Crescimento!#REF!*Crescimento!#REF!)</f>
        <v>#REF!</v>
      </c>
      <c r="R49" s="16" t="e">
        <f>(S48+(Crescimento!#REF!-(S48*0.64))/0.8)/1000</f>
        <v>#REF!</v>
      </c>
      <c r="S49" s="17" t="e">
        <f>-53.07 + (304.89 * (R49)) + (90.79 *Crescimento!#REF!) - (3.13 * Crescimento!#REF!*Crescimento!#REF!)</f>
        <v>#REF!</v>
      </c>
      <c r="U49" s="16" t="e">
        <f>(V48+(Crescimento!#REF!-(V48*0.64))/0.8)/1000</f>
        <v>#REF!</v>
      </c>
      <c r="V49" s="17" t="e">
        <f>-53.07 + (304.89 * (U49)) + (90.79 *Crescimento!#REF!) - (3.13 * Crescimento!#REF!*Crescimento!#REF!)</f>
        <v>#REF!</v>
      </c>
      <c r="X49" s="16" t="e">
        <f>(Y48+(Crescimento!#REF!-(Y48*0.64))/0.8)/1000</f>
        <v>#REF!</v>
      </c>
      <c r="Y49" s="17" t="e">
        <f>-53.07 + (304.89 * (X49)) + (90.79 *Crescimento!#REF!) - (3.13 * Crescimento!#REF!*Crescimento!#REF!)</f>
        <v>#REF!</v>
      </c>
      <c r="Z49" s="6"/>
      <c r="AA49" s="16" t="e">
        <f>(AB48+(Crescimento!#REF!-(AB48*0.64))/0.8)/1000</f>
        <v>#REF!</v>
      </c>
      <c r="AB49" s="17" t="e">
        <f>-53.07 + (304.89 * (AA49)) + (90.79 *Crescimento!#REF!) - (3.13 * Crescimento!#REF!*Crescimento!#REF!)</f>
        <v>#REF!</v>
      </c>
      <c r="AC49" s="6"/>
      <c r="AD49" s="16" t="e">
        <f>(AE48+(Crescimento!#REF!-(AE48*0.64))/0.8)/1000</f>
        <v>#REF!</v>
      </c>
      <c r="AE49" s="17" t="e">
        <f>-53.07 + (304.89 * (AD49)) + (90.79 *Crescimento!#REF!) - (3.13 * Crescimento!#REF!*Crescimento!#REF!)</f>
        <v>#REF!</v>
      </c>
      <c r="AF49" s="17"/>
      <c r="AG49" s="16" t="e">
        <f>(AH48+(Crescimento!#REF!-(AH48*0.64))/0.8)/1000</f>
        <v>#REF!</v>
      </c>
      <c r="AH49" s="17" t="e">
        <f>-53.07 + (304.89 * (AG49)) + (90.79 *Crescimento!#REF!) - (3.13 * Crescimento!#REF!*Crescimento!#REF!)</f>
        <v>#REF!</v>
      </c>
      <c r="AJ49" s="16" t="e">
        <f>(AK48+(Crescimento!#REF!-(AK48*0.64))/0.8)/1000</f>
        <v>#REF!</v>
      </c>
      <c r="AK49" s="17" t="e">
        <f>-53.07 + (304.89 * (AJ49)) + (90.79 *Crescimento!#REF!) - (3.13 * Crescimento!#REF!*Crescimento!#REF!)</f>
        <v>#REF!</v>
      </c>
      <c r="AM49" s="16" t="e">
        <f>(AN48+(Crescimento!#REF!-(AN48*0.64))/0.8)/1000</f>
        <v>#REF!</v>
      </c>
      <c r="AN49" s="17" t="e">
        <f>-53.07 + (304.89 * (AM49)) + (90.79 *Crescimento!#REF!) - (3.13 * Crescimento!#REF!*Crescimento!#REF!)</f>
        <v>#REF!</v>
      </c>
      <c r="AP49" s="16" t="e">
        <f>(AQ48+(Crescimento!#REF!-(AQ48*0.64))/0.8)/1000</f>
        <v>#REF!</v>
      </c>
      <c r="AQ49" s="17" t="e">
        <f>-53.07 + (304.89 * (AP49)) + (90.79 *Crescimento!#REF!) - (3.13 * Crescimento!#REF!*Crescimento!#REF!)</f>
        <v>#REF!</v>
      </c>
      <c r="AS49" s="16" t="e">
        <f>(AT48+(Crescimento!#REF!-(AT48*0.64))/0.8)/1000</f>
        <v>#REF!</v>
      </c>
      <c r="AT49" s="17" t="e">
        <f>-53.07 + (304.89 * (AS49)) + (90.79 *Crescimento!#REF!) - (3.13 * Crescimento!#REF!*Crescimento!#REF!)</f>
        <v>#REF!</v>
      </c>
      <c r="AV49" s="16" t="e">
        <f>(AW48+(Crescimento!#REF!-(AW48*0.64))/0.8)/1000</f>
        <v>#REF!</v>
      </c>
      <c r="AW49" s="17" t="e">
        <f>-53.07 + (304.89 * (AV49)) + (90.79 *Crescimento!#REF!) - (3.13 * Crescimento!#REF!*Crescimento!#REF!)</f>
        <v>#REF!</v>
      </c>
      <c r="AY49" s="21" t="e">
        <f>((AZ48+(Crescimento!#REF!-(AZ48*0.64))/0.8)/1000)-Crescimento!#REF!</f>
        <v>#REF!</v>
      </c>
      <c r="AZ49" s="22" t="e">
        <f>-53.07 + (304.89 * (AY49)) + (90.79 *(Crescimento!#REF!-Crescimento!#REF!)) - (3.13 * (Crescimento!#REF!-Crescimento!#REF!)^2)</f>
        <v>#REF!</v>
      </c>
      <c r="BA49" s="23"/>
      <c r="BB49" s="21" t="e">
        <f>((BC48+(Crescimento!#REF!-(BC48*0.64))/0.8)/1000)-Crescimento!#REF!</f>
        <v>#REF!</v>
      </c>
      <c r="BC49" s="22" t="e">
        <f>-53.07 + (304.89 * (BB49)) + (90.79 *(Crescimento!#REF!-Crescimento!#REF!)) - (3.13 * (Crescimento!#REF!-Crescimento!#REF!)^2)</f>
        <v>#REF!</v>
      </c>
      <c r="BD49" s="23"/>
      <c r="BE49" s="21" t="e">
        <f>((BF48+(Crescimento!#REF!-(BF48*0.64))/0.8)/1000)-Crescimento!#REF!</f>
        <v>#REF!</v>
      </c>
      <c r="BF49" s="22" t="e">
        <f>-53.07 + (304.89 * (BE49)) + (90.79 *(Crescimento!#REF!-Crescimento!#REF!)) - (3.13 * (Crescimento!#REF!-Crescimento!#REF!)^2)</f>
        <v>#REF!</v>
      </c>
      <c r="BG49" s="23"/>
      <c r="BH49" s="21" t="e">
        <f>((BI48+(Crescimento!#REF!-(BI48*0.64))/0.8)/1000)-Crescimento!#REF!</f>
        <v>#REF!</v>
      </c>
      <c r="BI49" s="22" t="e">
        <f>-53.07 + (304.89 * (BH49)) + (90.79 *(Crescimento!#REF!-Crescimento!#REF!)) - (3.13 * (Crescimento!#REF!-Crescimento!#REF!)^2)</f>
        <v>#REF!</v>
      </c>
      <c r="BJ49" s="23"/>
      <c r="BK49" s="21" t="e">
        <f>((BL48+(Crescimento!#REF!-(BL48*0.64))/0.8)/1000)-Crescimento!#REF!</f>
        <v>#REF!</v>
      </c>
      <c r="BL49" s="22" t="e">
        <f>-53.07 + (304.89 * (BK49)) + (90.79 *(Crescimento!#REF!-Crescimento!#REF!)) - (3.13 * (Crescimento!#REF!-Crescimento!#REF!)^2)</f>
        <v>#REF!</v>
      </c>
      <c r="BM49" s="23"/>
      <c r="BN49" s="21" t="e">
        <f>((BO48+(Crescimento!#REF!-(BO48*0.64))/0.8)/1000)-Crescimento!#REF!</f>
        <v>#REF!</v>
      </c>
      <c r="BO49" s="22" t="e">
        <f>-53.07 + (304.89 * (BN49)) + (90.79 *(Crescimento!#REF!-Crescimento!#REF!)) - (3.13 * (Crescimento!#REF!-Crescimento!#REF!)^2)</f>
        <v>#REF!</v>
      </c>
      <c r="BP49" s="23"/>
      <c r="BQ49" s="21" t="e">
        <f>((BR48+(Crescimento!#REF!-(BR48*0.64))/0.8)/1000)-Crescimento!#REF!</f>
        <v>#REF!</v>
      </c>
      <c r="BR49" s="22" t="e">
        <f>-53.07 + (304.89 * (BQ49)) + (90.79 *(Crescimento!#REF!-Crescimento!#REF!)) - (3.13 * (Crescimento!#REF!-Crescimento!#REF!)^2)</f>
        <v>#REF!</v>
      </c>
      <c r="BS49" s="23"/>
      <c r="BT49" s="21" t="e">
        <f>((BU48+(Crescimento!#REF!-(BU48*0.64))/0.8)/1000)-Crescimento!#REF!</f>
        <v>#REF!</v>
      </c>
      <c r="BU49" s="22" t="e">
        <f>-53.07 + (304.89 * (BT49)) + (90.79 *(Crescimento!#REF!-Crescimento!#REF!)) - (3.13 * (Crescimento!#REF!-Crescimento!#REF!)^2)</f>
        <v>#REF!</v>
      </c>
      <c r="BV49" s="23"/>
      <c r="BW49" s="21" t="e">
        <f>((BX48+(Crescimento!#REF!-(BX48*0.64))/0.8)/1000)-Crescimento!#REF!</f>
        <v>#REF!</v>
      </c>
      <c r="BX49" s="22" t="e">
        <f>-53.07 + (304.89 * (BW49)) + (90.79 *(Crescimento!#REF!-Crescimento!#REF!)) - (3.13 * (Crescimento!#REF!-Crescimento!#REF!)^2)</f>
        <v>#REF!</v>
      </c>
      <c r="BY49" s="23"/>
      <c r="BZ49" s="21" t="e">
        <f>((CA48+(Crescimento!#REF!-(CA48*0.64))/0.8)/1000)-Crescimento!#REF!</f>
        <v>#REF!</v>
      </c>
      <c r="CA49" s="22" t="e">
        <f>-53.07 + (304.89 * (BZ49)) + (90.79 *(Crescimento!#REF!-Crescimento!#REF!)) - (3.13 * (Crescimento!#REF!-Crescimento!#REF!)^2)</f>
        <v>#REF!</v>
      </c>
      <c r="CB49" s="23"/>
      <c r="CC49" s="21" t="e">
        <f>((CD48+(Crescimento!#REF!-(CD48*0.64))/0.8)/1000)-Crescimento!#REF!</f>
        <v>#REF!</v>
      </c>
      <c r="CD49" s="22" t="e">
        <f>-53.07 + (304.89 * (CC49)) + (90.79 *(Crescimento!#REF!-Crescimento!#REF!)) - (3.13 * (Crescimento!#REF!-Crescimento!#REF!)^2)</f>
        <v>#REF!</v>
      </c>
      <c r="CE49" s="23"/>
      <c r="CF49" s="21" t="e">
        <f>((CG48+(Crescimento!#REF!-(CG48*0.64))/0.8)/1000)-Crescimento!#REF!</f>
        <v>#REF!</v>
      </c>
      <c r="CG49" s="22" t="e">
        <f>-53.07 + (304.89 * (CF49)) + (90.79 *(Crescimento!#REF!-Crescimento!#REF!)) - (3.13 * (Crescimento!#REF!-Crescimento!#REF!)^2)</f>
        <v>#REF!</v>
      </c>
      <c r="CH49" s="23"/>
      <c r="CI49" s="21" t="e">
        <f>((CJ48+(Crescimento!#REF!-(CJ48*0.64))/0.8)/1000)-Crescimento!#REF!</f>
        <v>#REF!</v>
      </c>
      <c r="CJ49" s="22" t="e">
        <f>-53.07 + (304.89 * (CI49)) + (90.79 *(Crescimento!#REF!-Crescimento!#REF!)) - (3.13 * (Crescimento!#REF!-Crescimento!#REF!)^2)</f>
        <v>#REF!</v>
      </c>
      <c r="CK49" s="23"/>
      <c r="CL49" s="21" t="e">
        <f>((CM48+(Crescimento!#REF!-(CM48*0.64))/0.8)/1000)-Crescimento!#REF!</f>
        <v>#REF!</v>
      </c>
      <c r="CM49" s="22" t="e">
        <f>-53.07 + (304.89 * (CL49)) + (90.79 *(Crescimento!#REF!-Crescimento!#REF!)) - (3.13 * (Crescimento!#REF!-Crescimento!#REF!)^2)</f>
        <v>#REF!</v>
      </c>
      <c r="CN49" s="23"/>
      <c r="CO49" s="21" t="e">
        <f>((CP48+(Crescimento!#REF!-(CP48*0.64))/0.8)/1000)-Crescimento!#REF!</f>
        <v>#REF!</v>
      </c>
      <c r="CP49" s="22" t="e">
        <f>-53.07 + (304.89 * (CO49)) + (90.79 *(Crescimento!#REF!-Crescimento!#REF!)) - (3.13 * (Crescimento!#REF!-Crescimento!#REF!)^2)</f>
        <v>#REF!</v>
      </c>
      <c r="CQ49" s="23"/>
      <c r="CR49" s="21" t="e">
        <f>((CS48+(Crescimento!#REF!-(CS48*0.64))/0.8)/1000)-Crescimento!#REF!</f>
        <v>#REF!</v>
      </c>
      <c r="CS49" s="22" t="e">
        <f>-53.07 + (304.89 * (CR49)) + (90.79 *(Crescimento!#REF!-Crescimento!#REF!)) - (3.13 * (Crescimento!#REF!-Crescimento!#REF!)^2)</f>
        <v>#REF!</v>
      </c>
      <c r="CX49" s="16" t="e">
        <f>((CY48+(Crescimento!#REF!-(CY48*0.64))/0.8)/1000)-Crescimento!#REF!</f>
        <v>#REF!</v>
      </c>
      <c r="CY49" s="17" t="e">
        <f>-53.07 + (304.89 * (CX49)) + (90.79 *(Crescimento!#REF!-Crescimento!#REF!)) - (3.13 * (Crescimento!#REF!-Crescimento!#REF!)^2)</f>
        <v>#REF!</v>
      </c>
      <c r="DA49" s="16" t="e">
        <f>((DB48+(Crescimento!#REF!-(DB48*0.64))/0.8)/1000)-Crescimento!#REF!</f>
        <v>#REF!</v>
      </c>
      <c r="DB49" s="17" t="e">
        <f>-53.07 + (304.89 * (DA49)) + (90.79 *(Crescimento!#REF!-Crescimento!#REF!)) - (3.13 * (Crescimento!#REF!-Crescimento!#REF!)^2)</f>
        <v>#REF!</v>
      </c>
      <c r="DD49" s="16" t="e">
        <f>(DE48+(Crescimento!#REF!-(DE48*0.64))/0.8)/1000</f>
        <v>#REF!</v>
      </c>
      <c r="DE49" s="17" t="e">
        <f>-53.07 + (304.89 * (DD49)) + (90.79 *Crescimento!#REF!) - (3.13 * Crescimento!#REF!*Crescimento!#REF!)</f>
        <v>#REF!</v>
      </c>
      <c r="DG49" s="16" t="e">
        <f>((DH48+(Crescimento!#REF!-(DH48*0.64))/0.8)/1000)-Crescimento!#REF!</f>
        <v>#REF!</v>
      </c>
      <c r="DH49" s="17" t="e">
        <f>-53.07 + (304.89 * (DG49)) + (90.79 *(Crescimento!#REF!-Crescimento!#REF!)) - (3.13 * (Crescimento!#REF!-Crescimento!#REF!)^2)</f>
        <v>#REF!</v>
      </c>
      <c r="DJ49" s="16" t="e">
        <f>((DK48+(Crescimento!#REF!-(DK48*0.64))/0.8)/1000)-Crescimento!#REF!</f>
        <v>#REF!</v>
      </c>
      <c r="DK49" s="17" t="e">
        <f>-53.07 + (304.89 * (DJ49)) + (90.79 *(Crescimento!#REF!-Crescimento!#REF!)) - (3.13 * (Crescimento!#REF!-Crescimento!#REF!)^2)</f>
        <v>#REF!</v>
      </c>
      <c r="DM49" s="16" t="e">
        <f>((DN48+(Crescimento!#REF!-(DN48*0.64))/0.8)/1000)-Crescimento!#REF!</f>
        <v>#REF!</v>
      </c>
      <c r="DN49" s="17" t="e">
        <f>-53.07 + (304.89 * (DM49)) + (90.79 *(Crescimento!#REF!-Crescimento!#REF!)) - (3.13 * (Crescimento!#REF!-Crescimento!#REF!)^2)</f>
        <v>#REF!</v>
      </c>
      <c r="DP49" s="16" t="e">
        <f>(DQ48+(Crescimento!#REF!-(DQ48*0.64))/0.8)/1000</f>
        <v>#REF!</v>
      </c>
      <c r="DQ49" s="17" t="e">
        <f>-53.07 + (304.89 * (DP49)) + (90.79 *(Crescimento!#REF!-Crescimento!#REF!)) - (3.13 * (Crescimento!#REF!-Crescimento!#REF!)^2)</f>
        <v>#REF!</v>
      </c>
      <c r="DS49" s="16" t="e">
        <f>((DT48+(Crescimento!#REF!-(DT48*0.64))/0.8)/1000)-Crescimento!#REF!</f>
        <v>#REF!</v>
      </c>
      <c r="DT49" s="17" t="e">
        <f>-53.07 + (304.89 * (DS49)) + (90.79 *(Crescimento!#REF!-Crescimento!#REF!)) - (3.13 * (Crescimento!#REF!-Crescimento!#REF!)^2)</f>
        <v>#REF!</v>
      </c>
      <c r="DV49" s="16" t="e">
        <f>((DW48+(Crescimento!#REF!-(DW48*0.64))/0.8)/1000)-Crescimento!#REF!</f>
        <v>#REF!</v>
      </c>
      <c r="DW49" s="17" t="e">
        <f>-53.07 + (304.89 * (DV49)) + (90.79 *(Crescimento!#REF!-Crescimento!#REF!)) - (3.13 * (Crescimento!#REF!-Crescimento!#REF!)^2)</f>
        <v>#REF!</v>
      </c>
      <c r="DY49" s="16" t="e">
        <f>((DZ48+(Crescimento!#REF!-(DZ48*0.64))/0.8)/1000)-Crescimento!#REF!</f>
        <v>#REF!</v>
      </c>
      <c r="DZ49" s="17" t="e">
        <f>-53.07 + (304.89 * (DY49)) + (90.79 *(Crescimento!#REF!-Crescimento!#REF!)) - (3.13 * (Crescimento!#REF!-Crescimento!#REF!)^2)</f>
        <v>#REF!</v>
      </c>
      <c r="EB49" s="16" t="e">
        <f>((EC48+(Crescimento!#REF!-(EC48*0.64))/0.8)/1000)-Crescimento!#REF!</f>
        <v>#REF!</v>
      </c>
      <c r="EC49" s="17" t="e">
        <f>-53.07 + (304.89 * (EB49)) + (90.79 *(Crescimento!#REF!-Crescimento!#REF!)) - (3.13 * (Crescimento!#REF!-Crescimento!#REF!)^2)</f>
        <v>#REF!</v>
      </c>
      <c r="EE49" s="16" t="e">
        <f>((EF48+(Crescimento!#REF!-(EF48*0.64))/0.8)/1000)-Crescimento!#REF!</f>
        <v>#REF!</v>
      </c>
      <c r="EF49" s="17" t="e">
        <f>-53.07 + (304.89 * (EE49)) + (90.79 *(Crescimento!#REF!-Crescimento!#REF!)) - (3.13 * (Crescimento!#REF!-Crescimento!#REF!)^2)</f>
        <v>#REF!</v>
      </c>
      <c r="EH49" s="16" t="e">
        <f>((EI48+(Crescimento!#REF!-(EI48*0.64))/0.8)/1000)-Crescimento!#REF!</f>
        <v>#REF!</v>
      </c>
      <c r="EI49" s="17" t="e">
        <f>-53.07 + (304.89 * (EH49)) + (90.79 *(Crescimento!#REF!-Crescimento!#REF!)) - (3.13 * (Crescimento!#REF!-Crescimento!#REF!)^2)</f>
        <v>#REF!</v>
      </c>
      <c r="EK49" s="16" t="e">
        <f>((EL48+(Crescimento!#REF!-(EL48*0.64))/0.8)/1000)-Crescimento!#REF!</f>
        <v>#REF!</v>
      </c>
      <c r="EL49" s="17" t="e">
        <f>-53.07 + (304.89 * (EK49)) + (90.79 *(Crescimento!#REF!-Crescimento!#REF!)) - (3.13 * (Crescimento!#REF!-Crescimento!#REF!)^2)</f>
        <v>#REF!</v>
      </c>
      <c r="EN49" s="16" t="e">
        <f>((EO48+(Crescimento!#REF!-(EO48*0.64))/0.8)/1000)-Crescimento!#REF!</f>
        <v>#REF!</v>
      </c>
      <c r="EO49" s="17" t="e">
        <f>-53.07 + (304.89 * (EN49)) + (90.79 *(Crescimento!#REF!-Crescimento!#REF!)) - (3.13 * (Crescimento!#REF!-Crescimento!#REF!)^2)</f>
        <v>#REF!</v>
      </c>
      <c r="EQ49" s="16" t="e">
        <f>((ER48+(Crescimento!#REF!-(ER48*0.64))/0.8)/1000)-Crescimento!#REF!</f>
        <v>#REF!</v>
      </c>
      <c r="ER49" s="17" t="e">
        <f>-53.07 + (304.89 * (EQ49)) + (90.79 *(Crescimento!#REF!-Crescimento!#REF!)) - (3.13 * (Crescimento!#REF!-Crescimento!#REF!)^2)</f>
        <v>#REF!</v>
      </c>
      <c r="ET49" s="16" t="e">
        <f>((EU48+(Crescimento!#REF!-(EU48*0.64))/0.8)/1000)-Crescimento!#REF!</f>
        <v>#REF!</v>
      </c>
      <c r="EU49" s="17" t="e">
        <f>-53.07 + (304.89 * (ET49)) + (90.79 *(Crescimento!#REF!-Crescimento!#REF!)) - (3.13 * (Crescimento!#REF!-Crescimento!#REF!)^2)</f>
        <v>#REF!</v>
      </c>
      <c r="EW49" s="16" t="e">
        <f>((EX48+('Vacas e Bezerros'!#REF!-(EX48*0.64))/0.8)/1000)-'Vacas e Bezerros'!#REF!</f>
        <v>#REF!</v>
      </c>
      <c r="EX49" s="17" t="e">
        <f>-53.07 + (304.89 * (EW49)) + (90.79 *('Vacas e Bezerros'!#REF!-'Vacas e Bezerros'!#REF!)) - (3.13 * ('Vacas e Bezerros'!#REF!-'Vacas e Bezerros'!#REF!)^2)</f>
        <v>#REF!</v>
      </c>
      <c r="EZ49" s="16" t="e">
        <f>((FA48+('Vacas e Bezerros'!#REF!-(FA48*0.64))/0.8)/1000)-'Vacas e Bezerros'!#REF!</f>
        <v>#REF!</v>
      </c>
      <c r="FA49" s="17" t="e">
        <f>-53.07 + (304.89 * (EZ49)) + (90.79 *('Vacas e Bezerros'!#REF!-'Vacas e Bezerros'!#REF!)) - (3.13 * ('Vacas e Bezerros'!#REF!-'Vacas e Bezerros'!#REF!)^2)</f>
        <v>#REF!</v>
      </c>
      <c r="FC49" s="16" t="e">
        <f>((FD48+('Vacas e Bezerros'!#REF!-(FD48*0.64))/0.8)/1000)-'Vacas e Bezerros'!#REF!</f>
        <v>#REF!</v>
      </c>
      <c r="FD49" s="17" t="e">
        <f>-53.07 + (304.89 * (FC49)) + (90.79 *('Vacas e Bezerros'!#REF!-'Vacas e Bezerros'!#REF!)) - (3.13 * ('Vacas e Bezerros'!#REF!-'Vacas e Bezerros'!#REF!)^2)</f>
        <v>#REF!</v>
      </c>
      <c r="FF49" s="16" t="e">
        <f>((FG48+('Vacas e Bezerros'!#REF!-(FG48*0.64))/0.8)/1000)-'Vacas e Bezerros'!#REF!</f>
        <v>#REF!</v>
      </c>
      <c r="FG49" s="17" t="e">
        <f>-53.07 + (304.89 * (FF49)) + (90.79 *('Vacas e Bezerros'!#REF!-'Vacas e Bezerros'!#REF!)) - (3.13 * ('Vacas e Bezerros'!#REF!-'Vacas e Bezerros'!#REF!)^2)</f>
        <v>#REF!</v>
      </c>
      <c r="FI49" s="16" t="e">
        <f>((FJ48+('Vacas e Bezerros'!#REF!-(FJ48*0.64))/0.8)/1000)-'Vacas e Bezerros'!#REF!</f>
        <v>#REF!</v>
      </c>
      <c r="FJ49" s="17" t="e">
        <f>-53.07 + (304.89 * (FI49)) + (90.79 *('Vacas e Bezerros'!#REF!-'Vacas e Bezerros'!#REF!)) - (3.13 * ('Vacas e Bezerros'!#REF!-'Vacas e Bezerros'!#REF!)^2)</f>
        <v>#REF!</v>
      </c>
      <c r="FL49" s="16" t="e">
        <f>((FM48+('Vacas e Bezerros'!#REF!-(FM48*0.64))/0.8)/1000)-'Vacas e Bezerros'!#REF!</f>
        <v>#REF!</v>
      </c>
      <c r="FM49" s="17" t="e">
        <f>-53.07 + (304.89 * (FL49)) + (90.79 *('Vacas e Bezerros'!#REF!-'Vacas e Bezerros'!#REF!)) - (3.13 * ('Vacas e Bezerros'!#REF!-'Vacas e Bezerros'!#REF!)^2)</f>
        <v>#REF!</v>
      </c>
      <c r="FO49" s="16" t="e">
        <f>((FP48+('Vacas e Bezerros'!#REF!-(FP48*0.64))/0.8)/1000)-'Vacas e Bezerros'!#REF!</f>
        <v>#REF!</v>
      </c>
      <c r="FP49" s="17" t="e">
        <f>-53.07 + (304.89 * (FO49)) + (90.79 *('Vacas e Bezerros'!#REF!-'Vacas e Bezerros'!#REF!)) - (3.13 * ('Vacas e Bezerros'!#REF!-'Vacas e Bezerros'!#REF!)^2)</f>
        <v>#REF!</v>
      </c>
      <c r="FR49" s="16" t="e">
        <f>((FS48+('Vacas e Bezerros'!#REF!-(FS48*0.64))/0.8)/1000)-'Vacas e Bezerros'!#REF!</f>
        <v>#REF!</v>
      </c>
      <c r="FS49" s="17" t="e">
        <f>-53.07 + (304.89 * (FR49)) + (90.79 *('Vacas e Bezerros'!#REF!-'Vacas e Bezerros'!#REF!)) - (3.13 * ('Vacas e Bezerros'!#REF!-'Vacas e Bezerros'!#REF!)^2)</f>
        <v>#REF!</v>
      </c>
      <c r="FU49" s="16" t="e">
        <f>((FV48+('Vacas e Bezerros'!#REF!-(FV48*0.64))/0.8)/1000)-'Vacas e Bezerros'!#REF!</f>
        <v>#REF!</v>
      </c>
      <c r="FV49" s="17" t="e">
        <f>-53.07 + (304.89 * (FU49)) + (90.79 *('Vacas e Bezerros'!#REF!-'Vacas e Bezerros'!#REF!)) - (3.13 * ('Vacas e Bezerros'!#REF!-'Vacas e Bezerros'!#REF!)^2)</f>
        <v>#REF!</v>
      </c>
      <c r="FX49" s="16" t="e">
        <f>((FY48+('Vacas e Bezerros'!#REF!-(FY48*0.64))/0.8)/1000)-'Vacas e Bezerros'!#REF!</f>
        <v>#REF!</v>
      </c>
      <c r="FY49" s="17" t="e">
        <f>-53.07 + (304.89 * (FX49)) + (90.79 *('Vacas e Bezerros'!#REF!-'Vacas e Bezerros'!#REF!)) - (3.13 * ('Vacas e Bezerros'!#REF!-'Vacas e Bezerros'!#REF!)^2)</f>
        <v>#REF!</v>
      </c>
      <c r="GA49" s="16" t="e">
        <f>((GB48+('Vacas e Bezerros'!#REF!-(GB48*0.64))/0.8)/1000)-'Vacas e Bezerros'!#REF!</f>
        <v>#REF!</v>
      </c>
      <c r="GB49" s="17" t="e">
        <f>-53.07 + (304.89 * (GA49)) + (90.79 *('Vacas e Bezerros'!#REF!-'Vacas e Bezerros'!#REF!)) - (3.13 * ('Vacas e Bezerros'!#REF!-'Vacas e Bezerros'!#REF!)^2)</f>
        <v>#REF!</v>
      </c>
      <c r="GD49" s="16" t="e">
        <f>((GE48+('Vacas e Bezerros'!#REF!-(GE48*0.64))/0.8)/1000)-'Vacas e Bezerros'!#REF!</f>
        <v>#REF!</v>
      </c>
      <c r="GE49" s="17" t="e">
        <f>-53.07 + (304.89 * (GD49)) + (90.79 *('Vacas e Bezerros'!#REF!-'Vacas e Bezerros'!#REF!)) - (3.13 * ('Vacas e Bezerros'!#REF!-'Vacas e Bezerros'!#REF!)^2)</f>
        <v>#REF!</v>
      </c>
      <c r="GG49" s="16" t="e">
        <f>((GH48+('Vacas e Bezerros'!#REF!-(GH48*0.64))/0.8)/1000)-'Vacas e Bezerros'!#REF!</f>
        <v>#REF!</v>
      </c>
      <c r="GH49" s="17" t="e">
        <f>-53.07 + (304.89 * (GG49)) + (90.79 *('Vacas e Bezerros'!#REF!-'Vacas e Bezerros'!#REF!)) - (3.13 * ('Vacas e Bezerros'!#REF!-'Vacas e Bezerros'!#REF!)^2)</f>
        <v>#REF!</v>
      </c>
      <c r="GJ49" s="16" t="e">
        <f>((GK48+('Vacas e Bezerros'!#REF!-(GK48*0.64))/0.8)/1000)-'Vacas e Bezerros'!#REF!</f>
        <v>#REF!</v>
      </c>
      <c r="GK49" s="17" t="e">
        <f>-53.07 + (304.89 * (GJ49)) + (90.79 *('Vacas e Bezerros'!#REF!-'Vacas e Bezerros'!#REF!)) - (3.13 * ('Vacas e Bezerros'!#REF!-'Vacas e Bezerros'!#REF!)^2)</f>
        <v>#REF!</v>
      </c>
      <c r="GM49" s="16" t="e">
        <f>((GN48+('Vacas e Bezerros'!#REF!-(GN48*0.64))/0.8)/1000)-'Vacas e Bezerros'!#REF!</f>
        <v>#REF!</v>
      </c>
      <c r="GN49" s="17" t="e">
        <f>-53.07 + (304.89 * (GM49)) + (90.79 *('Vacas e Bezerros'!#REF!-'Vacas e Bezerros'!#REF!)) - (3.13 * ('Vacas e Bezerros'!#REF!-'Vacas e Bezerros'!#REF!)^2)</f>
        <v>#REF!</v>
      </c>
    </row>
    <row r="50" spans="3:196" x14ac:dyDescent="0.25">
      <c r="C50" s="16">
        <f>(D49+('Vacas e Bezerros'!$AA$28-(D49*0.64))/0.8)/1000</f>
        <v>0.35719668016155687</v>
      </c>
      <c r="D50" s="17">
        <f>-53.07 + (304.89 * (C50-'Vacas e Bezerros'!$C$206)) + (90.79 *('Vacas e Bezerros'!$AA$22)) - (3.13 *('Vacas e Bezerros'!$AA$22)^2)</f>
        <v>165.01876457544017</v>
      </c>
      <c r="F50" s="16" t="e">
        <f>(G49+(Crescimento!#REF!-(G49*0.64))/0.8)/1000</f>
        <v>#REF!</v>
      </c>
      <c r="G50" s="17" t="e">
        <f>-53.07 + (304.89 * (F50)) + (90.79 *Crescimento!#REF!) - (3.13 * Crescimento!#REF!*Crescimento!#REF!)</f>
        <v>#REF!</v>
      </c>
      <c r="H50" s="1"/>
      <c r="I50" s="16" t="e">
        <f>(J49+(Crescimento!#REF!-(J49*0.64))/0.8)/1000</f>
        <v>#REF!</v>
      </c>
      <c r="J50" s="17" t="e">
        <f>-53.07 + (304.89 * (I50)) + (90.79 *Crescimento!#REF!) - (3.13 * Crescimento!#REF!*Crescimento!#REF!)</f>
        <v>#REF!</v>
      </c>
      <c r="L50" s="16" t="e">
        <f>(M49+(Crescimento!#REF!-(M49*0.64))/0.8)/1000</f>
        <v>#REF!</v>
      </c>
      <c r="M50" s="17" t="e">
        <f>-53.07 + (304.89 * (L50)) + (90.79 *Crescimento!#REF!) - (3.13 * Crescimento!#REF!*Crescimento!#REF!)</f>
        <v>#REF!</v>
      </c>
      <c r="O50" s="16" t="e">
        <f>(P49+(Crescimento!#REF!-(P49*0.64))/0.8)/1000</f>
        <v>#REF!</v>
      </c>
      <c r="P50" s="17" t="e">
        <f>-53.07 + (304.89 * (O50)) + (90.79 *Crescimento!#REF!) - (3.13 * Crescimento!#REF!*Crescimento!#REF!)</f>
        <v>#REF!</v>
      </c>
      <c r="R50" s="16" t="e">
        <f>(S49+(Crescimento!#REF!-(S49*0.64))/0.8)/1000</f>
        <v>#REF!</v>
      </c>
      <c r="S50" s="17" t="e">
        <f>-53.07 + (304.89 * (R50)) + (90.79 *Crescimento!#REF!) - (3.13 * Crescimento!#REF!*Crescimento!#REF!)</f>
        <v>#REF!</v>
      </c>
      <c r="U50" s="16" t="e">
        <f>(V49+(Crescimento!#REF!-(V49*0.64))/0.8)/1000</f>
        <v>#REF!</v>
      </c>
      <c r="V50" s="17" t="e">
        <f>-53.07 + (304.89 * (U50)) + (90.79 *Crescimento!#REF!) - (3.13 * Crescimento!#REF!*Crescimento!#REF!)</f>
        <v>#REF!</v>
      </c>
      <c r="X50" s="16" t="e">
        <f>(Y49+(Crescimento!#REF!-(Y49*0.64))/0.8)/1000</f>
        <v>#REF!</v>
      </c>
      <c r="Y50" s="17" t="e">
        <f>-53.07 + (304.89 * (X50)) + (90.79 *Crescimento!#REF!) - (3.13 * Crescimento!#REF!*Crescimento!#REF!)</f>
        <v>#REF!</v>
      </c>
      <c r="Z50" s="6"/>
      <c r="AA50" s="16" t="e">
        <f>(AB49+(Crescimento!#REF!-(AB49*0.64))/0.8)/1000</f>
        <v>#REF!</v>
      </c>
      <c r="AB50" s="17" t="e">
        <f>-53.07 + (304.89 * (AA50)) + (90.79 *Crescimento!#REF!) - (3.13 * Crescimento!#REF!*Crescimento!#REF!)</f>
        <v>#REF!</v>
      </c>
      <c r="AC50" s="6"/>
      <c r="AD50" s="16" t="e">
        <f>(AE49+(Crescimento!#REF!-(AE49*0.64))/0.8)/1000</f>
        <v>#REF!</v>
      </c>
      <c r="AE50" s="17" t="e">
        <f>-53.07 + (304.89 * (AD50)) + (90.79 *Crescimento!#REF!) - (3.13 * Crescimento!#REF!*Crescimento!#REF!)</f>
        <v>#REF!</v>
      </c>
      <c r="AF50" s="17"/>
      <c r="AG50" s="16" t="e">
        <f>(AH49+(Crescimento!#REF!-(AH49*0.64))/0.8)/1000</f>
        <v>#REF!</v>
      </c>
      <c r="AH50" s="17" t="e">
        <f>-53.07 + (304.89 * (AG50)) + (90.79 *Crescimento!#REF!) - (3.13 * Crescimento!#REF!*Crescimento!#REF!)</f>
        <v>#REF!</v>
      </c>
      <c r="AJ50" s="16" t="e">
        <f>(AK49+(Crescimento!#REF!-(AK49*0.64))/0.8)/1000</f>
        <v>#REF!</v>
      </c>
      <c r="AK50" s="17" t="e">
        <f>-53.07 + (304.89 * (AJ50)) + (90.79 *Crescimento!#REF!) - (3.13 * Crescimento!#REF!*Crescimento!#REF!)</f>
        <v>#REF!</v>
      </c>
      <c r="AM50" s="16" t="e">
        <f>(AN49+(Crescimento!#REF!-(AN49*0.64))/0.8)/1000</f>
        <v>#REF!</v>
      </c>
      <c r="AN50" s="17" t="e">
        <f>-53.07 + (304.89 * (AM50)) + (90.79 *Crescimento!#REF!) - (3.13 * Crescimento!#REF!*Crescimento!#REF!)</f>
        <v>#REF!</v>
      </c>
      <c r="AP50" s="16" t="e">
        <f>(AQ49+(Crescimento!#REF!-(AQ49*0.64))/0.8)/1000</f>
        <v>#REF!</v>
      </c>
      <c r="AQ50" s="17" t="e">
        <f>-53.07 + (304.89 * (AP50)) + (90.79 *Crescimento!#REF!) - (3.13 * Crescimento!#REF!*Crescimento!#REF!)</f>
        <v>#REF!</v>
      </c>
      <c r="AS50" s="16" t="e">
        <f>(AT49+(Crescimento!#REF!-(AT49*0.64))/0.8)/1000</f>
        <v>#REF!</v>
      </c>
      <c r="AT50" s="17" t="e">
        <f>-53.07 + (304.89 * (AS50)) + (90.79 *Crescimento!#REF!) - (3.13 * Crescimento!#REF!*Crescimento!#REF!)</f>
        <v>#REF!</v>
      </c>
      <c r="AV50" s="16" t="e">
        <f>(AW49+(Crescimento!#REF!-(AW49*0.64))/0.8)/1000</f>
        <v>#REF!</v>
      </c>
      <c r="AW50" s="17" t="e">
        <f>-53.07 + (304.89 * (AV50)) + (90.79 *Crescimento!#REF!) - (3.13 * Crescimento!#REF!*Crescimento!#REF!)</f>
        <v>#REF!</v>
      </c>
      <c r="AY50" s="21" t="e">
        <f>((AZ49+(Crescimento!#REF!-(AZ49*0.64))/0.8)/1000)-Crescimento!#REF!</f>
        <v>#REF!</v>
      </c>
      <c r="AZ50" s="22" t="e">
        <f>-53.07 + (304.89 * (AY50)) + (90.79 *(Crescimento!#REF!-Crescimento!#REF!)) - (3.13 * (Crescimento!#REF!-Crescimento!#REF!)^2)</f>
        <v>#REF!</v>
      </c>
      <c r="BA50" s="23"/>
      <c r="BB50" s="21" t="e">
        <f>((BC49+(Crescimento!#REF!-(BC49*0.64))/0.8)/1000)-Crescimento!#REF!</f>
        <v>#REF!</v>
      </c>
      <c r="BC50" s="22" t="e">
        <f>-53.07 + (304.89 * (BB50)) + (90.79 *(Crescimento!#REF!-Crescimento!#REF!)) - (3.13 * (Crescimento!#REF!-Crescimento!#REF!)^2)</f>
        <v>#REF!</v>
      </c>
      <c r="BD50" s="23"/>
      <c r="BE50" s="21" t="e">
        <f>((BF49+(Crescimento!#REF!-(BF49*0.64))/0.8)/1000)-Crescimento!#REF!</f>
        <v>#REF!</v>
      </c>
      <c r="BF50" s="22" t="e">
        <f>-53.07 + (304.89 * (BE50)) + (90.79 *(Crescimento!#REF!-Crescimento!#REF!)) - (3.13 * (Crescimento!#REF!-Crescimento!#REF!)^2)</f>
        <v>#REF!</v>
      </c>
      <c r="BG50" s="23"/>
      <c r="BH50" s="21" t="e">
        <f>((BI49+(Crescimento!#REF!-(BI49*0.64))/0.8)/1000)-Crescimento!#REF!</f>
        <v>#REF!</v>
      </c>
      <c r="BI50" s="22" t="e">
        <f>-53.07 + (304.89 * (BH50)) + (90.79 *(Crescimento!#REF!-Crescimento!#REF!)) - (3.13 * (Crescimento!#REF!-Crescimento!#REF!)^2)</f>
        <v>#REF!</v>
      </c>
      <c r="BJ50" s="23"/>
      <c r="BK50" s="21" t="e">
        <f>((BL49+(Crescimento!#REF!-(BL49*0.64))/0.8)/1000)-Crescimento!#REF!</f>
        <v>#REF!</v>
      </c>
      <c r="BL50" s="22" t="e">
        <f>-53.07 + (304.89 * (BK50)) + (90.79 *(Crescimento!#REF!-Crescimento!#REF!)) - (3.13 * (Crescimento!#REF!-Crescimento!#REF!)^2)</f>
        <v>#REF!</v>
      </c>
      <c r="BM50" s="23"/>
      <c r="BN50" s="21" t="e">
        <f>((BO49+(Crescimento!#REF!-(BO49*0.64))/0.8)/1000)-Crescimento!#REF!</f>
        <v>#REF!</v>
      </c>
      <c r="BO50" s="22" t="e">
        <f>-53.07 + (304.89 * (BN50)) + (90.79 *(Crescimento!#REF!-Crescimento!#REF!)) - (3.13 * (Crescimento!#REF!-Crescimento!#REF!)^2)</f>
        <v>#REF!</v>
      </c>
      <c r="BP50" s="23"/>
      <c r="BQ50" s="21" t="e">
        <f>((BR49+(Crescimento!#REF!-(BR49*0.64))/0.8)/1000)-Crescimento!#REF!</f>
        <v>#REF!</v>
      </c>
      <c r="BR50" s="22" t="e">
        <f>-53.07 + (304.89 * (BQ50)) + (90.79 *(Crescimento!#REF!-Crescimento!#REF!)) - (3.13 * (Crescimento!#REF!-Crescimento!#REF!)^2)</f>
        <v>#REF!</v>
      </c>
      <c r="BS50" s="23"/>
      <c r="BT50" s="21" t="e">
        <f>((BU49+(Crescimento!#REF!-(BU49*0.64))/0.8)/1000)-Crescimento!#REF!</f>
        <v>#REF!</v>
      </c>
      <c r="BU50" s="22" t="e">
        <f>-53.07 + (304.89 * (BT50)) + (90.79 *(Crescimento!#REF!-Crescimento!#REF!)) - (3.13 * (Crescimento!#REF!-Crescimento!#REF!)^2)</f>
        <v>#REF!</v>
      </c>
      <c r="BV50" s="23"/>
      <c r="BW50" s="21" t="e">
        <f>((BX49+(Crescimento!#REF!-(BX49*0.64))/0.8)/1000)-Crescimento!#REF!</f>
        <v>#REF!</v>
      </c>
      <c r="BX50" s="22" t="e">
        <f>-53.07 + (304.89 * (BW50)) + (90.79 *(Crescimento!#REF!-Crescimento!#REF!)) - (3.13 * (Crescimento!#REF!-Crescimento!#REF!)^2)</f>
        <v>#REF!</v>
      </c>
      <c r="BY50" s="23"/>
      <c r="BZ50" s="21" t="e">
        <f>((CA49+(Crescimento!#REF!-(CA49*0.64))/0.8)/1000)-Crescimento!#REF!</f>
        <v>#REF!</v>
      </c>
      <c r="CA50" s="22" t="e">
        <f>-53.07 + (304.89 * (BZ50)) + (90.79 *(Crescimento!#REF!-Crescimento!#REF!)) - (3.13 * (Crescimento!#REF!-Crescimento!#REF!)^2)</f>
        <v>#REF!</v>
      </c>
      <c r="CB50" s="23"/>
      <c r="CC50" s="21" t="e">
        <f>((CD49+(Crescimento!#REF!-(CD49*0.64))/0.8)/1000)-Crescimento!#REF!</f>
        <v>#REF!</v>
      </c>
      <c r="CD50" s="22" t="e">
        <f>-53.07 + (304.89 * (CC50)) + (90.79 *(Crescimento!#REF!-Crescimento!#REF!)) - (3.13 * (Crescimento!#REF!-Crescimento!#REF!)^2)</f>
        <v>#REF!</v>
      </c>
      <c r="CE50" s="23"/>
      <c r="CF50" s="21" t="e">
        <f>((CG49+(Crescimento!#REF!-(CG49*0.64))/0.8)/1000)-Crescimento!#REF!</f>
        <v>#REF!</v>
      </c>
      <c r="CG50" s="22" t="e">
        <f>-53.07 + (304.89 * (CF50)) + (90.79 *(Crescimento!#REF!-Crescimento!#REF!)) - (3.13 * (Crescimento!#REF!-Crescimento!#REF!)^2)</f>
        <v>#REF!</v>
      </c>
      <c r="CH50" s="23"/>
      <c r="CI50" s="21" t="e">
        <f>((CJ49+(Crescimento!#REF!-(CJ49*0.64))/0.8)/1000)-Crescimento!#REF!</f>
        <v>#REF!</v>
      </c>
      <c r="CJ50" s="22" t="e">
        <f>-53.07 + (304.89 * (CI50)) + (90.79 *(Crescimento!#REF!-Crescimento!#REF!)) - (3.13 * (Crescimento!#REF!-Crescimento!#REF!)^2)</f>
        <v>#REF!</v>
      </c>
      <c r="CK50" s="23"/>
      <c r="CL50" s="21" t="e">
        <f>((CM49+(Crescimento!#REF!-(CM49*0.64))/0.8)/1000)-Crescimento!#REF!</f>
        <v>#REF!</v>
      </c>
      <c r="CM50" s="22" t="e">
        <f>-53.07 + (304.89 * (CL50)) + (90.79 *(Crescimento!#REF!-Crescimento!#REF!)) - (3.13 * (Crescimento!#REF!-Crescimento!#REF!)^2)</f>
        <v>#REF!</v>
      </c>
      <c r="CN50" s="23"/>
      <c r="CO50" s="21" t="e">
        <f>((CP49+(Crescimento!#REF!-(CP49*0.64))/0.8)/1000)-Crescimento!#REF!</f>
        <v>#REF!</v>
      </c>
      <c r="CP50" s="22" t="e">
        <f>-53.07 + (304.89 * (CO50)) + (90.79 *(Crescimento!#REF!-Crescimento!#REF!)) - (3.13 * (Crescimento!#REF!-Crescimento!#REF!)^2)</f>
        <v>#REF!</v>
      </c>
      <c r="CQ50" s="23"/>
      <c r="CR50" s="21" t="e">
        <f>((CS49+(Crescimento!#REF!-(CS49*0.64))/0.8)/1000)-Crescimento!#REF!</f>
        <v>#REF!</v>
      </c>
      <c r="CS50" s="22" t="e">
        <f>-53.07 + (304.89 * (CR50)) + (90.79 *(Crescimento!#REF!-Crescimento!#REF!)) - (3.13 * (Crescimento!#REF!-Crescimento!#REF!)^2)</f>
        <v>#REF!</v>
      </c>
      <c r="CX50" s="16" t="e">
        <f>((CY49+(Crescimento!#REF!-(CY49*0.64))/0.8)/1000)-Crescimento!#REF!</f>
        <v>#REF!</v>
      </c>
      <c r="CY50" s="17" t="e">
        <f>-53.07 + (304.89 * (CX50)) + (90.79 *(Crescimento!#REF!-Crescimento!#REF!)) - (3.13 * (Crescimento!#REF!-Crescimento!#REF!)^2)</f>
        <v>#REF!</v>
      </c>
      <c r="DA50" s="16" t="e">
        <f>((DB49+(Crescimento!#REF!-(DB49*0.64))/0.8)/1000)-Crescimento!#REF!</f>
        <v>#REF!</v>
      </c>
      <c r="DB50" s="17" t="e">
        <f>-53.07 + (304.89 * (DA50)) + (90.79 *(Crescimento!#REF!-Crescimento!#REF!)) - (3.13 * (Crescimento!#REF!-Crescimento!#REF!)^2)</f>
        <v>#REF!</v>
      </c>
      <c r="DD50" s="16" t="e">
        <f>(DE49+(Crescimento!#REF!-(DE49*0.64))/0.8)/1000</f>
        <v>#REF!</v>
      </c>
      <c r="DE50" s="17" t="e">
        <f>-53.07 + (304.89 * (DD50)) + (90.79 *Crescimento!#REF!) - (3.13 * Crescimento!#REF!*Crescimento!#REF!)</f>
        <v>#REF!</v>
      </c>
      <c r="DG50" s="16" t="e">
        <f>((DH49+(Crescimento!#REF!-(DH49*0.64))/0.8)/1000)-Crescimento!#REF!</f>
        <v>#REF!</v>
      </c>
      <c r="DH50" s="17" t="e">
        <f>-53.07 + (304.89 * (DG50)) + (90.79 *(Crescimento!#REF!-Crescimento!#REF!)) - (3.13 * (Crescimento!#REF!-Crescimento!#REF!)^2)</f>
        <v>#REF!</v>
      </c>
      <c r="DJ50" s="16" t="e">
        <f>((DK49+(Crescimento!#REF!-(DK49*0.64))/0.8)/1000)-Crescimento!#REF!</f>
        <v>#REF!</v>
      </c>
      <c r="DK50" s="17" t="e">
        <f>-53.07 + (304.89 * (DJ50)) + (90.79 *(Crescimento!#REF!-Crescimento!#REF!)) - (3.13 * (Crescimento!#REF!-Crescimento!#REF!)^2)</f>
        <v>#REF!</v>
      </c>
      <c r="DM50" s="16" t="e">
        <f>((DN49+(Crescimento!#REF!-(DN49*0.64))/0.8)/1000)-Crescimento!#REF!</f>
        <v>#REF!</v>
      </c>
      <c r="DN50" s="17" t="e">
        <f>-53.07 + (304.89 * (DM50)) + (90.79 *(Crescimento!#REF!-Crescimento!#REF!)) - (3.13 * (Crescimento!#REF!-Crescimento!#REF!)^2)</f>
        <v>#REF!</v>
      </c>
      <c r="DP50" s="16" t="e">
        <f>(DQ49+(Crescimento!#REF!-(DQ49*0.64))/0.8)/1000</f>
        <v>#REF!</v>
      </c>
      <c r="DQ50" s="17" t="e">
        <f>-53.07 + (304.89 * (DP50)) + (90.79 *(Crescimento!#REF!-Crescimento!#REF!)) - (3.13 * (Crescimento!#REF!-Crescimento!#REF!)^2)</f>
        <v>#REF!</v>
      </c>
      <c r="DS50" s="16" t="e">
        <f>((DT49+(Crescimento!#REF!-(DT49*0.64))/0.8)/1000)-Crescimento!#REF!</f>
        <v>#REF!</v>
      </c>
      <c r="DT50" s="17" t="e">
        <f>-53.07 + (304.89 * (DS50)) + (90.79 *(Crescimento!#REF!-Crescimento!#REF!)) - (3.13 * (Crescimento!#REF!-Crescimento!#REF!)^2)</f>
        <v>#REF!</v>
      </c>
      <c r="DV50" s="16" t="e">
        <f>((DW49+(Crescimento!#REF!-(DW49*0.64))/0.8)/1000)-Crescimento!#REF!</f>
        <v>#REF!</v>
      </c>
      <c r="DW50" s="17" t="e">
        <f>-53.07 + (304.89 * (DV50)) + (90.79 *(Crescimento!#REF!-Crescimento!#REF!)) - (3.13 * (Crescimento!#REF!-Crescimento!#REF!)^2)</f>
        <v>#REF!</v>
      </c>
      <c r="DY50" s="16" t="e">
        <f>((DZ49+(Crescimento!#REF!-(DZ49*0.64))/0.8)/1000)-Crescimento!#REF!</f>
        <v>#REF!</v>
      </c>
      <c r="DZ50" s="17" t="e">
        <f>-53.07 + (304.89 * (DY50)) + (90.79 *(Crescimento!#REF!-Crescimento!#REF!)) - (3.13 * (Crescimento!#REF!-Crescimento!#REF!)^2)</f>
        <v>#REF!</v>
      </c>
      <c r="EB50" s="16" t="e">
        <f>((EC49+(Crescimento!#REF!-(EC49*0.64))/0.8)/1000)-Crescimento!#REF!</f>
        <v>#REF!</v>
      </c>
      <c r="EC50" s="17" t="e">
        <f>-53.07 + (304.89 * (EB50)) + (90.79 *(Crescimento!#REF!-Crescimento!#REF!)) - (3.13 * (Crescimento!#REF!-Crescimento!#REF!)^2)</f>
        <v>#REF!</v>
      </c>
      <c r="EE50" s="16" t="e">
        <f>((EF49+(Crescimento!#REF!-(EF49*0.64))/0.8)/1000)-Crescimento!#REF!</f>
        <v>#REF!</v>
      </c>
      <c r="EF50" s="17" t="e">
        <f>-53.07 + (304.89 * (EE50)) + (90.79 *(Crescimento!#REF!-Crescimento!#REF!)) - (3.13 * (Crescimento!#REF!-Crescimento!#REF!)^2)</f>
        <v>#REF!</v>
      </c>
      <c r="EH50" s="16" t="e">
        <f>((EI49+(Crescimento!#REF!-(EI49*0.64))/0.8)/1000)-Crescimento!#REF!</f>
        <v>#REF!</v>
      </c>
      <c r="EI50" s="17" t="e">
        <f>-53.07 + (304.89 * (EH50)) + (90.79 *(Crescimento!#REF!-Crescimento!#REF!)) - (3.13 * (Crescimento!#REF!-Crescimento!#REF!)^2)</f>
        <v>#REF!</v>
      </c>
      <c r="EK50" s="16" t="e">
        <f>((EL49+(Crescimento!#REF!-(EL49*0.64))/0.8)/1000)-Crescimento!#REF!</f>
        <v>#REF!</v>
      </c>
      <c r="EL50" s="17" t="e">
        <f>-53.07 + (304.89 * (EK50)) + (90.79 *(Crescimento!#REF!-Crescimento!#REF!)) - (3.13 * (Crescimento!#REF!-Crescimento!#REF!)^2)</f>
        <v>#REF!</v>
      </c>
      <c r="EN50" s="16" t="e">
        <f>((EO49+(Crescimento!#REF!-(EO49*0.64))/0.8)/1000)-Crescimento!#REF!</f>
        <v>#REF!</v>
      </c>
      <c r="EO50" s="17" t="e">
        <f>-53.07 + (304.89 * (EN50)) + (90.79 *(Crescimento!#REF!-Crescimento!#REF!)) - (3.13 * (Crescimento!#REF!-Crescimento!#REF!)^2)</f>
        <v>#REF!</v>
      </c>
      <c r="EQ50" s="16" t="e">
        <f>((ER49+(Crescimento!#REF!-(ER49*0.64))/0.8)/1000)-Crescimento!#REF!</f>
        <v>#REF!</v>
      </c>
      <c r="ER50" s="17" t="e">
        <f>-53.07 + (304.89 * (EQ50)) + (90.79 *(Crescimento!#REF!-Crescimento!#REF!)) - (3.13 * (Crescimento!#REF!-Crescimento!#REF!)^2)</f>
        <v>#REF!</v>
      </c>
      <c r="ET50" s="16" t="e">
        <f>((EU49+(Crescimento!#REF!-(EU49*0.64))/0.8)/1000)-Crescimento!#REF!</f>
        <v>#REF!</v>
      </c>
      <c r="EU50" s="17" t="e">
        <f>-53.07 + (304.89 * (ET50)) + (90.79 *(Crescimento!#REF!-Crescimento!#REF!)) - (3.13 * (Crescimento!#REF!-Crescimento!#REF!)^2)</f>
        <v>#REF!</v>
      </c>
      <c r="EW50" s="16" t="e">
        <f>((EX49+('Vacas e Bezerros'!#REF!-(EX49*0.64))/0.8)/1000)-'Vacas e Bezerros'!#REF!</f>
        <v>#REF!</v>
      </c>
      <c r="EX50" s="17" t="e">
        <f>-53.07 + (304.89 * (EW50)) + (90.79 *('Vacas e Bezerros'!#REF!-'Vacas e Bezerros'!#REF!)) - (3.13 * ('Vacas e Bezerros'!#REF!-'Vacas e Bezerros'!#REF!)^2)</f>
        <v>#REF!</v>
      </c>
      <c r="EZ50" s="16" t="e">
        <f>((FA49+('Vacas e Bezerros'!#REF!-(FA49*0.64))/0.8)/1000)-'Vacas e Bezerros'!#REF!</f>
        <v>#REF!</v>
      </c>
      <c r="FA50" s="17" t="e">
        <f>-53.07 + (304.89 * (EZ50)) + (90.79 *('Vacas e Bezerros'!#REF!-'Vacas e Bezerros'!#REF!)) - (3.13 * ('Vacas e Bezerros'!#REF!-'Vacas e Bezerros'!#REF!)^2)</f>
        <v>#REF!</v>
      </c>
      <c r="FC50" s="16" t="e">
        <f>((FD49+('Vacas e Bezerros'!#REF!-(FD49*0.64))/0.8)/1000)-'Vacas e Bezerros'!#REF!</f>
        <v>#REF!</v>
      </c>
      <c r="FD50" s="17" t="e">
        <f>-53.07 + (304.89 * (FC50)) + (90.79 *('Vacas e Bezerros'!#REF!-'Vacas e Bezerros'!#REF!)) - (3.13 * ('Vacas e Bezerros'!#REF!-'Vacas e Bezerros'!#REF!)^2)</f>
        <v>#REF!</v>
      </c>
      <c r="FF50" s="16" t="e">
        <f>((FG49+('Vacas e Bezerros'!#REF!-(FG49*0.64))/0.8)/1000)-'Vacas e Bezerros'!#REF!</f>
        <v>#REF!</v>
      </c>
      <c r="FG50" s="17" t="e">
        <f>-53.07 + (304.89 * (FF50)) + (90.79 *('Vacas e Bezerros'!#REF!-'Vacas e Bezerros'!#REF!)) - (3.13 * ('Vacas e Bezerros'!#REF!-'Vacas e Bezerros'!#REF!)^2)</f>
        <v>#REF!</v>
      </c>
      <c r="FI50" s="16" t="e">
        <f>((FJ49+('Vacas e Bezerros'!#REF!-(FJ49*0.64))/0.8)/1000)-'Vacas e Bezerros'!#REF!</f>
        <v>#REF!</v>
      </c>
      <c r="FJ50" s="17" t="e">
        <f>-53.07 + (304.89 * (FI50)) + (90.79 *('Vacas e Bezerros'!#REF!-'Vacas e Bezerros'!#REF!)) - (3.13 * ('Vacas e Bezerros'!#REF!-'Vacas e Bezerros'!#REF!)^2)</f>
        <v>#REF!</v>
      </c>
      <c r="FL50" s="16" t="e">
        <f>((FM49+('Vacas e Bezerros'!#REF!-(FM49*0.64))/0.8)/1000)-'Vacas e Bezerros'!#REF!</f>
        <v>#REF!</v>
      </c>
      <c r="FM50" s="17" t="e">
        <f>-53.07 + (304.89 * (FL50)) + (90.79 *('Vacas e Bezerros'!#REF!-'Vacas e Bezerros'!#REF!)) - (3.13 * ('Vacas e Bezerros'!#REF!-'Vacas e Bezerros'!#REF!)^2)</f>
        <v>#REF!</v>
      </c>
      <c r="FO50" s="16" t="e">
        <f>((FP49+('Vacas e Bezerros'!#REF!-(FP49*0.64))/0.8)/1000)-'Vacas e Bezerros'!#REF!</f>
        <v>#REF!</v>
      </c>
      <c r="FP50" s="17" t="e">
        <f>-53.07 + (304.89 * (FO50)) + (90.79 *('Vacas e Bezerros'!#REF!-'Vacas e Bezerros'!#REF!)) - (3.13 * ('Vacas e Bezerros'!#REF!-'Vacas e Bezerros'!#REF!)^2)</f>
        <v>#REF!</v>
      </c>
      <c r="FR50" s="16" t="e">
        <f>((FS49+('Vacas e Bezerros'!#REF!-(FS49*0.64))/0.8)/1000)-'Vacas e Bezerros'!#REF!</f>
        <v>#REF!</v>
      </c>
      <c r="FS50" s="17" t="e">
        <f>-53.07 + (304.89 * (FR50)) + (90.79 *('Vacas e Bezerros'!#REF!-'Vacas e Bezerros'!#REF!)) - (3.13 * ('Vacas e Bezerros'!#REF!-'Vacas e Bezerros'!#REF!)^2)</f>
        <v>#REF!</v>
      </c>
      <c r="FU50" s="16" t="e">
        <f>((FV49+('Vacas e Bezerros'!#REF!-(FV49*0.64))/0.8)/1000)-'Vacas e Bezerros'!#REF!</f>
        <v>#REF!</v>
      </c>
      <c r="FV50" s="17" t="e">
        <f>-53.07 + (304.89 * (FU50)) + (90.79 *('Vacas e Bezerros'!#REF!-'Vacas e Bezerros'!#REF!)) - (3.13 * ('Vacas e Bezerros'!#REF!-'Vacas e Bezerros'!#REF!)^2)</f>
        <v>#REF!</v>
      </c>
      <c r="FX50" s="16" t="e">
        <f>((FY49+('Vacas e Bezerros'!#REF!-(FY49*0.64))/0.8)/1000)-'Vacas e Bezerros'!#REF!</f>
        <v>#REF!</v>
      </c>
      <c r="FY50" s="17" t="e">
        <f>-53.07 + (304.89 * (FX50)) + (90.79 *('Vacas e Bezerros'!#REF!-'Vacas e Bezerros'!#REF!)) - (3.13 * ('Vacas e Bezerros'!#REF!-'Vacas e Bezerros'!#REF!)^2)</f>
        <v>#REF!</v>
      </c>
      <c r="GA50" s="16" t="e">
        <f>((GB49+('Vacas e Bezerros'!#REF!-(GB49*0.64))/0.8)/1000)-'Vacas e Bezerros'!#REF!</f>
        <v>#REF!</v>
      </c>
      <c r="GB50" s="17" t="e">
        <f>-53.07 + (304.89 * (GA50)) + (90.79 *('Vacas e Bezerros'!#REF!-'Vacas e Bezerros'!#REF!)) - (3.13 * ('Vacas e Bezerros'!#REF!-'Vacas e Bezerros'!#REF!)^2)</f>
        <v>#REF!</v>
      </c>
      <c r="GD50" s="16" t="e">
        <f>((GE49+('Vacas e Bezerros'!#REF!-(GE49*0.64))/0.8)/1000)-'Vacas e Bezerros'!#REF!</f>
        <v>#REF!</v>
      </c>
      <c r="GE50" s="17" t="e">
        <f>-53.07 + (304.89 * (GD50)) + (90.79 *('Vacas e Bezerros'!#REF!-'Vacas e Bezerros'!#REF!)) - (3.13 * ('Vacas e Bezerros'!#REF!-'Vacas e Bezerros'!#REF!)^2)</f>
        <v>#REF!</v>
      </c>
      <c r="GG50" s="16" t="e">
        <f>((GH49+('Vacas e Bezerros'!#REF!-(GH49*0.64))/0.8)/1000)-'Vacas e Bezerros'!#REF!</f>
        <v>#REF!</v>
      </c>
      <c r="GH50" s="17" t="e">
        <f>-53.07 + (304.89 * (GG50)) + (90.79 *('Vacas e Bezerros'!#REF!-'Vacas e Bezerros'!#REF!)) - (3.13 * ('Vacas e Bezerros'!#REF!-'Vacas e Bezerros'!#REF!)^2)</f>
        <v>#REF!</v>
      </c>
      <c r="GJ50" s="16" t="e">
        <f>((GK49+('Vacas e Bezerros'!#REF!-(GK49*0.64))/0.8)/1000)-'Vacas e Bezerros'!#REF!</f>
        <v>#REF!</v>
      </c>
      <c r="GK50" s="17" t="e">
        <f>-53.07 + (304.89 * (GJ50)) + (90.79 *('Vacas e Bezerros'!#REF!-'Vacas e Bezerros'!#REF!)) - (3.13 * ('Vacas e Bezerros'!#REF!-'Vacas e Bezerros'!#REF!)^2)</f>
        <v>#REF!</v>
      </c>
      <c r="GM50" s="16" t="e">
        <f>((GN49+('Vacas e Bezerros'!#REF!-(GN49*0.64))/0.8)/1000)-'Vacas e Bezerros'!#REF!</f>
        <v>#REF!</v>
      </c>
      <c r="GN50" s="17" t="e">
        <f>-53.07 + (304.89 * (GM50)) + (90.79 *('Vacas e Bezerros'!#REF!-'Vacas e Bezerros'!#REF!)) - (3.13 * ('Vacas e Bezerros'!#REF!-'Vacas e Bezerros'!#REF!)^2)</f>
        <v>#REF!</v>
      </c>
    </row>
    <row r="51" spans="3:196" x14ac:dyDescent="0.25">
      <c r="C51" s="16">
        <f>(D50+('Vacas e Bezerros'!$AA$28-(D50*0.64))/0.8)/1000</f>
        <v>0.35719668016155687</v>
      </c>
      <c r="D51" s="17">
        <f>-53.07 + (304.89 * (C51-'Vacas e Bezerros'!$C$206)) + (90.79 *('Vacas e Bezerros'!$AA$22)) - (3.13 *('Vacas e Bezerros'!$AA$22)^2)</f>
        <v>165.01876457544017</v>
      </c>
      <c r="F51" s="16" t="e">
        <f>(G50+(Crescimento!#REF!-(G50*0.64))/0.8)/1000</f>
        <v>#REF!</v>
      </c>
      <c r="G51" s="17" t="e">
        <f>-53.07 + (304.89 * (F51)) + (90.79 *Crescimento!#REF!) - (3.13 * Crescimento!#REF!*Crescimento!#REF!)</f>
        <v>#REF!</v>
      </c>
      <c r="H51" s="1"/>
      <c r="I51" s="16" t="e">
        <f>(J50+(Crescimento!#REF!-(J50*0.64))/0.8)/1000</f>
        <v>#REF!</v>
      </c>
      <c r="J51" s="17" t="e">
        <f>-53.07 + (304.89 * (I51)) + (90.79 *Crescimento!#REF!) - (3.13 * Crescimento!#REF!*Crescimento!#REF!)</f>
        <v>#REF!</v>
      </c>
      <c r="L51" s="16" t="e">
        <f>(M50+(Crescimento!#REF!-(M50*0.64))/0.8)/1000</f>
        <v>#REF!</v>
      </c>
      <c r="M51" s="17" t="e">
        <f>-53.07 + (304.89 * (L51)) + (90.79 *Crescimento!#REF!) - (3.13 * Crescimento!#REF!*Crescimento!#REF!)</f>
        <v>#REF!</v>
      </c>
      <c r="O51" s="16" t="e">
        <f>(P50+(Crescimento!#REF!-(P50*0.64))/0.8)/1000</f>
        <v>#REF!</v>
      </c>
      <c r="P51" s="17" t="e">
        <f>-53.07 + (304.89 * (O51)) + (90.79 *Crescimento!#REF!) - (3.13 * Crescimento!#REF!*Crescimento!#REF!)</f>
        <v>#REF!</v>
      </c>
      <c r="R51" s="16" t="e">
        <f>(S50+(Crescimento!#REF!-(S50*0.64))/0.8)/1000</f>
        <v>#REF!</v>
      </c>
      <c r="S51" s="17" t="e">
        <f>-53.07 + (304.89 * (R51)) + (90.79 *Crescimento!#REF!) - (3.13 * Crescimento!#REF!*Crescimento!#REF!)</f>
        <v>#REF!</v>
      </c>
      <c r="U51" s="16" t="e">
        <f>(V50+(Crescimento!#REF!-(V50*0.64))/0.8)/1000</f>
        <v>#REF!</v>
      </c>
      <c r="V51" s="17" t="e">
        <f>-53.07 + (304.89 * (U51)) + (90.79 *Crescimento!#REF!) - (3.13 * Crescimento!#REF!*Crescimento!#REF!)</f>
        <v>#REF!</v>
      </c>
      <c r="X51" s="16" t="e">
        <f>(Y50+(Crescimento!#REF!-(Y50*0.64))/0.8)/1000</f>
        <v>#REF!</v>
      </c>
      <c r="Y51" s="17" t="e">
        <f>-53.07 + (304.89 * (X51)) + (90.79 *Crescimento!#REF!) - (3.13 * Crescimento!#REF!*Crescimento!#REF!)</f>
        <v>#REF!</v>
      </c>
      <c r="Z51" s="6"/>
      <c r="AA51" s="16" t="e">
        <f>(AB50+(Crescimento!#REF!-(AB50*0.64))/0.8)/1000</f>
        <v>#REF!</v>
      </c>
      <c r="AB51" s="17" t="e">
        <f>-53.07 + (304.89 * (AA51)) + (90.79 *Crescimento!#REF!) - (3.13 * Crescimento!#REF!*Crescimento!#REF!)</f>
        <v>#REF!</v>
      </c>
      <c r="AC51" s="6"/>
      <c r="AD51" s="16" t="e">
        <f>(AE50+(Crescimento!#REF!-(AE50*0.64))/0.8)/1000</f>
        <v>#REF!</v>
      </c>
      <c r="AE51" s="17" t="e">
        <f>-53.07 + (304.89 * (AD51)) + (90.79 *Crescimento!#REF!) - (3.13 * Crescimento!#REF!*Crescimento!#REF!)</f>
        <v>#REF!</v>
      </c>
      <c r="AF51" s="17"/>
      <c r="AG51" s="16" t="e">
        <f>(AH50+(Crescimento!#REF!-(AH50*0.64))/0.8)/1000</f>
        <v>#REF!</v>
      </c>
      <c r="AH51" s="17" t="e">
        <f>-53.07 + (304.89 * (AG51)) + (90.79 *Crescimento!#REF!) - (3.13 * Crescimento!#REF!*Crescimento!#REF!)</f>
        <v>#REF!</v>
      </c>
      <c r="AJ51" s="16" t="e">
        <f>(AK50+(Crescimento!#REF!-(AK50*0.64))/0.8)/1000</f>
        <v>#REF!</v>
      </c>
      <c r="AK51" s="17" t="e">
        <f>-53.07 + (304.89 * (AJ51)) + (90.79 *Crescimento!#REF!) - (3.13 * Crescimento!#REF!*Crescimento!#REF!)</f>
        <v>#REF!</v>
      </c>
      <c r="AM51" s="16" t="e">
        <f>(AN50+(Crescimento!#REF!-(AN50*0.64))/0.8)/1000</f>
        <v>#REF!</v>
      </c>
      <c r="AN51" s="17" t="e">
        <f>-53.07 + (304.89 * (AM51)) + (90.79 *Crescimento!#REF!) - (3.13 * Crescimento!#REF!*Crescimento!#REF!)</f>
        <v>#REF!</v>
      </c>
      <c r="AP51" s="16" t="e">
        <f>(AQ50+(Crescimento!#REF!-(AQ50*0.64))/0.8)/1000</f>
        <v>#REF!</v>
      </c>
      <c r="AQ51" s="17" t="e">
        <f>-53.07 + (304.89 * (AP51)) + (90.79 *Crescimento!#REF!) - (3.13 * Crescimento!#REF!*Crescimento!#REF!)</f>
        <v>#REF!</v>
      </c>
      <c r="AS51" s="16" t="e">
        <f>(AT50+(Crescimento!#REF!-(AT50*0.64))/0.8)/1000</f>
        <v>#REF!</v>
      </c>
      <c r="AT51" s="17" t="e">
        <f>-53.07 + (304.89 * (AS51)) + (90.79 *Crescimento!#REF!) - (3.13 * Crescimento!#REF!*Crescimento!#REF!)</f>
        <v>#REF!</v>
      </c>
      <c r="AV51" s="16" t="e">
        <f>(AW50+(Crescimento!#REF!-(AW50*0.64))/0.8)/1000</f>
        <v>#REF!</v>
      </c>
      <c r="AW51" s="17" t="e">
        <f>-53.07 + (304.89 * (AV51)) + (90.79 *Crescimento!#REF!) - (3.13 * Crescimento!#REF!*Crescimento!#REF!)</f>
        <v>#REF!</v>
      </c>
      <c r="AY51" s="21" t="e">
        <f>((AZ50+(Crescimento!#REF!-(AZ50*0.64))/0.8)/1000)-Crescimento!#REF!</f>
        <v>#REF!</v>
      </c>
      <c r="AZ51" s="22" t="e">
        <f>-53.07 + (304.89 * (AY51)) + (90.79 *(Crescimento!#REF!-Crescimento!#REF!)) - (3.13 * (Crescimento!#REF!-Crescimento!#REF!)^2)</f>
        <v>#REF!</v>
      </c>
      <c r="BA51" s="23"/>
      <c r="BB51" s="21" t="e">
        <f>((BC50+(Crescimento!#REF!-(BC50*0.64))/0.8)/1000)-Crescimento!#REF!</f>
        <v>#REF!</v>
      </c>
      <c r="BC51" s="22" t="e">
        <f>-53.07 + (304.89 * (BB51)) + (90.79 *(Crescimento!#REF!-Crescimento!#REF!)) - (3.13 * (Crescimento!#REF!-Crescimento!#REF!)^2)</f>
        <v>#REF!</v>
      </c>
      <c r="BD51" s="23"/>
      <c r="BE51" s="21" t="e">
        <f>((BF50+(Crescimento!#REF!-(BF50*0.64))/0.8)/1000)-Crescimento!#REF!</f>
        <v>#REF!</v>
      </c>
      <c r="BF51" s="22" t="e">
        <f>-53.07 + (304.89 * (BE51)) + (90.79 *(Crescimento!#REF!-Crescimento!#REF!)) - (3.13 * (Crescimento!#REF!-Crescimento!#REF!)^2)</f>
        <v>#REF!</v>
      </c>
      <c r="BG51" s="23"/>
      <c r="BH51" s="21" t="e">
        <f>((BI50+(Crescimento!#REF!-(BI50*0.64))/0.8)/1000)-Crescimento!#REF!</f>
        <v>#REF!</v>
      </c>
      <c r="BI51" s="22" t="e">
        <f>-53.07 + (304.89 * (BH51)) + (90.79 *(Crescimento!#REF!-Crescimento!#REF!)) - (3.13 * (Crescimento!#REF!-Crescimento!#REF!)^2)</f>
        <v>#REF!</v>
      </c>
      <c r="BJ51" s="23"/>
      <c r="BK51" s="21" t="e">
        <f>((BL50+(Crescimento!#REF!-(BL50*0.64))/0.8)/1000)-Crescimento!#REF!</f>
        <v>#REF!</v>
      </c>
      <c r="BL51" s="22" t="e">
        <f>-53.07 + (304.89 * (BK51)) + (90.79 *(Crescimento!#REF!-Crescimento!#REF!)) - (3.13 * (Crescimento!#REF!-Crescimento!#REF!)^2)</f>
        <v>#REF!</v>
      </c>
      <c r="BM51" s="23"/>
      <c r="BN51" s="21" t="e">
        <f>((BO50+(Crescimento!#REF!-(BO50*0.64))/0.8)/1000)-Crescimento!#REF!</f>
        <v>#REF!</v>
      </c>
      <c r="BO51" s="22" t="e">
        <f>-53.07 + (304.89 * (BN51)) + (90.79 *(Crescimento!#REF!-Crescimento!#REF!)) - (3.13 * (Crescimento!#REF!-Crescimento!#REF!)^2)</f>
        <v>#REF!</v>
      </c>
      <c r="BP51" s="23"/>
      <c r="BQ51" s="21" t="e">
        <f>((BR50+(Crescimento!#REF!-(BR50*0.64))/0.8)/1000)-Crescimento!#REF!</f>
        <v>#REF!</v>
      </c>
      <c r="BR51" s="22" t="e">
        <f>-53.07 + (304.89 * (BQ51)) + (90.79 *(Crescimento!#REF!-Crescimento!#REF!)) - (3.13 * (Crescimento!#REF!-Crescimento!#REF!)^2)</f>
        <v>#REF!</v>
      </c>
      <c r="BS51" s="23"/>
      <c r="BT51" s="21" t="e">
        <f>((BU50+(Crescimento!#REF!-(BU50*0.64))/0.8)/1000)-Crescimento!#REF!</f>
        <v>#REF!</v>
      </c>
      <c r="BU51" s="22" t="e">
        <f>-53.07 + (304.89 * (BT51)) + (90.79 *(Crescimento!#REF!-Crescimento!#REF!)) - (3.13 * (Crescimento!#REF!-Crescimento!#REF!)^2)</f>
        <v>#REF!</v>
      </c>
      <c r="BV51" s="23"/>
      <c r="BW51" s="21" t="e">
        <f>((BX50+(Crescimento!#REF!-(BX50*0.64))/0.8)/1000)-Crescimento!#REF!</f>
        <v>#REF!</v>
      </c>
      <c r="BX51" s="22" t="e">
        <f>-53.07 + (304.89 * (BW51)) + (90.79 *(Crescimento!#REF!-Crescimento!#REF!)) - (3.13 * (Crescimento!#REF!-Crescimento!#REF!)^2)</f>
        <v>#REF!</v>
      </c>
      <c r="BY51" s="23"/>
      <c r="BZ51" s="21" t="e">
        <f>((CA50+(Crescimento!#REF!-(CA50*0.64))/0.8)/1000)-Crescimento!#REF!</f>
        <v>#REF!</v>
      </c>
      <c r="CA51" s="22" t="e">
        <f>-53.07 + (304.89 * (BZ51)) + (90.79 *(Crescimento!#REF!-Crescimento!#REF!)) - (3.13 * (Crescimento!#REF!-Crescimento!#REF!)^2)</f>
        <v>#REF!</v>
      </c>
      <c r="CB51" s="23"/>
      <c r="CC51" s="21" t="e">
        <f>((CD50+(Crescimento!#REF!-(CD50*0.64))/0.8)/1000)-Crescimento!#REF!</f>
        <v>#REF!</v>
      </c>
      <c r="CD51" s="22" t="e">
        <f>-53.07 + (304.89 * (CC51)) + (90.79 *(Crescimento!#REF!-Crescimento!#REF!)) - (3.13 * (Crescimento!#REF!-Crescimento!#REF!)^2)</f>
        <v>#REF!</v>
      </c>
      <c r="CE51" s="23"/>
      <c r="CF51" s="21" t="e">
        <f>((CG50+(Crescimento!#REF!-(CG50*0.64))/0.8)/1000)-Crescimento!#REF!</f>
        <v>#REF!</v>
      </c>
      <c r="CG51" s="22" t="e">
        <f>-53.07 + (304.89 * (CF51)) + (90.79 *(Crescimento!#REF!-Crescimento!#REF!)) - (3.13 * (Crescimento!#REF!-Crescimento!#REF!)^2)</f>
        <v>#REF!</v>
      </c>
      <c r="CH51" s="23"/>
      <c r="CI51" s="21" t="e">
        <f>((CJ50+(Crescimento!#REF!-(CJ50*0.64))/0.8)/1000)-Crescimento!#REF!</f>
        <v>#REF!</v>
      </c>
      <c r="CJ51" s="22" t="e">
        <f>-53.07 + (304.89 * (CI51)) + (90.79 *(Crescimento!#REF!-Crescimento!#REF!)) - (3.13 * (Crescimento!#REF!-Crescimento!#REF!)^2)</f>
        <v>#REF!</v>
      </c>
      <c r="CK51" s="23"/>
      <c r="CL51" s="21" t="e">
        <f>((CM50+(Crescimento!#REF!-(CM50*0.64))/0.8)/1000)-Crescimento!#REF!</f>
        <v>#REF!</v>
      </c>
      <c r="CM51" s="22" t="e">
        <f>-53.07 + (304.89 * (CL51)) + (90.79 *(Crescimento!#REF!-Crescimento!#REF!)) - (3.13 * (Crescimento!#REF!-Crescimento!#REF!)^2)</f>
        <v>#REF!</v>
      </c>
      <c r="CN51" s="23"/>
      <c r="CO51" s="21" t="e">
        <f>((CP50+(Crescimento!#REF!-(CP50*0.64))/0.8)/1000)-Crescimento!#REF!</f>
        <v>#REF!</v>
      </c>
      <c r="CP51" s="22" t="e">
        <f>-53.07 + (304.89 * (CO51)) + (90.79 *(Crescimento!#REF!-Crescimento!#REF!)) - (3.13 * (Crescimento!#REF!-Crescimento!#REF!)^2)</f>
        <v>#REF!</v>
      </c>
      <c r="CQ51" s="23"/>
      <c r="CR51" s="21" t="e">
        <f>((CS50+(Crescimento!#REF!-(CS50*0.64))/0.8)/1000)-Crescimento!#REF!</f>
        <v>#REF!</v>
      </c>
      <c r="CS51" s="22" t="e">
        <f>-53.07 + (304.89 * (CR51)) + (90.79 *(Crescimento!#REF!-Crescimento!#REF!)) - (3.13 * (Crescimento!#REF!-Crescimento!#REF!)^2)</f>
        <v>#REF!</v>
      </c>
      <c r="CX51" s="16" t="e">
        <f>((CY50+(Crescimento!#REF!-(CY50*0.64))/0.8)/1000)-Crescimento!#REF!</f>
        <v>#REF!</v>
      </c>
      <c r="CY51" s="17" t="e">
        <f>-53.07 + (304.89 * (CX51)) + (90.79 *(Crescimento!#REF!-Crescimento!#REF!)) - (3.13 * (Crescimento!#REF!-Crescimento!#REF!)^2)</f>
        <v>#REF!</v>
      </c>
      <c r="DA51" s="16" t="e">
        <f>((DB50+(Crescimento!#REF!-(DB50*0.64))/0.8)/1000)-Crescimento!#REF!</f>
        <v>#REF!</v>
      </c>
      <c r="DB51" s="17" t="e">
        <f>-53.07 + (304.89 * (DA51)) + (90.79 *(Crescimento!#REF!-Crescimento!#REF!)) - (3.13 * (Crescimento!#REF!-Crescimento!#REF!)^2)</f>
        <v>#REF!</v>
      </c>
      <c r="DD51" s="16" t="e">
        <f>(DE50+(Crescimento!#REF!-(DE50*0.64))/0.8)/1000</f>
        <v>#REF!</v>
      </c>
      <c r="DE51" s="17" t="e">
        <f>-53.07 + (304.89 * (DD51)) + (90.79 *Crescimento!#REF!) - (3.13 * Crescimento!#REF!*Crescimento!#REF!)</f>
        <v>#REF!</v>
      </c>
      <c r="DG51" s="16" t="e">
        <f>((DH50+(Crescimento!#REF!-(DH50*0.64))/0.8)/1000)-Crescimento!#REF!</f>
        <v>#REF!</v>
      </c>
      <c r="DH51" s="17" t="e">
        <f>-53.07 + (304.89 * (DG51)) + (90.79 *(Crescimento!#REF!-Crescimento!#REF!)) - (3.13 * (Crescimento!#REF!-Crescimento!#REF!)^2)</f>
        <v>#REF!</v>
      </c>
      <c r="DJ51" s="16" t="e">
        <f>((DK50+(Crescimento!#REF!-(DK50*0.64))/0.8)/1000)-Crescimento!#REF!</f>
        <v>#REF!</v>
      </c>
      <c r="DK51" s="17" t="e">
        <f>-53.07 + (304.89 * (DJ51)) + (90.79 *(Crescimento!#REF!-Crescimento!#REF!)) - (3.13 * (Crescimento!#REF!-Crescimento!#REF!)^2)</f>
        <v>#REF!</v>
      </c>
      <c r="DM51" s="16" t="e">
        <f>((DN50+(Crescimento!#REF!-(DN50*0.64))/0.8)/1000)-Crescimento!#REF!</f>
        <v>#REF!</v>
      </c>
      <c r="DN51" s="17" t="e">
        <f>-53.07 + (304.89 * (DM51)) + (90.79 *(Crescimento!#REF!-Crescimento!#REF!)) - (3.13 * (Crescimento!#REF!-Crescimento!#REF!)^2)</f>
        <v>#REF!</v>
      </c>
      <c r="DP51" s="16" t="e">
        <f>(DQ50+(Crescimento!#REF!-(DQ50*0.64))/0.8)/1000</f>
        <v>#REF!</v>
      </c>
      <c r="DQ51" s="17" t="e">
        <f>-53.07 + (304.89 * (DP51)) + (90.79 *(Crescimento!#REF!-Crescimento!#REF!)) - (3.13 * (Crescimento!#REF!-Crescimento!#REF!)^2)</f>
        <v>#REF!</v>
      </c>
      <c r="DS51" s="16" t="e">
        <f>((DT50+(Crescimento!#REF!-(DT50*0.64))/0.8)/1000)-Crescimento!#REF!</f>
        <v>#REF!</v>
      </c>
      <c r="DT51" s="17" t="e">
        <f>-53.07 + (304.89 * (DS51)) + (90.79 *(Crescimento!#REF!-Crescimento!#REF!)) - (3.13 * (Crescimento!#REF!-Crescimento!#REF!)^2)</f>
        <v>#REF!</v>
      </c>
      <c r="DV51" s="16" t="e">
        <f>((DW50+(Crescimento!#REF!-(DW50*0.64))/0.8)/1000)-Crescimento!#REF!</f>
        <v>#REF!</v>
      </c>
      <c r="DW51" s="17" t="e">
        <f>-53.07 + (304.89 * (DV51)) + (90.79 *(Crescimento!#REF!-Crescimento!#REF!)) - (3.13 * (Crescimento!#REF!-Crescimento!#REF!)^2)</f>
        <v>#REF!</v>
      </c>
      <c r="DY51" s="16" t="e">
        <f>((DZ50+(Crescimento!#REF!-(DZ50*0.64))/0.8)/1000)-Crescimento!#REF!</f>
        <v>#REF!</v>
      </c>
      <c r="DZ51" s="17" t="e">
        <f>-53.07 + (304.89 * (DY51)) + (90.79 *(Crescimento!#REF!-Crescimento!#REF!)) - (3.13 * (Crescimento!#REF!-Crescimento!#REF!)^2)</f>
        <v>#REF!</v>
      </c>
      <c r="EB51" s="16" t="e">
        <f>((EC50+(Crescimento!#REF!-(EC50*0.64))/0.8)/1000)-Crescimento!#REF!</f>
        <v>#REF!</v>
      </c>
      <c r="EC51" s="17" t="e">
        <f>-53.07 + (304.89 * (EB51)) + (90.79 *(Crescimento!#REF!-Crescimento!#REF!)) - (3.13 * (Crescimento!#REF!-Crescimento!#REF!)^2)</f>
        <v>#REF!</v>
      </c>
      <c r="EE51" s="16" t="e">
        <f>((EF50+(Crescimento!#REF!-(EF50*0.64))/0.8)/1000)-Crescimento!#REF!</f>
        <v>#REF!</v>
      </c>
      <c r="EF51" s="17" t="e">
        <f>-53.07 + (304.89 * (EE51)) + (90.79 *(Crescimento!#REF!-Crescimento!#REF!)) - (3.13 * (Crescimento!#REF!-Crescimento!#REF!)^2)</f>
        <v>#REF!</v>
      </c>
      <c r="EH51" s="16" t="e">
        <f>((EI50+(Crescimento!#REF!-(EI50*0.64))/0.8)/1000)-Crescimento!#REF!</f>
        <v>#REF!</v>
      </c>
      <c r="EI51" s="17" t="e">
        <f>-53.07 + (304.89 * (EH51)) + (90.79 *(Crescimento!#REF!-Crescimento!#REF!)) - (3.13 * (Crescimento!#REF!-Crescimento!#REF!)^2)</f>
        <v>#REF!</v>
      </c>
      <c r="EK51" s="16" t="e">
        <f>((EL50+(Crescimento!#REF!-(EL50*0.64))/0.8)/1000)-Crescimento!#REF!</f>
        <v>#REF!</v>
      </c>
      <c r="EL51" s="17" t="e">
        <f>-53.07 + (304.89 * (EK51)) + (90.79 *(Crescimento!#REF!-Crescimento!#REF!)) - (3.13 * (Crescimento!#REF!-Crescimento!#REF!)^2)</f>
        <v>#REF!</v>
      </c>
      <c r="EN51" s="16" t="e">
        <f>((EO50+(Crescimento!#REF!-(EO50*0.64))/0.8)/1000)-Crescimento!#REF!</f>
        <v>#REF!</v>
      </c>
      <c r="EO51" s="17" t="e">
        <f>-53.07 + (304.89 * (EN51)) + (90.79 *(Crescimento!#REF!-Crescimento!#REF!)) - (3.13 * (Crescimento!#REF!-Crescimento!#REF!)^2)</f>
        <v>#REF!</v>
      </c>
      <c r="EQ51" s="16" t="e">
        <f>((ER50+(Crescimento!#REF!-(ER50*0.64))/0.8)/1000)-Crescimento!#REF!</f>
        <v>#REF!</v>
      </c>
      <c r="ER51" s="17" t="e">
        <f>-53.07 + (304.89 * (EQ51)) + (90.79 *(Crescimento!#REF!-Crescimento!#REF!)) - (3.13 * (Crescimento!#REF!-Crescimento!#REF!)^2)</f>
        <v>#REF!</v>
      </c>
      <c r="ET51" s="16" t="e">
        <f>((EU50+(Crescimento!#REF!-(EU50*0.64))/0.8)/1000)-Crescimento!#REF!</f>
        <v>#REF!</v>
      </c>
      <c r="EU51" s="17" t="e">
        <f>-53.07 + (304.89 * (ET51)) + (90.79 *(Crescimento!#REF!-Crescimento!#REF!)) - (3.13 * (Crescimento!#REF!-Crescimento!#REF!)^2)</f>
        <v>#REF!</v>
      </c>
      <c r="EW51" s="16" t="e">
        <f>((EX50+('Vacas e Bezerros'!#REF!-(EX50*0.64))/0.8)/1000)-'Vacas e Bezerros'!#REF!</f>
        <v>#REF!</v>
      </c>
      <c r="EX51" s="17" t="e">
        <f>-53.07 + (304.89 * (EW51)) + (90.79 *('Vacas e Bezerros'!#REF!-'Vacas e Bezerros'!#REF!)) - (3.13 * ('Vacas e Bezerros'!#REF!-'Vacas e Bezerros'!#REF!)^2)</f>
        <v>#REF!</v>
      </c>
      <c r="EZ51" s="16" t="e">
        <f>((FA50+('Vacas e Bezerros'!#REF!-(FA50*0.64))/0.8)/1000)-'Vacas e Bezerros'!#REF!</f>
        <v>#REF!</v>
      </c>
      <c r="FA51" s="17" t="e">
        <f>-53.07 + (304.89 * (EZ51)) + (90.79 *('Vacas e Bezerros'!#REF!-'Vacas e Bezerros'!#REF!)) - (3.13 * ('Vacas e Bezerros'!#REF!-'Vacas e Bezerros'!#REF!)^2)</f>
        <v>#REF!</v>
      </c>
      <c r="FC51" s="16" t="e">
        <f>((FD50+('Vacas e Bezerros'!#REF!-(FD50*0.64))/0.8)/1000)-'Vacas e Bezerros'!#REF!</f>
        <v>#REF!</v>
      </c>
      <c r="FD51" s="17" t="e">
        <f>-53.07 + (304.89 * (FC51)) + (90.79 *('Vacas e Bezerros'!#REF!-'Vacas e Bezerros'!#REF!)) - (3.13 * ('Vacas e Bezerros'!#REF!-'Vacas e Bezerros'!#REF!)^2)</f>
        <v>#REF!</v>
      </c>
      <c r="FF51" s="16" t="e">
        <f>((FG50+('Vacas e Bezerros'!#REF!-(FG50*0.64))/0.8)/1000)-'Vacas e Bezerros'!#REF!</f>
        <v>#REF!</v>
      </c>
      <c r="FG51" s="17" t="e">
        <f>-53.07 + (304.89 * (FF51)) + (90.79 *('Vacas e Bezerros'!#REF!-'Vacas e Bezerros'!#REF!)) - (3.13 * ('Vacas e Bezerros'!#REF!-'Vacas e Bezerros'!#REF!)^2)</f>
        <v>#REF!</v>
      </c>
      <c r="FI51" s="16" t="e">
        <f>((FJ50+('Vacas e Bezerros'!#REF!-(FJ50*0.64))/0.8)/1000)-'Vacas e Bezerros'!#REF!</f>
        <v>#REF!</v>
      </c>
      <c r="FJ51" s="17" t="e">
        <f>-53.07 + (304.89 * (FI51)) + (90.79 *('Vacas e Bezerros'!#REF!-'Vacas e Bezerros'!#REF!)) - (3.13 * ('Vacas e Bezerros'!#REF!-'Vacas e Bezerros'!#REF!)^2)</f>
        <v>#REF!</v>
      </c>
      <c r="FL51" s="16" t="e">
        <f>((FM50+('Vacas e Bezerros'!#REF!-(FM50*0.64))/0.8)/1000)-'Vacas e Bezerros'!#REF!</f>
        <v>#REF!</v>
      </c>
      <c r="FM51" s="17" t="e">
        <f>-53.07 + (304.89 * (FL51)) + (90.79 *('Vacas e Bezerros'!#REF!-'Vacas e Bezerros'!#REF!)) - (3.13 * ('Vacas e Bezerros'!#REF!-'Vacas e Bezerros'!#REF!)^2)</f>
        <v>#REF!</v>
      </c>
      <c r="FO51" s="16" t="e">
        <f>((FP50+('Vacas e Bezerros'!#REF!-(FP50*0.64))/0.8)/1000)-'Vacas e Bezerros'!#REF!</f>
        <v>#REF!</v>
      </c>
      <c r="FP51" s="17" t="e">
        <f>-53.07 + (304.89 * (FO51)) + (90.79 *('Vacas e Bezerros'!#REF!-'Vacas e Bezerros'!#REF!)) - (3.13 * ('Vacas e Bezerros'!#REF!-'Vacas e Bezerros'!#REF!)^2)</f>
        <v>#REF!</v>
      </c>
      <c r="FR51" s="16" t="e">
        <f>((FS50+('Vacas e Bezerros'!#REF!-(FS50*0.64))/0.8)/1000)-'Vacas e Bezerros'!#REF!</f>
        <v>#REF!</v>
      </c>
      <c r="FS51" s="17" t="e">
        <f>-53.07 + (304.89 * (FR51)) + (90.79 *('Vacas e Bezerros'!#REF!-'Vacas e Bezerros'!#REF!)) - (3.13 * ('Vacas e Bezerros'!#REF!-'Vacas e Bezerros'!#REF!)^2)</f>
        <v>#REF!</v>
      </c>
      <c r="FU51" s="16" t="e">
        <f>((FV50+('Vacas e Bezerros'!#REF!-(FV50*0.64))/0.8)/1000)-'Vacas e Bezerros'!#REF!</f>
        <v>#REF!</v>
      </c>
      <c r="FV51" s="17" t="e">
        <f>-53.07 + (304.89 * (FU51)) + (90.79 *('Vacas e Bezerros'!#REF!-'Vacas e Bezerros'!#REF!)) - (3.13 * ('Vacas e Bezerros'!#REF!-'Vacas e Bezerros'!#REF!)^2)</f>
        <v>#REF!</v>
      </c>
      <c r="FX51" s="16" t="e">
        <f>((FY50+('Vacas e Bezerros'!#REF!-(FY50*0.64))/0.8)/1000)-'Vacas e Bezerros'!#REF!</f>
        <v>#REF!</v>
      </c>
      <c r="FY51" s="17" t="e">
        <f>-53.07 + (304.89 * (FX51)) + (90.79 *('Vacas e Bezerros'!#REF!-'Vacas e Bezerros'!#REF!)) - (3.13 * ('Vacas e Bezerros'!#REF!-'Vacas e Bezerros'!#REF!)^2)</f>
        <v>#REF!</v>
      </c>
      <c r="GA51" s="16" t="e">
        <f>((GB50+('Vacas e Bezerros'!#REF!-(GB50*0.64))/0.8)/1000)-'Vacas e Bezerros'!#REF!</f>
        <v>#REF!</v>
      </c>
      <c r="GB51" s="17" t="e">
        <f>-53.07 + (304.89 * (GA51)) + (90.79 *('Vacas e Bezerros'!#REF!-'Vacas e Bezerros'!#REF!)) - (3.13 * ('Vacas e Bezerros'!#REF!-'Vacas e Bezerros'!#REF!)^2)</f>
        <v>#REF!</v>
      </c>
      <c r="GD51" s="16" t="e">
        <f>((GE50+('Vacas e Bezerros'!#REF!-(GE50*0.64))/0.8)/1000)-'Vacas e Bezerros'!#REF!</f>
        <v>#REF!</v>
      </c>
      <c r="GE51" s="17" t="e">
        <f>-53.07 + (304.89 * (GD51)) + (90.79 *('Vacas e Bezerros'!#REF!-'Vacas e Bezerros'!#REF!)) - (3.13 * ('Vacas e Bezerros'!#REF!-'Vacas e Bezerros'!#REF!)^2)</f>
        <v>#REF!</v>
      </c>
      <c r="GG51" s="16" t="e">
        <f>((GH50+('Vacas e Bezerros'!#REF!-(GH50*0.64))/0.8)/1000)-'Vacas e Bezerros'!#REF!</f>
        <v>#REF!</v>
      </c>
      <c r="GH51" s="17" t="e">
        <f>-53.07 + (304.89 * (GG51)) + (90.79 *('Vacas e Bezerros'!#REF!-'Vacas e Bezerros'!#REF!)) - (3.13 * ('Vacas e Bezerros'!#REF!-'Vacas e Bezerros'!#REF!)^2)</f>
        <v>#REF!</v>
      </c>
      <c r="GJ51" s="16" t="e">
        <f>((GK50+('Vacas e Bezerros'!#REF!-(GK50*0.64))/0.8)/1000)-'Vacas e Bezerros'!#REF!</f>
        <v>#REF!</v>
      </c>
      <c r="GK51" s="17" t="e">
        <f>-53.07 + (304.89 * (GJ51)) + (90.79 *('Vacas e Bezerros'!#REF!-'Vacas e Bezerros'!#REF!)) - (3.13 * ('Vacas e Bezerros'!#REF!-'Vacas e Bezerros'!#REF!)^2)</f>
        <v>#REF!</v>
      </c>
      <c r="GM51" s="16" t="e">
        <f>((GN50+('Vacas e Bezerros'!#REF!-(GN50*0.64))/0.8)/1000)-'Vacas e Bezerros'!#REF!</f>
        <v>#REF!</v>
      </c>
      <c r="GN51" s="17" t="e">
        <f>-53.07 + (304.89 * (GM51)) + (90.79 *('Vacas e Bezerros'!#REF!-'Vacas e Bezerros'!#REF!)) - (3.13 * ('Vacas e Bezerros'!#REF!-'Vacas e Bezerros'!#REF!)^2)</f>
        <v>#REF!</v>
      </c>
    </row>
    <row r="52" spans="3:196" x14ac:dyDescent="0.25">
      <c r="C52" s="16">
        <f>(D51+('Vacas e Bezerros'!$AA$28-(D51*0.64))/0.8)/1000</f>
        <v>0.35719668016155687</v>
      </c>
      <c r="D52" s="17">
        <f>-53.07 + (304.89 * (C52-'Vacas e Bezerros'!$C$206)) + (90.79 *('Vacas e Bezerros'!$AA$22)) - (3.13 *('Vacas e Bezerros'!$AA$22)^2)</f>
        <v>165.01876457544017</v>
      </c>
      <c r="F52" s="16" t="e">
        <f>(G51+(Crescimento!#REF!-(G51*0.64))/0.8)/1000</f>
        <v>#REF!</v>
      </c>
      <c r="G52" s="17" t="e">
        <f>-53.07 + (304.89 * (F52)) + (90.79 *Crescimento!#REF!) - (3.13 * Crescimento!#REF!*Crescimento!#REF!)</f>
        <v>#REF!</v>
      </c>
      <c r="H52" s="1"/>
      <c r="I52" s="16" t="e">
        <f>(J51+(Crescimento!#REF!-(J51*0.64))/0.8)/1000</f>
        <v>#REF!</v>
      </c>
      <c r="J52" s="17" t="e">
        <f>-53.07 + (304.89 * (I52)) + (90.79 *Crescimento!#REF!) - (3.13 * Crescimento!#REF!*Crescimento!#REF!)</f>
        <v>#REF!</v>
      </c>
      <c r="L52" s="16" t="e">
        <f>(M51+(Crescimento!#REF!-(M51*0.64))/0.8)/1000</f>
        <v>#REF!</v>
      </c>
      <c r="M52" s="17" t="e">
        <f>-53.07 + (304.89 * (L52)) + (90.79 *Crescimento!#REF!) - (3.13 * Crescimento!#REF!*Crescimento!#REF!)</f>
        <v>#REF!</v>
      </c>
      <c r="O52" s="16" t="e">
        <f>(P51+(Crescimento!#REF!-(P51*0.64))/0.8)/1000</f>
        <v>#REF!</v>
      </c>
      <c r="P52" s="17" t="e">
        <f>-53.07 + (304.89 * (O52)) + (90.79 *Crescimento!#REF!) - (3.13 * Crescimento!#REF!*Crescimento!#REF!)</f>
        <v>#REF!</v>
      </c>
      <c r="R52" s="16" t="e">
        <f>(S51+(Crescimento!#REF!-(S51*0.64))/0.8)/1000</f>
        <v>#REF!</v>
      </c>
      <c r="S52" s="17" t="e">
        <f>-53.07 + (304.89 * (R52)) + (90.79 *Crescimento!#REF!) - (3.13 * Crescimento!#REF!*Crescimento!#REF!)</f>
        <v>#REF!</v>
      </c>
      <c r="U52" s="16" t="e">
        <f>(V51+(Crescimento!#REF!-(V51*0.64))/0.8)/1000</f>
        <v>#REF!</v>
      </c>
      <c r="V52" s="17" t="e">
        <f>-53.07 + (304.89 * (U52)) + (90.79 *Crescimento!#REF!) - (3.13 * Crescimento!#REF!*Crescimento!#REF!)</f>
        <v>#REF!</v>
      </c>
      <c r="X52" s="16" t="e">
        <f>(Y51+(Crescimento!#REF!-(Y51*0.64))/0.8)/1000</f>
        <v>#REF!</v>
      </c>
      <c r="Y52" s="17" t="e">
        <f>-53.07 + (304.89 * (X52)) + (90.79 *Crescimento!#REF!) - (3.13 * Crescimento!#REF!*Crescimento!#REF!)</f>
        <v>#REF!</v>
      </c>
      <c r="Z52" s="6"/>
      <c r="AA52" s="16" t="e">
        <f>(AB51+(Crescimento!#REF!-(AB51*0.64))/0.8)/1000</f>
        <v>#REF!</v>
      </c>
      <c r="AB52" s="17" t="e">
        <f>-53.07 + (304.89 * (AA52)) + (90.79 *Crescimento!#REF!) - (3.13 * Crescimento!#REF!*Crescimento!#REF!)</f>
        <v>#REF!</v>
      </c>
      <c r="AC52" s="6"/>
      <c r="AD52" s="16" t="e">
        <f>(AE51+(Crescimento!#REF!-(AE51*0.64))/0.8)/1000</f>
        <v>#REF!</v>
      </c>
      <c r="AE52" s="17" t="e">
        <f>-53.07 + (304.89 * (AD52)) + (90.79 *Crescimento!#REF!) - (3.13 * Crescimento!#REF!*Crescimento!#REF!)</f>
        <v>#REF!</v>
      </c>
      <c r="AF52" s="17"/>
      <c r="AG52" s="16" t="e">
        <f>(AH51+(Crescimento!#REF!-(AH51*0.64))/0.8)/1000</f>
        <v>#REF!</v>
      </c>
      <c r="AH52" s="17" t="e">
        <f>-53.07 + (304.89 * (AG52)) + (90.79 *Crescimento!#REF!) - (3.13 * Crescimento!#REF!*Crescimento!#REF!)</f>
        <v>#REF!</v>
      </c>
      <c r="AJ52" s="16" t="e">
        <f>(AK51+(Crescimento!#REF!-(AK51*0.64))/0.8)/1000</f>
        <v>#REF!</v>
      </c>
      <c r="AK52" s="17" t="e">
        <f>-53.07 + (304.89 * (AJ52)) + (90.79 *Crescimento!#REF!) - (3.13 * Crescimento!#REF!*Crescimento!#REF!)</f>
        <v>#REF!</v>
      </c>
      <c r="AM52" s="16" t="e">
        <f>(AN51+(Crescimento!#REF!-(AN51*0.64))/0.8)/1000</f>
        <v>#REF!</v>
      </c>
      <c r="AN52" s="17" t="e">
        <f>-53.07 + (304.89 * (AM52)) + (90.79 *Crescimento!#REF!) - (3.13 * Crescimento!#REF!*Crescimento!#REF!)</f>
        <v>#REF!</v>
      </c>
      <c r="AP52" s="16" t="e">
        <f>(AQ51+(Crescimento!#REF!-(AQ51*0.64))/0.8)/1000</f>
        <v>#REF!</v>
      </c>
      <c r="AQ52" s="17" t="e">
        <f>-53.07 + (304.89 * (AP52)) + (90.79 *Crescimento!#REF!) - (3.13 * Crescimento!#REF!*Crescimento!#REF!)</f>
        <v>#REF!</v>
      </c>
      <c r="AS52" s="16" t="e">
        <f>(AT51+(Crescimento!#REF!-(AT51*0.64))/0.8)/1000</f>
        <v>#REF!</v>
      </c>
      <c r="AT52" s="17" t="e">
        <f>-53.07 + (304.89 * (AS52)) + (90.79 *Crescimento!#REF!) - (3.13 * Crescimento!#REF!*Crescimento!#REF!)</f>
        <v>#REF!</v>
      </c>
      <c r="AV52" s="16" t="e">
        <f>(AW51+(Crescimento!#REF!-(AW51*0.64))/0.8)/1000</f>
        <v>#REF!</v>
      </c>
      <c r="AW52" s="17" t="e">
        <f>-53.07 + (304.89 * (AV52)) + (90.79 *Crescimento!#REF!) - (3.13 * Crescimento!#REF!*Crescimento!#REF!)</f>
        <v>#REF!</v>
      </c>
      <c r="AY52" s="21" t="e">
        <f>((AZ51+(Crescimento!#REF!-(AZ51*0.64))/0.8)/1000)-Crescimento!#REF!</f>
        <v>#REF!</v>
      </c>
      <c r="AZ52" s="22" t="e">
        <f>-53.07 + (304.89 * (AY52)) + (90.79 *(Crescimento!#REF!-Crescimento!#REF!)) - (3.13 * (Crescimento!#REF!-Crescimento!#REF!)^2)</f>
        <v>#REF!</v>
      </c>
      <c r="BA52" s="23"/>
      <c r="BB52" s="21" t="e">
        <f>((BC51+(Crescimento!#REF!-(BC51*0.64))/0.8)/1000)-Crescimento!#REF!</f>
        <v>#REF!</v>
      </c>
      <c r="BC52" s="22" t="e">
        <f>-53.07 + (304.89 * (BB52)) + (90.79 *(Crescimento!#REF!-Crescimento!#REF!)) - (3.13 * (Crescimento!#REF!-Crescimento!#REF!)^2)</f>
        <v>#REF!</v>
      </c>
      <c r="BD52" s="23"/>
      <c r="BE52" s="21" t="e">
        <f>((BF51+(Crescimento!#REF!-(BF51*0.64))/0.8)/1000)-Crescimento!#REF!</f>
        <v>#REF!</v>
      </c>
      <c r="BF52" s="22" t="e">
        <f>-53.07 + (304.89 * (BE52)) + (90.79 *(Crescimento!#REF!-Crescimento!#REF!)) - (3.13 * (Crescimento!#REF!-Crescimento!#REF!)^2)</f>
        <v>#REF!</v>
      </c>
      <c r="BG52" s="23"/>
      <c r="BH52" s="21" t="e">
        <f>((BI51+(Crescimento!#REF!-(BI51*0.64))/0.8)/1000)-Crescimento!#REF!</f>
        <v>#REF!</v>
      </c>
      <c r="BI52" s="22" t="e">
        <f>-53.07 + (304.89 * (BH52)) + (90.79 *(Crescimento!#REF!-Crescimento!#REF!)) - (3.13 * (Crescimento!#REF!-Crescimento!#REF!)^2)</f>
        <v>#REF!</v>
      </c>
      <c r="BJ52" s="23"/>
      <c r="BK52" s="21" t="e">
        <f>((BL51+(Crescimento!#REF!-(BL51*0.64))/0.8)/1000)-Crescimento!#REF!</f>
        <v>#REF!</v>
      </c>
      <c r="BL52" s="22" t="e">
        <f>-53.07 + (304.89 * (BK52)) + (90.79 *(Crescimento!#REF!-Crescimento!#REF!)) - (3.13 * (Crescimento!#REF!-Crescimento!#REF!)^2)</f>
        <v>#REF!</v>
      </c>
      <c r="BM52" s="23"/>
      <c r="BN52" s="21" t="e">
        <f>((BO51+(Crescimento!#REF!-(BO51*0.64))/0.8)/1000)-Crescimento!#REF!</f>
        <v>#REF!</v>
      </c>
      <c r="BO52" s="22" t="e">
        <f>-53.07 + (304.89 * (BN52)) + (90.79 *(Crescimento!#REF!-Crescimento!#REF!)) - (3.13 * (Crescimento!#REF!-Crescimento!#REF!)^2)</f>
        <v>#REF!</v>
      </c>
      <c r="BP52" s="23"/>
      <c r="BQ52" s="21" t="e">
        <f>((BR51+(Crescimento!#REF!-(BR51*0.64))/0.8)/1000)-Crescimento!#REF!</f>
        <v>#REF!</v>
      </c>
      <c r="BR52" s="22" t="e">
        <f>-53.07 + (304.89 * (BQ52)) + (90.79 *(Crescimento!#REF!-Crescimento!#REF!)) - (3.13 * (Crescimento!#REF!-Crescimento!#REF!)^2)</f>
        <v>#REF!</v>
      </c>
      <c r="BS52" s="23"/>
      <c r="BT52" s="21" t="e">
        <f>((BU51+(Crescimento!#REF!-(BU51*0.64))/0.8)/1000)-Crescimento!#REF!</f>
        <v>#REF!</v>
      </c>
      <c r="BU52" s="22" t="e">
        <f>-53.07 + (304.89 * (BT52)) + (90.79 *(Crescimento!#REF!-Crescimento!#REF!)) - (3.13 * (Crescimento!#REF!-Crescimento!#REF!)^2)</f>
        <v>#REF!</v>
      </c>
      <c r="BV52" s="23"/>
      <c r="BW52" s="21" t="e">
        <f>((BX51+(Crescimento!#REF!-(BX51*0.64))/0.8)/1000)-Crescimento!#REF!</f>
        <v>#REF!</v>
      </c>
      <c r="BX52" s="22" t="e">
        <f>-53.07 + (304.89 * (BW52)) + (90.79 *(Crescimento!#REF!-Crescimento!#REF!)) - (3.13 * (Crescimento!#REF!-Crescimento!#REF!)^2)</f>
        <v>#REF!</v>
      </c>
      <c r="BY52" s="23"/>
      <c r="BZ52" s="21" t="e">
        <f>((CA51+(Crescimento!#REF!-(CA51*0.64))/0.8)/1000)-Crescimento!#REF!</f>
        <v>#REF!</v>
      </c>
      <c r="CA52" s="22" t="e">
        <f>-53.07 + (304.89 * (BZ52)) + (90.79 *(Crescimento!#REF!-Crescimento!#REF!)) - (3.13 * (Crescimento!#REF!-Crescimento!#REF!)^2)</f>
        <v>#REF!</v>
      </c>
      <c r="CB52" s="23"/>
      <c r="CC52" s="21" t="e">
        <f>((CD51+(Crescimento!#REF!-(CD51*0.64))/0.8)/1000)-Crescimento!#REF!</f>
        <v>#REF!</v>
      </c>
      <c r="CD52" s="22" t="e">
        <f>-53.07 + (304.89 * (CC52)) + (90.79 *(Crescimento!#REF!-Crescimento!#REF!)) - (3.13 * (Crescimento!#REF!-Crescimento!#REF!)^2)</f>
        <v>#REF!</v>
      </c>
      <c r="CE52" s="23"/>
      <c r="CF52" s="21" t="e">
        <f>((CG51+(Crescimento!#REF!-(CG51*0.64))/0.8)/1000)-Crescimento!#REF!</f>
        <v>#REF!</v>
      </c>
      <c r="CG52" s="22" t="e">
        <f>-53.07 + (304.89 * (CF52)) + (90.79 *(Crescimento!#REF!-Crescimento!#REF!)) - (3.13 * (Crescimento!#REF!-Crescimento!#REF!)^2)</f>
        <v>#REF!</v>
      </c>
      <c r="CH52" s="23"/>
      <c r="CI52" s="21" t="e">
        <f>((CJ51+(Crescimento!#REF!-(CJ51*0.64))/0.8)/1000)-Crescimento!#REF!</f>
        <v>#REF!</v>
      </c>
      <c r="CJ52" s="22" t="e">
        <f>-53.07 + (304.89 * (CI52)) + (90.79 *(Crescimento!#REF!-Crescimento!#REF!)) - (3.13 * (Crescimento!#REF!-Crescimento!#REF!)^2)</f>
        <v>#REF!</v>
      </c>
      <c r="CK52" s="23"/>
      <c r="CL52" s="21" t="e">
        <f>((CM51+(Crescimento!#REF!-(CM51*0.64))/0.8)/1000)-Crescimento!#REF!</f>
        <v>#REF!</v>
      </c>
      <c r="CM52" s="22" t="e">
        <f>-53.07 + (304.89 * (CL52)) + (90.79 *(Crescimento!#REF!-Crescimento!#REF!)) - (3.13 * (Crescimento!#REF!-Crescimento!#REF!)^2)</f>
        <v>#REF!</v>
      </c>
      <c r="CN52" s="23"/>
      <c r="CO52" s="21" t="e">
        <f>((CP51+(Crescimento!#REF!-(CP51*0.64))/0.8)/1000)-Crescimento!#REF!</f>
        <v>#REF!</v>
      </c>
      <c r="CP52" s="22" t="e">
        <f>-53.07 + (304.89 * (CO52)) + (90.79 *(Crescimento!#REF!-Crescimento!#REF!)) - (3.13 * (Crescimento!#REF!-Crescimento!#REF!)^2)</f>
        <v>#REF!</v>
      </c>
      <c r="CQ52" s="23"/>
      <c r="CR52" s="21" t="e">
        <f>((CS51+(Crescimento!#REF!-(CS51*0.64))/0.8)/1000)-Crescimento!#REF!</f>
        <v>#REF!</v>
      </c>
      <c r="CS52" s="22" t="e">
        <f>-53.07 + (304.89 * (CR52)) + (90.79 *(Crescimento!#REF!-Crescimento!#REF!)) - (3.13 * (Crescimento!#REF!-Crescimento!#REF!)^2)</f>
        <v>#REF!</v>
      </c>
      <c r="CX52" s="16" t="e">
        <f>((CY51+(Crescimento!#REF!-(CY51*0.64))/0.8)/1000)-Crescimento!#REF!</f>
        <v>#REF!</v>
      </c>
      <c r="CY52" s="17" t="e">
        <f>-53.07 + (304.89 * (CX52)) + (90.79 *(Crescimento!#REF!-Crescimento!#REF!)) - (3.13 * (Crescimento!#REF!-Crescimento!#REF!)^2)</f>
        <v>#REF!</v>
      </c>
      <c r="DA52" s="16" t="e">
        <f>((DB51+(Crescimento!#REF!-(DB51*0.64))/0.8)/1000)-Crescimento!#REF!</f>
        <v>#REF!</v>
      </c>
      <c r="DB52" s="17" t="e">
        <f>-53.07 + (304.89 * (DA52)) + (90.79 *(Crescimento!#REF!-Crescimento!#REF!)) - (3.13 * (Crescimento!#REF!-Crescimento!#REF!)^2)</f>
        <v>#REF!</v>
      </c>
      <c r="DD52" s="16" t="e">
        <f>(DE51+(Crescimento!#REF!-(DE51*0.64))/0.8)/1000</f>
        <v>#REF!</v>
      </c>
      <c r="DE52" s="17" t="e">
        <f>-53.07 + (304.89 * (DD52)) + (90.79 *Crescimento!#REF!) - (3.13 * Crescimento!#REF!*Crescimento!#REF!)</f>
        <v>#REF!</v>
      </c>
      <c r="DG52" s="16" t="e">
        <f>((DH51+(Crescimento!#REF!-(DH51*0.64))/0.8)/1000)-Crescimento!#REF!</f>
        <v>#REF!</v>
      </c>
      <c r="DH52" s="17" t="e">
        <f>-53.07 + (304.89 * (DG52)) + (90.79 *(Crescimento!#REF!-Crescimento!#REF!)) - (3.13 * (Crescimento!#REF!-Crescimento!#REF!)^2)</f>
        <v>#REF!</v>
      </c>
      <c r="DJ52" s="16" t="e">
        <f>((DK51+(Crescimento!#REF!-(DK51*0.64))/0.8)/1000)-Crescimento!#REF!</f>
        <v>#REF!</v>
      </c>
      <c r="DK52" s="17" t="e">
        <f>-53.07 + (304.89 * (DJ52)) + (90.79 *(Crescimento!#REF!-Crescimento!#REF!)) - (3.13 * (Crescimento!#REF!-Crescimento!#REF!)^2)</f>
        <v>#REF!</v>
      </c>
      <c r="DM52" s="16" t="e">
        <f>((DN51+(Crescimento!#REF!-(DN51*0.64))/0.8)/1000)-Crescimento!#REF!</f>
        <v>#REF!</v>
      </c>
      <c r="DN52" s="17" t="e">
        <f>-53.07 + (304.89 * (DM52)) + (90.79 *(Crescimento!#REF!-Crescimento!#REF!)) - (3.13 * (Crescimento!#REF!-Crescimento!#REF!)^2)</f>
        <v>#REF!</v>
      </c>
      <c r="DP52" s="16" t="e">
        <f>(DQ51+(Crescimento!#REF!-(DQ51*0.64))/0.8)/1000</f>
        <v>#REF!</v>
      </c>
      <c r="DQ52" s="17" t="e">
        <f>-53.07 + (304.89 * (DP52)) + (90.79 *(Crescimento!#REF!-Crescimento!#REF!)) - (3.13 * (Crescimento!#REF!-Crescimento!#REF!)^2)</f>
        <v>#REF!</v>
      </c>
      <c r="DS52" s="16" t="e">
        <f>((DT51+(Crescimento!#REF!-(DT51*0.64))/0.8)/1000)-Crescimento!#REF!</f>
        <v>#REF!</v>
      </c>
      <c r="DT52" s="17" t="e">
        <f>-53.07 + (304.89 * (DS52)) + (90.79 *(Crescimento!#REF!-Crescimento!#REF!)) - (3.13 * (Crescimento!#REF!-Crescimento!#REF!)^2)</f>
        <v>#REF!</v>
      </c>
      <c r="DV52" s="16" t="e">
        <f>((DW51+(Crescimento!#REF!-(DW51*0.64))/0.8)/1000)-Crescimento!#REF!</f>
        <v>#REF!</v>
      </c>
      <c r="DW52" s="17" t="e">
        <f>-53.07 + (304.89 * (DV52)) + (90.79 *(Crescimento!#REF!-Crescimento!#REF!)) - (3.13 * (Crescimento!#REF!-Crescimento!#REF!)^2)</f>
        <v>#REF!</v>
      </c>
      <c r="DY52" s="16" t="e">
        <f>((DZ51+(Crescimento!#REF!-(DZ51*0.64))/0.8)/1000)-Crescimento!#REF!</f>
        <v>#REF!</v>
      </c>
      <c r="DZ52" s="17" t="e">
        <f>-53.07 + (304.89 * (DY52)) + (90.79 *(Crescimento!#REF!-Crescimento!#REF!)) - (3.13 * (Crescimento!#REF!-Crescimento!#REF!)^2)</f>
        <v>#REF!</v>
      </c>
      <c r="EB52" s="16" t="e">
        <f>((EC51+(Crescimento!#REF!-(EC51*0.64))/0.8)/1000)-Crescimento!#REF!</f>
        <v>#REF!</v>
      </c>
      <c r="EC52" s="17" t="e">
        <f>-53.07 + (304.89 * (EB52)) + (90.79 *(Crescimento!#REF!-Crescimento!#REF!)) - (3.13 * (Crescimento!#REF!-Crescimento!#REF!)^2)</f>
        <v>#REF!</v>
      </c>
      <c r="EE52" s="16" t="e">
        <f>((EF51+(Crescimento!#REF!-(EF51*0.64))/0.8)/1000)-Crescimento!#REF!</f>
        <v>#REF!</v>
      </c>
      <c r="EF52" s="17" t="e">
        <f>-53.07 + (304.89 * (EE52)) + (90.79 *(Crescimento!#REF!-Crescimento!#REF!)) - (3.13 * (Crescimento!#REF!-Crescimento!#REF!)^2)</f>
        <v>#REF!</v>
      </c>
      <c r="EH52" s="16" t="e">
        <f>((EI51+(Crescimento!#REF!-(EI51*0.64))/0.8)/1000)-Crescimento!#REF!</f>
        <v>#REF!</v>
      </c>
      <c r="EI52" s="17" t="e">
        <f>-53.07 + (304.89 * (EH52)) + (90.79 *(Crescimento!#REF!-Crescimento!#REF!)) - (3.13 * (Crescimento!#REF!-Crescimento!#REF!)^2)</f>
        <v>#REF!</v>
      </c>
      <c r="EK52" s="16" t="e">
        <f>((EL51+(Crescimento!#REF!-(EL51*0.64))/0.8)/1000)-Crescimento!#REF!</f>
        <v>#REF!</v>
      </c>
      <c r="EL52" s="17" t="e">
        <f>-53.07 + (304.89 * (EK52)) + (90.79 *(Crescimento!#REF!-Crescimento!#REF!)) - (3.13 * (Crescimento!#REF!-Crescimento!#REF!)^2)</f>
        <v>#REF!</v>
      </c>
      <c r="EN52" s="16" t="e">
        <f>((EO51+(Crescimento!#REF!-(EO51*0.64))/0.8)/1000)-Crescimento!#REF!</f>
        <v>#REF!</v>
      </c>
      <c r="EO52" s="17" t="e">
        <f>-53.07 + (304.89 * (EN52)) + (90.79 *(Crescimento!#REF!-Crescimento!#REF!)) - (3.13 * (Crescimento!#REF!-Crescimento!#REF!)^2)</f>
        <v>#REF!</v>
      </c>
      <c r="EQ52" s="16" t="e">
        <f>((ER51+(Crescimento!#REF!-(ER51*0.64))/0.8)/1000)-Crescimento!#REF!</f>
        <v>#REF!</v>
      </c>
      <c r="ER52" s="17" t="e">
        <f>-53.07 + (304.89 * (EQ52)) + (90.79 *(Crescimento!#REF!-Crescimento!#REF!)) - (3.13 * (Crescimento!#REF!-Crescimento!#REF!)^2)</f>
        <v>#REF!</v>
      </c>
      <c r="ET52" s="16" t="e">
        <f>((EU51+(Crescimento!#REF!-(EU51*0.64))/0.8)/1000)-Crescimento!#REF!</f>
        <v>#REF!</v>
      </c>
      <c r="EU52" s="17" t="e">
        <f>-53.07 + (304.89 * (ET52)) + (90.79 *(Crescimento!#REF!-Crescimento!#REF!)) - (3.13 * (Crescimento!#REF!-Crescimento!#REF!)^2)</f>
        <v>#REF!</v>
      </c>
      <c r="EW52" s="16" t="e">
        <f>((EX51+('Vacas e Bezerros'!#REF!-(EX51*0.64))/0.8)/1000)-'Vacas e Bezerros'!#REF!</f>
        <v>#REF!</v>
      </c>
      <c r="EX52" s="17" t="e">
        <f>-53.07 + (304.89 * (EW52)) + (90.79 *('Vacas e Bezerros'!#REF!-'Vacas e Bezerros'!#REF!)) - (3.13 * ('Vacas e Bezerros'!#REF!-'Vacas e Bezerros'!#REF!)^2)</f>
        <v>#REF!</v>
      </c>
      <c r="EZ52" s="16" t="e">
        <f>((FA51+('Vacas e Bezerros'!#REF!-(FA51*0.64))/0.8)/1000)-'Vacas e Bezerros'!#REF!</f>
        <v>#REF!</v>
      </c>
      <c r="FA52" s="17" t="e">
        <f>-53.07 + (304.89 * (EZ52)) + (90.79 *('Vacas e Bezerros'!#REF!-'Vacas e Bezerros'!#REF!)) - (3.13 * ('Vacas e Bezerros'!#REF!-'Vacas e Bezerros'!#REF!)^2)</f>
        <v>#REF!</v>
      </c>
      <c r="FC52" s="16" t="e">
        <f>((FD51+('Vacas e Bezerros'!#REF!-(FD51*0.64))/0.8)/1000)-'Vacas e Bezerros'!#REF!</f>
        <v>#REF!</v>
      </c>
      <c r="FD52" s="17" t="e">
        <f>-53.07 + (304.89 * (FC52)) + (90.79 *('Vacas e Bezerros'!#REF!-'Vacas e Bezerros'!#REF!)) - (3.13 * ('Vacas e Bezerros'!#REF!-'Vacas e Bezerros'!#REF!)^2)</f>
        <v>#REF!</v>
      </c>
      <c r="FF52" s="16" t="e">
        <f>((FG51+('Vacas e Bezerros'!#REF!-(FG51*0.64))/0.8)/1000)-'Vacas e Bezerros'!#REF!</f>
        <v>#REF!</v>
      </c>
      <c r="FG52" s="17" t="e">
        <f>-53.07 + (304.89 * (FF52)) + (90.79 *('Vacas e Bezerros'!#REF!-'Vacas e Bezerros'!#REF!)) - (3.13 * ('Vacas e Bezerros'!#REF!-'Vacas e Bezerros'!#REF!)^2)</f>
        <v>#REF!</v>
      </c>
      <c r="FI52" s="16" t="e">
        <f>((FJ51+('Vacas e Bezerros'!#REF!-(FJ51*0.64))/0.8)/1000)-'Vacas e Bezerros'!#REF!</f>
        <v>#REF!</v>
      </c>
      <c r="FJ52" s="17" t="e">
        <f>-53.07 + (304.89 * (FI52)) + (90.79 *('Vacas e Bezerros'!#REF!-'Vacas e Bezerros'!#REF!)) - (3.13 * ('Vacas e Bezerros'!#REF!-'Vacas e Bezerros'!#REF!)^2)</f>
        <v>#REF!</v>
      </c>
      <c r="FL52" s="16" t="e">
        <f>((FM51+('Vacas e Bezerros'!#REF!-(FM51*0.64))/0.8)/1000)-'Vacas e Bezerros'!#REF!</f>
        <v>#REF!</v>
      </c>
      <c r="FM52" s="17" t="e">
        <f>-53.07 + (304.89 * (FL52)) + (90.79 *('Vacas e Bezerros'!#REF!-'Vacas e Bezerros'!#REF!)) - (3.13 * ('Vacas e Bezerros'!#REF!-'Vacas e Bezerros'!#REF!)^2)</f>
        <v>#REF!</v>
      </c>
      <c r="FO52" s="16" t="e">
        <f>((FP51+('Vacas e Bezerros'!#REF!-(FP51*0.64))/0.8)/1000)-'Vacas e Bezerros'!#REF!</f>
        <v>#REF!</v>
      </c>
      <c r="FP52" s="17" t="e">
        <f>-53.07 + (304.89 * (FO52)) + (90.79 *('Vacas e Bezerros'!#REF!-'Vacas e Bezerros'!#REF!)) - (3.13 * ('Vacas e Bezerros'!#REF!-'Vacas e Bezerros'!#REF!)^2)</f>
        <v>#REF!</v>
      </c>
      <c r="FR52" s="16" t="e">
        <f>((FS51+('Vacas e Bezerros'!#REF!-(FS51*0.64))/0.8)/1000)-'Vacas e Bezerros'!#REF!</f>
        <v>#REF!</v>
      </c>
      <c r="FS52" s="17" t="e">
        <f>-53.07 + (304.89 * (FR52)) + (90.79 *('Vacas e Bezerros'!#REF!-'Vacas e Bezerros'!#REF!)) - (3.13 * ('Vacas e Bezerros'!#REF!-'Vacas e Bezerros'!#REF!)^2)</f>
        <v>#REF!</v>
      </c>
      <c r="FU52" s="16" t="e">
        <f>((FV51+('Vacas e Bezerros'!#REF!-(FV51*0.64))/0.8)/1000)-'Vacas e Bezerros'!#REF!</f>
        <v>#REF!</v>
      </c>
      <c r="FV52" s="17" t="e">
        <f>-53.07 + (304.89 * (FU52)) + (90.79 *('Vacas e Bezerros'!#REF!-'Vacas e Bezerros'!#REF!)) - (3.13 * ('Vacas e Bezerros'!#REF!-'Vacas e Bezerros'!#REF!)^2)</f>
        <v>#REF!</v>
      </c>
      <c r="FX52" s="16" t="e">
        <f>((FY51+('Vacas e Bezerros'!#REF!-(FY51*0.64))/0.8)/1000)-'Vacas e Bezerros'!#REF!</f>
        <v>#REF!</v>
      </c>
      <c r="FY52" s="17" t="e">
        <f>-53.07 + (304.89 * (FX52)) + (90.79 *('Vacas e Bezerros'!#REF!-'Vacas e Bezerros'!#REF!)) - (3.13 * ('Vacas e Bezerros'!#REF!-'Vacas e Bezerros'!#REF!)^2)</f>
        <v>#REF!</v>
      </c>
      <c r="GA52" s="16" t="e">
        <f>((GB51+('Vacas e Bezerros'!#REF!-(GB51*0.64))/0.8)/1000)-'Vacas e Bezerros'!#REF!</f>
        <v>#REF!</v>
      </c>
      <c r="GB52" s="17" t="e">
        <f>-53.07 + (304.89 * (GA52)) + (90.79 *('Vacas e Bezerros'!#REF!-'Vacas e Bezerros'!#REF!)) - (3.13 * ('Vacas e Bezerros'!#REF!-'Vacas e Bezerros'!#REF!)^2)</f>
        <v>#REF!</v>
      </c>
      <c r="GD52" s="16" t="e">
        <f>((GE51+('Vacas e Bezerros'!#REF!-(GE51*0.64))/0.8)/1000)-'Vacas e Bezerros'!#REF!</f>
        <v>#REF!</v>
      </c>
      <c r="GE52" s="17" t="e">
        <f>-53.07 + (304.89 * (GD52)) + (90.79 *('Vacas e Bezerros'!#REF!-'Vacas e Bezerros'!#REF!)) - (3.13 * ('Vacas e Bezerros'!#REF!-'Vacas e Bezerros'!#REF!)^2)</f>
        <v>#REF!</v>
      </c>
      <c r="GG52" s="16" t="e">
        <f>((GH51+('Vacas e Bezerros'!#REF!-(GH51*0.64))/0.8)/1000)-'Vacas e Bezerros'!#REF!</f>
        <v>#REF!</v>
      </c>
      <c r="GH52" s="17" t="e">
        <f>-53.07 + (304.89 * (GG52)) + (90.79 *('Vacas e Bezerros'!#REF!-'Vacas e Bezerros'!#REF!)) - (3.13 * ('Vacas e Bezerros'!#REF!-'Vacas e Bezerros'!#REF!)^2)</f>
        <v>#REF!</v>
      </c>
      <c r="GJ52" s="16" t="e">
        <f>((GK51+('Vacas e Bezerros'!#REF!-(GK51*0.64))/0.8)/1000)-'Vacas e Bezerros'!#REF!</f>
        <v>#REF!</v>
      </c>
      <c r="GK52" s="17" t="e">
        <f>-53.07 + (304.89 * (GJ52)) + (90.79 *('Vacas e Bezerros'!#REF!-'Vacas e Bezerros'!#REF!)) - (3.13 * ('Vacas e Bezerros'!#REF!-'Vacas e Bezerros'!#REF!)^2)</f>
        <v>#REF!</v>
      </c>
      <c r="GM52" s="16" t="e">
        <f>((GN51+('Vacas e Bezerros'!#REF!-(GN51*0.64))/0.8)/1000)-'Vacas e Bezerros'!#REF!</f>
        <v>#REF!</v>
      </c>
      <c r="GN52" s="17" t="e">
        <f>-53.07 + (304.89 * (GM52)) + (90.79 *('Vacas e Bezerros'!#REF!-'Vacas e Bezerros'!#REF!)) - (3.13 * ('Vacas e Bezerros'!#REF!-'Vacas e Bezerros'!#REF!)^2)</f>
        <v>#REF!</v>
      </c>
    </row>
    <row r="53" spans="3:196" x14ac:dyDescent="0.25">
      <c r="C53" s="16">
        <f>(D52+('Vacas e Bezerros'!$AA$28-(D52*0.64))/0.8)/1000</f>
        <v>0.35719668016155687</v>
      </c>
      <c r="D53" s="17">
        <f>-53.07 + (304.89 * (C53-'Vacas e Bezerros'!$C$206)) + (90.79 *('Vacas e Bezerros'!$AA$22)) - (3.13 *('Vacas e Bezerros'!$AA$22)^2)</f>
        <v>165.01876457544017</v>
      </c>
      <c r="F53" s="16" t="e">
        <f>(G52+(Crescimento!#REF!-(G52*0.64))/0.8)/1000</f>
        <v>#REF!</v>
      </c>
      <c r="G53" s="17" t="e">
        <f>-53.07 + (304.89 * (F53)) + (90.79 *Crescimento!#REF!) - (3.13 * Crescimento!#REF!*Crescimento!#REF!)</f>
        <v>#REF!</v>
      </c>
      <c r="H53" s="1"/>
      <c r="I53" s="16" t="e">
        <f>(J52+(Crescimento!#REF!-(J52*0.64))/0.8)/1000</f>
        <v>#REF!</v>
      </c>
      <c r="J53" s="17" t="e">
        <f>-53.07 + (304.89 * (I53)) + (90.79 *Crescimento!#REF!) - (3.13 * Crescimento!#REF!*Crescimento!#REF!)</f>
        <v>#REF!</v>
      </c>
      <c r="L53" s="16" t="e">
        <f>(M52+(Crescimento!#REF!-(M52*0.64))/0.8)/1000</f>
        <v>#REF!</v>
      </c>
      <c r="M53" s="17" t="e">
        <f>-53.07 + (304.89 * (L53)) + (90.79 *Crescimento!#REF!) - (3.13 * Crescimento!#REF!*Crescimento!#REF!)</f>
        <v>#REF!</v>
      </c>
      <c r="O53" s="16" t="e">
        <f>(P52+(Crescimento!#REF!-(P52*0.64))/0.8)/1000</f>
        <v>#REF!</v>
      </c>
      <c r="P53" s="17" t="e">
        <f>-53.07 + (304.89 * (O53)) + (90.79 *Crescimento!#REF!) - (3.13 * Crescimento!#REF!*Crescimento!#REF!)</f>
        <v>#REF!</v>
      </c>
      <c r="R53" s="16" t="e">
        <f>(S52+(Crescimento!#REF!-(S52*0.64))/0.8)/1000</f>
        <v>#REF!</v>
      </c>
      <c r="S53" s="17" t="e">
        <f>-53.07 + (304.89 * (R53)) + (90.79 *Crescimento!#REF!) - (3.13 * Crescimento!#REF!*Crescimento!#REF!)</f>
        <v>#REF!</v>
      </c>
      <c r="U53" s="16" t="e">
        <f>(V52+(Crescimento!#REF!-(V52*0.64))/0.8)/1000</f>
        <v>#REF!</v>
      </c>
      <c r="V53" s="17" t="e">
        <f>-53.07 + (304.89 * (U53)) + (90.79 *Crescimento!#REF!) - (3.13 * Crescimento!#REF!*Crescimento!#REF!)</f>
        <v>#REF!</v>
      </c>
      <c r="X53" s="16" t="e">
        <f>(Y52+(Crescimento!#REF!-(Y52*0.64))/0.8)/1000</f>
        <v>#REF!</v>
      </c>
      <c r="Y53" s="17" t="e">
        <f>-53.07 + (304.89 * (X53)) + (90.79 *Crescimento!#REF!) - (3.13 * Crescimento!#REF!*Crescimento!#REF!)</f>
        <v>#REF!</v>
      </c>
      <c r="Z53" s="6"/>
      <c r="AA53" s="16" t="e">
        <f>(AB52+(Crescimento!#REF!-(AB52*0.64))/0.8)/1000</f>
        <v>#REF!</v>
      </c>
      <c r="AB53" s="17" t="e">
        <f>-53.07 + (304.89 * (AA53)) + (90.79 *Crescimento!#REF!) - (3.13 * Crescimento!#REF!*Crescimento!#REF!)</f>
        <v>#REF!</v>
      </c>
      <c r="AC53" s="6"/>
      <c r="AD53" s="16" t="e">
        <f>(AE52+(Crescimento!#REF!-(AE52*0.64))/0.8)/1000</f>
        <v>#REF!</v>
      </c>
      <c r="AE53" s="17" t="e">
        <f>-53.07 + (304.89 * (AD53)) + (90.79 *Crescimento!#REF!) - (3.13 * Crescimento!#REF!*Crescimento!#REF!)</f>
        <v>#REF!</v>
      </c>
      <c r="AF53" s="17"/>
      <c r="AG53" s="16" t="e">
        <f>(AH52+(Crescimento!#REF!-(AH52*0.64))/0.8)/1000</f>
        <v>#REF!</v>
      </c>
      <c r="AH53" s="17" t="e">
        <f>-53.07 + (304.89 * (AG53)) + (90.79 *Crescimento!#REF!) - (3.13 * Crescimento!#REF!*Crescimento!#REF!)</f>
        <v>#REF!</v>
      </c>
      <c r="AJ53" s="16" t="e">
        <f>(AK52+(Crescimento!#REF!-(AK52*0.64))/0.8)/1000</f>
        <v>#REF!</v>
      </c>
      <c r="AK53" s="17" t="e">
        <f>-53.07 + (304.89 * (AJ53)) + (90.79 *Crescimento!#REF!) - (3.13 * Crescimento!#REF!*Crescimento!#REF!)</f>
        <v>#REF!</v>
      </c>
      <c r="AM53" s="16" t="e">
        <f>(AN52+(Crescimento!#REF!-(AN52*0.64))/0.8)/1000</f>
        <v>#REF!</v>
      </c>
      <c r="AN53" s="17" t="e">
        <f>-53.07 + (304.89 * (AM53)) + (90.79 *Crescimento!#REF!) - (3.13 * Crescimento!#REF!*Crescimento!#REF!)</f>
        <v>#REF!</v>
      </c>
      <c r="AP53" s="16" t="e">
        <f>(AQ52+(Crescimento!#REF!-(AQ52*0.64))/0.8)/1000</f>
        <v>#REF!</v>
      </c>
      <c r="AQ53" s="17" t="e">
        <f>-53.07 + (304.89 * (AP53)) + (90.79 *Crescimento!#REF!) - (3.13 * Crescimento!#REF!*Crescimento!#REF!)</f>
        <v>#REF!</v>
      </c>
      <c r="AS53" s="16" t="e">
        <f>(AT52+(Crescimento!#REF!-(AT52*0.64))/0.8)/1000</f>
        <v>#REF!</v>
      </c>
      <c r="AT53" s="17" t="e">
        <f>-53.07 + (304.89 * (AS53)) + (90.79 *Crescimento!#REF!) - (3.13 * Crescimento!#REF!*Crescimento!#REF!)</f>
        <v>#REF!</v>
      </c>
      <c r="AV53" s="16" t="e">
        <f>(AW52+(Crescimento!#REF!-(AW52*0.64))/0.8)/1000</f>
        <v>#REF!</v>
      </c>
      <c r="AW53" s="17" t="e">
        <f>-53.07 + (304.89 * (AV53)) + (90.79 *Crescimento!#REF!) - (3.13 * Crescimento!#REF!*Crescimento!#REF!)</f>
        <v>#REF!</v>
      </c>
      <c r="AY53" s="21" t="e">
        <f>((AZ52+(Crescimento!#REF!-(AZ52*0.64))/0.8)/1000)-Crescimento!#REF!</f>
        <v>#REF!</v>
      </c>
      <c r="AZ53" s="22" t="e">
        <f>-53.07 + (304.89 * (AY53)) + (90.79 *(Crescimento!#REF!-Crescimento!#REF!)) - (3.13 * (Crescimento!#REF!-Crescimento!#REF!)^2)</f>
        <v>#REF!</v>
      </c>
      <c r="BA53" s="23"/>
      <c r="BB53" s="21" t="e">
        <f>((BC52+(Crescimento!#REF!-(BC52*0.64))/0.8)/1000)-Crescimento!#REF!</f>
        <v>#REF!</v>
      </c>
      <c r="BC53" s="22" t="e">
        <f>-53.07 + (304.89 * (BB53)) + (90.79 *(Crescimento!#REF!-Crescimento!#REF!)) - (3.13 * (Crescimento!#REF!-Crescimento!#REF!)^2)</f>
        <v>#REF!</v>
      </c>
      <c r="BD53" s="23"/>
      <c r="BE53" s="21" t="e">
        <f>((BF52+(Crescimento!#REF!-(BF52*0.64))/0.8)/1000)-Crescimento!#REF!</f>
        <v>#REF!</v>
      </c>
      <c r="BF53" s="22" t="e">
        <f>-53.07 + (304.89 * (BE53)) + (90.79 *(Crescimento!#REF!-Crescimento!#REF!)) - (3.13 * (Crescimento!#REF!-Crescimento!#REF!)^2)</f>
        <v>#REF!</v>
      </c>
      <c r="BG53" s="23"/>
      <c r="BH53" s="21" t="e">
        <f>((BI52+(Crescimento!#REF!-(BI52*0.64))/0.8)/1000)-Crescimento!#REF!</f>
        <v>#REF!</v>
      </c>
      <c r="BI53" s="22" t="e">
        <f>-53.07 + (304.89 * (BH53)) + (90.79 *(Crescimento!#REF!-Crescimento!#REF!)) - (3.13 * (Crescimento!#REF!-Crescimento!#REF!)^2)</f>
        <v>#REF!</v>
      </c>
      <c r="BJ53" s="23"/>
      <c r="BK53" s="21" t="e">
        <f>((BL52+(Crescimento!#REF!-(BL52*0.64))/0.8)/1000)-Crescimento!#REF!</f>
        <v>#REF!</v>
      </c>
      <c r="BL53" s="22" t="e">
        <f>-53.07 + (304.89 * (BK53)) + (90.79 *(Crescimento!#REF!-Crescimento!#REF!)) - (3.13 * (Crescimento!#REF!-Crescimento!#REF!)^2)</f>
        <v>#REF!</v>
      </c>
      <c r="BM53" s="23"/>
      <c r="BN53" s="21" t="e">
        <f>((BO52+(Crescimento!#REF!-(BO52*0.64))/0.8)/1000)-Crescimento!#REF!</f>
        <v>#REF!</v>
      </c>
      <c r="BO53" s="22" t="e">
        <f>-53.07 + (304.89 * (BN53)) + (90.79 *(Crescimento!#REF!-Crescimento!#REF!)) - (3.13 * (Crescimento!#REF!-Crescimento!#REF!)^2)</f>
        <v>#REF!</v>
      </c>
      <c r="BP53" s="23"/>
      <c r="BQ53" s="21" t="e">
        <f>((BR52+(Crescimento!#REF!-(BR52*0.64))/0.8)/1000)-Crescimento!#REF!</f>
        <v>#REF!</v>
      </c>
      <c r="BR53" s="22" t="e">
        <f>-53.07 + (304.89 * (BQ53)) + (90.79 *(Crescimento!#REF!-Crescimento!#REF!)) - (3.13 * (Crescimento!#REF!-Crescimento!#REF!)^2)</f>
        <v>#REF!</v>
      </c>
      <c r="BS53" s="23"/>
      <c r="BT53" s="21" t="e">
        <f>((BU52+(Crescimento!#REF!-(BU52*0.64))/0.8)/1000)-Crescimento!#REF!</f>
        <v>#REF!</v>
      </c>
      <c r="BU53" s="22" t="e">
        <f>-53.07 + (304.89 * (BT53)) + (90.79 *(Crescimento!#REF!-Crescimento!#REF!)) - (3.13 * (Crescimento!#REF!-Crescimento!#REF!)^2)</f>
        <v>#REF!</v>
      </c>
      <c r="BV53" s="23"/>
      <c r="BW53" s="21" t="e">
        <f>((BX52+(Crescimento!#REF!-(BX52*0.64))/0.8)/1000)-Crescimento!#REF!</f>
        <v>#REF!</v>
      </c>
      <c r="BX53" s="22" t="e">
        <f>-53.07 + (304.89 * (BW53)) + (90.79 *(Crescimento!#REF!-Crescimento!#REF!)) - (3.13 * (Crescimento!#REF!-Crescimento!#REF!)^2)</f>
        <v>#REF!</v>
      </c>
      <c r="BY53" s="23"/>
      <c r="BZ53" s="21" t="e">
        <f>((CA52+(Crescimento!#REF!-(CA52*0.64))/0.8)/1000)-Crescimento!#REF!</f>
        <v>#REF!</v>
      </c>
      <c r="CA53" s="22" t="e">
        <f>-53.07 + (304.89 * (BZ53)) + (90.79 *(Crescimento!#REF!-Crescimento!#REF!)) - (3.13 * (Crescimento!#REF!-Crescimento!#REF!)^2)</f>
        <v>#REF!</v>
      </c>
      <c r="CB53" s="23"/>
      <c r="CC53" s="21" t="e">
        <f>((CD52+(Crescimento!#REF!-(CD52*0.64))/0.8)/1000)-Crescimento!#REF!</f>
        <v>#REF!</v>
      </c>
      <c r="CD53" s="22" t="e">
        <f>-53.07 + (304.89 * (CC53)) + (90.79 *(Crescimento!#REF!-Crescimento!#REF!)) - (3.13 * (Crescimento!#REF!-Crescimento!#REF!)^2)</f>
        <v>#REF!</v>
      </c>
      <c r="CE53" s="23"/>
      <c r="CF53" s="21" t="e">
        <f>((CG52+(Crescimento!#REF!-(CG52*0.64))/0.8)/1000)-Crescimento!#REF!</f>
        <v>#REF!</v>
      </c>
      <c r="CG53" s="22" t="e">
        <f>-53.07 + (304.89 * (CF53)) + (90.79 *(Crescimento!#REF!-Crescimento!#REF!)) - (3.13 * (Crescimento!#REF!-Crescimento!#REF!)^2)</f>
        <v>#REF!</v>
      </c>
      <c r="CH53" s="23"/>
      <c r="CI53" s="21" t="e">
        <f>((CJ52+(Crescimento!#REF!-(CJ52*0.64))/0.8)/1000)-Crescimento!#REF!</f>
        <v>#REF!</v>
      </c>
      <c r="CJ53" s="22" t="e">
        <f>-53.07 + (304.89 * (CI53)) + (90.79 *(Crescimento!#REF!-Crescimento!#REF!)) - (3.13 * (Crescimento!#REF!-Crescimento!#REF!)^2)</f>
        <v>#REF!</v>
      </c>
      <c r="CK53" s="23"/>
      <c r="CL53" s="21" t="e">
        <f>((CM52+(Crescimento!#REF!-(CM52*0.64))/0.8)/1000)-Crescimento!#REF!</f>
        <v>#REF!</v>
      </c>
      <c r="CM53" s="22" t="e">
        <f>-53.07 + (304.89 * (CL53)) + (90.79 *(Crescimento!#REF!-Crescimento!#REF!)) - (3.13 * (Crescimento!#REF!-Crescimento!#REF!)^2)</f>
        <v>#REF!</v>
      </c>
      <c r="CN53" s="23"/>
      <c r="CO53" s="21" t="e">
        <f>((CP52+(Crescimento!#REF!-(CP52*0.64))/0.8)/1000)-Crescimento!#REF!</f>
        <v>#REF!</v>
      </c>
      <c r="CP53" s="22" t="e">
        <f>-53.07 + (304.89 * (CO53)) + (90.79 *(Crescimento!#REF!-Crescimento!#REF!)) - (3.13 * (Crescimento!#REF!-Crescimento!#REF!)^2)</f>
        <v>#REF!</v>
      </c>
      <c r="CQ53" s="23"/>
      <c r="CR53" s="21" t="e">
        <f>((CS52+(Crescimento!#REF!-(CS52*0.64))/0.8)/1000)-Crescimento!#REF!</f>
        <v>#REF!</v>
      </c>
      <c r="CS53" s="22" t="e">
        <f>-53.07 + (304.89 * (CR53)) + (90.79 *(Crescimento!#REF!-Crescimento!#REF!)) - (3.13 * (Crescimento!#REF!-Crescimento!#REF!)^2)</f>
        <v>#REF!</v>
      </c>
      <c r="CX53" s="16" t="e">
        <f>((CY52+(Crescimento!#REF!-(CY52*0.64))/0.8)/1000)-Crescimento!#REF!</f>
        <v>#REF!</v>
      </c>
      <c r="CY53" s="17" t="e">
        <f>-53.07 + (304.89 * (CX53)) + (90.79 *(Crescimento!#REF!-Crescimento!#REF!)) - (3.13 * (Crescimento!#REF!-Crescimento!#REF!)^2)</f>
        <v>#REF!</v>
      </c>
      <c r="DA53" s="16" t="e">
        <f>((DB52+(Crescimento!#REF!-(DB52*0.64))/0.8)/1000)-Crescimento!#REF!</f>
        <v>#REF!</v>
      </c>
      <c r="DB53" s="17" t="e">
        <f>-53.07 + (304.89 * (DA53)) + (90.79 *(Crescimento!#REF!-Crescimento!#REF!)) - (3.13 * (Crescimento!#REF!-Crescimento!#REF!)^2)</f>
        <v>#REF!</v>
      </c>
      <c r="DD53" s="16" t="e">
        <f>(DE52+(Crescimento!#REF!-(DE52*0.64))/0.8)/1000</f>
        <v>#REF!</v>
      </c>
      <c r="DE53" s="17" t="e">
        <f>-53.07 + (304.89 * (DD53)) + (90.79 *Crescimento!#REF!) - (3.13 * Crescimento!#REF!*Crescimento!#REF!)</f>
        <v>#REF!</v>
      </c>
      <c r="DG53" s="16" t="e">
        <f>((DH52+(Crescimento!#REF!-(DH52*0.64))/0.8)/1000)-Crescimento!#REF!</f>
        <v>#REF!</v>
      </c>
      <c r="DH53" s="17" t="e">
        <f>-53.07 + (304.89 * (DG53)) + (90.79 *(Crescimento!#REF!-Crescimento!#REF!)) - (3.13 * (Crescimento!#REF!-Crescimento!#REF!)^2)</f>
        <v>#REF!</v>
      </c>
      <c r="DJ53" s="16" t="e">
        <f>((DK52+(Crescimento!#REF!-(DK52*0.64))/0.8)/1000)-Crescimento!#REF!</f>
        <v>#REF!</v>
      </c>
      <c r="DK53" s="17" t="e">
        <f>-53.07 + (304.89 * (DJ53)) + (90.79 *(Crescimento!#REF!-Crescimento!#REF!)) - (3.13 * (Crescimento!#REF!-Crescimento!#REF!)^2)</f>
        <v>#REF!</v>
      </c>
      <c r="DM53" s="16" t="e">
        <f>((DN52+(Crescimento!#REF!-(DN52*0.64))/0.8)/1000)-Crescimento!#REF!</f>
        <v>#REF!</v>
      </c>
      <c r="DN53" s="17" t="e">
        <f>-53.07 + (304.89 * (DM53)) + (90.79 *(Crescimento!#REF!-Crescimento!#REF!)) - (3.13 * (Crescimento!#REF!-Crescimento!#REF!)^2)</f>
        <v>#REF!</v>
      </c>
      <c r="DP53" s="16" t="e">
        <f>(DQ52+(Crescimento!#REF!-(DQ52*0.64))/0.8)/1000</f>
        <v>#REF!</v>
      </c>
      <c r="DQ53" s="17" t="e">
        <f>-53.07 + (304.89 * (DP53)) + (90.79 *(Crescimento!#REF!-Crescimento!#REF!)) - (3.13 * (Crescimento!#REF!-Crescimento!#REF!)^2)</f>
        <v>#REF!</v>
      </c>
      <c r="DS53" s="16" t="e">
        <f>((DT52+(Crescimento!#REF!-(DT52*0.64))/0.8)/1000)-Crescimento!#REF!</f>
        <v>#REF!</v>
      </c>
      <c r="DT53" s="17" t="e">
        <f>-53.07 + (304.89 * (DS53)) + (90.79 *(Crescimento!#REF!-Crescimento!#REF!)) - (3.13 * (Crescimento!#REF!-Crescimento!#REF!)^2)</f>
        <v>#REF!</v>
      </c>
      <c r="DV53" s="16" t="e">
        <f>((DW52+(Crescimento!#REF!-(DW52*0.64))/0.8)/1000)-Crescimento!#REF!</f>
        <v>#REF!</v>
      </c>
      <c r="DW53" s="17" t="e">
        <f>-53.07 + (304.89 * (DV53)) + (90.79 *(Crescimento!#REF!-Crescimento!#REF!)) - (3.13 * (Crescimento!#REF!-Crescimento!#REF!)^2)</f>
        <v>#REF!</v>
      </c>
      <c r="DY53" s="16" t="e">
        <f>((DZ52+(Crescimento!#REF!-(DZ52*0.64))/0.8)/1000)-Crescimento!#REF!</f>
        <v>#REF!</v>
      </c>
      <c r="DZ53" s="17" t="e">
        <f>-53.07 + (304.89 * (DY53)) + (90.79 *(Crescimento!#REF!-Crescimento!#REF!)) - (3.13 * (Crescimento!#REF!-Crescimento!#REF!)^2)</f>
        <v>#REF!</v>
      </c>
      <c r="EB53" s="16" t="e">
        <f>((EC52+(Crescimento!#REF!-(EC52*0.64))/0.8)/1000)-Crescimento!#REF!</f>
        <v>#REF!</v>
      </c>
      <c r="EC53" s="17" t="e">
        <f>-53.07 + (304.89 * (EB53)) + (90.79 *(Crescimento!#REF!-Crescimento!#REF!)) - (3.13 * (Crescimento!#REF!-Crescimento!#REF!)^2)</f>
        <v>#REF!</v>
      </c>
      <c r="EE53" s="16" t="e">
        <f>((EF52+(Crescimento!#REF!-(EF52*0.64))/0.8)/1000)-Crescimento!#REF!</f>
        <v>#REF!</v>
      </c>
      <c r="EF53" s="17" t="e">
        <f>-53.07 + (304.89 * (EE53)) + (90.79 *(Crescimento!#REF!-Crescimento!#REF!)) - (3.13 * (Crescimento!#REF!-Crescimento!#REF!)^2)</f>
        <v>#REF!</v>
      </c>
      <c r="EH53" s="16" t="e">
        <f>((EI52+(Crescimento!#REF!-(EI52*0.64))/0.8)/1000)-Crescimento!#REF!</f>
        <v>#REF!</v>
      </c>
      <c r="EI53" s="17" t="e">
        <f>-53.07 + (304.89 * (EH53)) + (90.79 *(Crescimento!#REF!-Crescimento!#REF!)) - (3.13 * (Crescimento!#REF!-Crescimento!#REF!)^2)</f>
        <v>#REF!</v>
      </c>
      <c r="EK53" s="16" t="e">
        <f>((EL52+(Crescimento!#REF!-(EL52*0.64))/0.8)/1000)-Crescimento!#REF!</f>
        <v>#REF!</v>
      </c>
      <c r="EL53" s="17" t="e">
        <f>-53.07 + (304.89 * (EK53)) + (90.79 *(Crescimento!#REF!-Crescimento!#REF!)) - (3.13 * (Crescimento!#REF!-Crescimento!#REF!)^2)</f>
        <v>#REF!</v>
      </c>
      <c r="EN53" s="16" t="e">
        <f>((EO52+(Crescimento!#REF!-(EO52*0.64))/0.8)/1000)-Crescimento!#REF!</f>
        <v>#REF!</v>
      </c>
      <c r="EO53" s="17" t="e">
        <f>-53.07 + (304.89 * (EN53)) + (90.79 *(Crescimento!#REF!-Crescimento!#REF!)) - (3.13 * (Crescimento!#REF!-Crescimento!#REF!)^2)</f>
        <v>#REF!</v>
      </c>
      <c r="EQ53" s="16" t="e">
        <f>((ER52+(Crescimento!#REF!-(ER52*0.64))/0.8)/1000)-Crescimento!#REF!</f>
        <v>#REF!</v>
      </c>
      <c r="ER53" s="17" t="e">
        <f>-53.07 + (304.89 * (EQ53)) + (90.79 *(Crescimento!#REF!-Crescimento!#REF!)) - (3.13 * (Crescimento!#REF!-Crescimento!#REF!)^2)</f>
        <v>#REF!</v>
      </c>
      <c r="ET53" s="16" t="e">
        <f>((EU52+(Crescimento!#REF!-(EU52*0.64))/0.8)/1000)-Crescimento!#REF!</f>
        <v>#REF!</v>
      </c>
      <c r="EU53" s="17" t="e">
        <f>-53.07 + (304.89 * (ET53)) + (90.79 *(Crescimento!#REF!-Crescimento!#REF!)) - (3.13 * (Crescimento!#REF!-Crescimento!#REF!)^2)</f>
        <v>#REF!</v>
      </c>
      <c r="EW53" s="16" t="e">
        <f>((EX52+('Vacas e Bezerros'!#REF!-(EX52*0.64))/0.8)/1000)-'Vacas e Bezerros'!#REF!</f>
        <v>#REF!</v>
      </c>
      <c r="EX53" s="17" t="e">
        <f>-53.07 + (304.89 * (EW53)) + (90.79 *('Vacas e Bezerros'!#REF!-'Vacas e Bezerros'!#REF!)) - (3.13 * ('Vacas e Bezerros'!#REF!-'Vacas e Bezerros'!#REF!)^2)</f>
        <v>#REF!</v>
      </c>
      <c r="EZ53" s="16" t="e">
        <f>((FA52+('Vacas e Bezerros'!#REF!-(FA52*0.64))/0.8)/1000)-'Vacas e Bezerros'!#REF!</f>
        <v>#REF!</v>
      </c>
      <c r="FA53" s="17" t="e">
        <f>-53.07 + (304.89 * (EZ53)) + (90.79 *('Vacas e Bezerros'!#REF!-'Vacas e Bezerros'!#REF!)) - (3.13 * ('Vacas e Bezerros'!#REF!-'Vacas e Bezerros'!#REF!)^2)</f>
        <v>#REF!</v>
      </c>
      <c r="FC53" s="16" t="e">
        <f>((FD52+('Vacas e Bezerros'!#REF!-(FD52*0.64))/0.8)/1000)-'Vacas e Bezerros'!#REF!</f>
        <v>#REF!</v>
      </c>
      <c r="FD53" s="17" t="e">
        <f>-53.07 + (304.89 * (FC53)) + (90.79 *('Vacas e Bezerros'!#REF!-'Vacas e Bezerros'!#REF!)) - (3.13 * ('Vacas e Bezerros'!#REF!-'Vacas e Bezerros'!#REF!)^2)</f>
        <v>#REF!</v>
      </c>
      <c r="FF53" s="16" t="e">
        <f>((FG52+('Vacas e Bezerros'!#REF!-(FG52*0.64))/0.8)/1000)-'Vacas e Bezerros'!#REF!</f>
        <v>#REF!</v>
      </c>
      <c r="FG53" s="17" t="e">
        <f>-53.07 + (304.89 * (FF53)) + (90.79 *('Vacas e Bezerros'!#REF!-'Vacas e Bezerros'!#REF!)) - (3.13 * ('Vacas e Bezerros'!#REF!-'Vacas e Bezerros'!#REF!)^2)</f>
        <v>#REF!</v>
      </c>
      <c r="FI53" s="16" t="e">
        <f>((FJ52+('Vacas e Bezerros'!#REF!-(FJ52*0.64))/0.8)/1000)-'Vacas e Bezerros'!#REF!</f>
        <v>#REF!</v>
      </c>
      <c r="FJ53" s="17" t="e">
        <f>-53.07 + (304.89 * (FI53)) + (90.79 *('Vacas e Bezerros'!#REF!-'Vacas e Bezerros'!#REF!)) - (3.13 * ('Vacas e Bezerros'!#REF!-'Vacas e Bezerros'!#REF!)^2)</f>
        <v>#REF!</v>
      </c>
      <c r="FL53" s="16" t="e">
        <f>((FM52+('Vacas e Bezerros'!#REF!-(FM52*0.64))/0.8)/1000)-'Vacas e Bezerros'!#REF!</f>
        <v>#REF!</v>
      </c>
      <c r="FM53" s="17" t="e">
        <f>-53.07 + (304.89 * (FL53)) + (90.79 *('Vacas e Bezerros'!#REF!-'Vacas e Bezerros'!#REF!)) - (3.13 * ('Vacas e Bezerros'!#REF!-'Vacas e Bezerros'!#REF!)^2)</f>
        <v>#REF!</v>
      </c>
      <c r="FO53" s="16" t="e">
        <f>((FP52+('Vacas e Bezerros'!#REF!-(FP52*0.64))/0.8)/1000)-'Vacas e Bezerros'!#REF!</f>
        <v>#REF!</v>
      </c>
      <c r="FP53" s="17" t="e">
        <f>-53.07 + (304.89 * (FO53)) + (90.79 *('Vacas e Bezerros'!#REF!-'Vacas e Bezerros'!#REF!)) - (3.13 * ('Vacas e Bezerros'!#REF!-'Vacas e Bezerros'!#REF!)^2)</f>
        <v>#REF!</v>
      </c>
      <c r="FR53" s="16" t="e">
        <f>((FS52+('Vacas e Bezerros'!#REF!-(FS52*0.64))/0.8)/1000)-'Vacas e Bezerros'!#REF!</f>
        <v>#REF!</v>
      </c>
      <c r="FS53" s="17" t="e">
        <f>-53.07 + (304.89 * (FR53)) + (90.79 *('Vacas e Bezerros'!#REF!-'Vacas e Bezerros'!#REF!)) - (3.13 * ('Vacas e Bezerros'!#REF!-'Vacas e Bezerros'!#REF!)^2)</f>
        <v>#REF!</v>
      </c>
      <c r="FU53" s="16" t="e">
        <f>((FV52+('Vacas e Bezerros'!#REF!-(FV52*0.64))/0.8)/1000)-'Vacas e Bezerros'!#REF!</f>
        <v>#REF!</v>
      </c>
      <c r="FV53" s="17" t="e">
        <f>-53.07 + (304.89 * (FU53)) + (90.79 *('Vacas e Bezerros'!#REF!-'Vacas e Bezerros'!#REF!)) - (3.13 * ('Vacas e Bezerros'!#REF!-'Vacas e Bezerros'!#REF!)^2)</f>
        <v>#REF!</v>
      </c>
      <c r="FX53" s="16" t="e">
        <f>((FY52+('Vacas e Bezerros'!#REF!-(FY52*0.64))/0.8)/1000)-'Vacas e Bezerros'!#REF!</f>
        <v>#REF!</v>
      </c>
      <c r="FY53" s="17" t="e">
        <f>-53.07 + (304.89 * (FX53)) + (90.79 *('Vacas e Bezerros'!#REF!-'Vacas e Bezerros'!#REF!)) - (3.13 * ('Vacas e Bezerros'!#REF!-'Vacas e Bezerros'!#REF!)^2)</f>
        <v>#REF!</v>
      </c>
      <c r="GA53" s="16" t="e">
        <f>((GB52+('Vacas e Bezerros'!#REF!-(GB52*0.64))/0.8)/1000)-'Vacas e Bezerros'!#REF!</f>
        <v>#REF!</v>
      </c>
      <c r="GB53" s="17" t="e">
        <f>-53.07 + (304.89 * (GA53)) + (90.79 *('Vacas e Bezerros'!#REF!-'Vacas e Bezerros'!#REF!)) - (3.13 * ('Vacas e Bezerros'!#REF!-'Vacas e Bezerros'!#REF!)^2)</f>
        <v>#REF!</v>
      </c>
      <c r="GD53" s="16" t="e">
        <f>((GE52+('Vacas e Bezerros'!#REF!-(GE52*0.64))/0.8)/1000)-'Vacas e Bezerros'!#REF!</f>
        <v>#REF!</v>
      </c>
      <c r="GE53" s="17" t="e">
        <f>-53.07 + (304.89 * (GD53)) + (90.79 *('Vacas e Bezerros'!#REF!-'Vacas e Bezerros'!#REF!)) - (3.13 * ('Vacas e Bezerros'!#REF!-'Vacas e Bezerros'!#REF!)^2)</f>
        <v>#REF!</v>
      </c>
      <c r="GG53" s="16" t="e">
        <f>((GH52+('Vacas e Bezerros'!#REF!-(GH52*0.64))/0.8)/1000)-'Vacas e Bezerros'!#REF!</f>
        <v>#REF!</v>
      </c>
      <c r="GH53" s="17" t="e">
        <f>-53.07 + (304.89 * (GG53)) + (90.79 *('Vacas e Bezerros'!#REF!-'Vacas e Bezerros'!#REF!)) - (3.13 * ('Vacas e Bezerros'!#REF!-'Vacas e Bezerros'!#REF!)^2)</f>
        <v>#REF!</v>
      </c>
      <c r="GJ53" s="16" t="e">
        <f>((GK52+('Vacas e Bezerros'!#REF!-(GK52*0.64))/0.8)/1000)-'Vacas e Bezerros'!#REF!</f>
        <v>#REF!</v>
      </c>
      <c r="GK53" s="17" t="e">
        <f>-53.07 + (304.89 * (GJ53)) + (90.79 *('Vacas e Bezerros'!#REF!-'Vacas e Bezerros'!#REF!)) - (3.13 * ('Vacas e Bezerros'!#REF!-'Vacas e Bezerros'!#REF!)^2)</f>
        <v>#REF!</v>
      </c>
      <c r="GM53" s="16" t="e">
        <f>((GN52+('Vacas e Bezerros'!#REF!-(GN52*0.64))/0.8)/1000)-'Vacas e Bezerros'!#REF!</f>
        <v>#REF!</v>
      </c>
      <c r="GN53" s="17" t="e">
        <f>-53.07 + (304.89 * (GM53)) + (90.79 *('Vacas e Bezerros'!#REF!-'Vacas e Bezerros'!#REF!)) - (3.13 * ('Vacas e Bezerros'!#REF!-'Vacas e Bezerros'!#REF!)^2)</f>
        <v>#REF!</v>
      </c>
    </row>
    <row r="54" spans="3:196" x14ac:dyDescent="0.25">
      <c r="C54" s="16">
        <f>(D53+('Vacas e Bezerros'!$AA$28-(D53*0.64))/0.8)/1000</f>
        <v>0.35719668016155687</v>
      </c>
      <c r="D54" s="17">
        <f>-53.07 + (304.89 * (C54-'Vacas e Bezerros'!$C$206)) + (90.79 *('Vacas e Bezerros'!$AA$22)) - (3.13 *('Vacas e Bezerros'!$AA$22)^2)</f>
        <v>165.01876457544017</v>
      </c>
      <c r="F54" s="16" t="e">
        <f>(G53+(Crescimento!#REF!-(G53*0.64))/0.8)/1000</f>
        <v>#REF!</v>
      </c>
      <c r="G54" s="17" t="e">
        <f>-53.07 + (304.89 * (F54)) + (90.79 *Crescimento!#REF!) - (3.13 * Crescimento!#REF!*Crescimento!#REF!)</f>
        <v>#REF!</v>
      </c>
      <c r="H54" s="1"/>
      <c r="I54" s="16" t="e">
        <f>(J53+(Crescimento!#REF!-(J53*0.64))/0.8)/1000</f>
        <v>#REF!</v>
      </c>
      <c r="J54" s="17" t="e">
        <f>-53.07 + (304.89 * (I54)) + (90.79 *Crescimento!#REF!) - (3.13 * Crescimento!#REF!*Crescimento!#REF!)</f>
        <v>#REF!</v>
      </c>
      <c r="L54" s="16" t="e">
        <f>(M53+(Crescimento!#REF!-(M53*0.64))/0.8)/1000</f>
        <v>#REF!</v>
      </c>
      <c r="M54" s="17" t="e">
        <f>-53.07 + (304.89 * (L54)) + (90.79 *Crescimento!#REF!) - (3.13 * Crescimento!#REF!*Crescimento!#REF!)</f>
        <v>#REF!</v>
      </c>
      <c r="O54" s="16" t="e">
        <f>(P53+(Crescimento!#REF!-(P53*0.64))/0.8)/1000</f>
        <v>#REF!</v>
      </c>
      <c r="P54" s="17" t="e">
        <f>-53.07 + (304.89 * (O54)) + (90.79 *Crescimento!#REF!) - (3.13 * Crescimento!#REF!*Crescimento!#REF!)</f>
        <v>#REF!</v>
      </c>
      <c r="R54" s="16" t="e">
        <f>(S53+(Crescimento!#REF!-(S53*0.64))/0.8)/1000</f>
        <v>#REF!</v>
      </c>
      <c r="S54" s="17" t="e">
        <f>-53.07 + (304.89 * (R54)) + (90.79 *Crescimento!#REF!) - (3.13 * Crescimento!#REF!*Crescimento!#REF!)</f>
        <v>#REF!</v>
      </c>
      <c r="U54" s="16" t="e">
        <f>(V53+(Crescimento!#REF!-(V53*0.64))/0.8)/1000</f>
        <v>#REF!</v>
      </c>
      <c r="V54" s="17" t="e">
        <f>-53.07 + (304.89 * (U54)) + (90.79 *Crescimento!#REF!) - (3.13 * Crescimento!#REF!*Crescimento!#REF!)</f>
        <v>#REF!</v>
      </c>
      <c r="X54" s="16" t="e">
        <f>(Y53+(Crescimento!#REF!-(Y53*0.64))/0.8)/1000</f>
        <v>#REF!</v>
      </c>
      <c r="Y54" s="17" t="e">
        <f>-53.07 + (304.89 * (X54)) + (90.79 *Crescimento!#REF!) - (3.13 * Crescimento!#REF!*Crescimento!#REF!)</f>
        <v>#REF!</v>
      </c>
      <c r="Z54" s="6"/>
      <c r="AA54" s="16" t="e">
        <f>(AB53+(Crescimento!#REF!-(AB53*0.64))/0.8)/1000</f>
        <v>#REF!</v>
      </c>
      <c r="AB54" s="17" t="e">
        <f>-53.07 + (304.89 * (AA54)) + (90.79 *Crescimento!#REF!) - (3.13 * Crescimento!#REF!*Crescimento!#REF!)</f>
        <v>#REF!</v>
      </c>
      <c r="AC54" s="6"/>
      <c r="AD54" s="16" t="e">
        <f>(AE53+(Crescimento!#REF!-(AE53*0.64))/0.8)/1000</f>
        <v>#REF!</v>
      </c>
      <c r="AE54" s="17" t="e">
        <f>-53.07 + (304.89 * (AD54)) + (90.79 *Crescimento!#REF!) - (3.13 * Crescimento!#REF!*Crescimento!#REF!)</f>
        <v>#REF!</v>
      </c>
      <c r="AF54" s="17"/>
      <c r="AG54" s="16" t="e">
        <f>(AH53+(Crescimento!#REF!-(AH53*0.64))/0.8)/1000</f>
        <v>#REF!</v>
      </c>
      <c r="AH54" s="17" t="e">
        <f>-53.07 + (304.89 * (AG54)) + (90.79 *Crescimento!#REF!) - (3.13 * Crescimento!#REF!*Crescimento!#REF!)</f>
        <v>#REF!</v>
      </c>
      <c r="AJ54" s="16" t="e">
        <f>(AK53+(Crescimento!#REF!-(AK53*0.64))/0.8)/1000</f>
        <v>#REF!</v>
      </c>
      <c r="AK54" s="17" t="e">
        <f>-53.07 + (304.89 * (AJ54)) + (90.79 *Crescimento!#REF!) - (3.13 * Crescimento!#REF!*Crescimento!#REF!)</f>
        <v>#REF!</v>
      </c>
      <c r="AM54" s="16" t="e">
        <f>(AN53+(Crescimento!#REF!-(AN53*0.64))/0.8)/1000</f>
        <v>#REF!</v>
      </c>
      <c r="AN54" s="17" t="e">
        <f>-53.07 + (304.89 * (AM54)) + (90.79 *Crescimento!#REF!) - (3.13 * Crescimento!#REF!*Crescimento!#REF!)</f>
        <v>#REF!</v>
      </c>
      <c r="AP54" s="16" t="e">
        <f>(AQ53+(Crescimento!#REF!-(AQ53*0.64))/0.8)/1000</f>
        <v>#REF!</v>
      </c>
      <c r="AQ54" s="17" t="e">
        <f>-53.07 + (304.89 * (AP54)) + (90.79 *Crescimento!#REF!) - (3.13 * Crescimento!#REF!*Crescimento!#REF!)</f>
        <v>#REF!</v>
      </c>
      <c r="AS54" s="16" t="e">
        <f>(AT53+(Crescimento!#REF!-(AT53*0.64))/0.8)/1000</f>
        <v>#REF!</v>
      </c>
      <c r="AT54" s="17" t="e">
        <f>-53.07 + (304.89 * (AS54)) + (90.79 *Crescimento!#REF!) - (3.13 * Crescimento!#REF!*Crescimento!#REF!)</f>
        <v>#REF!</v>
      </c>
      <c r="AV54" s="16" t="e">
        <f>(AW53+(Crescimento!#REF!-(AW53*0.64))/0.8)/1000</f>
        <v>#REF!</v>
      </c>
      <c r="AW54" s="17" t="e">
        <f>-53.07 + (304.89 * (AV54)) + (90.79 *Crescimento!#REF!) - (3.13 * Crescimento!#REF!*Crescimento!#REF!)</f>
        <v>#REF!</v>
      </c>
      <c r="AY54" s="21" t="e">
        <f>((AZ53+(Crescimento!#REF!-(AZ53*0.64))/0.8)/1000)-Crescimento!#REF!</f>
        <v>#REF!</v>
      </c>
      <c r="AZ54" s="22" t="e">
        <f>-53.07 + (304.89 * (AY54)) + (90.79 *(Crescimento!#REF!-Crescimento!#REF!)) - (3.13 * (Crescimento!#REF!-Crescimento!#REF!)^2)</f>
        <v>#REF!</v>
      </c>
      <c r="BA54" s="23"/>
      <c r="BB54" s="21" t="e">
        <f>((BC53+(Crescimento!#REF!-(BC53*0.64))/0.8)/1000)-Crescimento!#REF!</f>
        <v>#REF!</v>
      </c>
      <c r="BC54" s="22" t="e">
        <f>-53.07 + (304.89 * (BB54)) + (90.79 *(Crescimento!#REF!-Crescimento!#REF!)) - (3.13 * (Crescimento!#REF!-Crescimento!#REF!)^2)</f>
        <v>#REF!</v>
      </c>
      <c r="BD54" s="23"/>
      <c r="BE54" s="21" t="e">
        <f>((BF53+(Crescimento!#REF!-(BF53*0.64))/0.8)/1000)-Crescimento!#REF!</f>
        <v>#REF!</v>
      </c>
      <c r="BF54" s="22" t="e">
        <f>-53.07 + (304.89 * (BE54)) + (90.79 *(Crescimento!#REF!-Crescimento!#REF!)) - (3.13 * (Crescimento!#REF!-Crescimento!#REF!)^2)</f>
        <v>#REF!</v>
      </c>
      <c r="BG54" s="23"/>
      <c r="BH54" s="21" t="e">
        <f>((BI53+(Crescimento!#REF!-(BI53*0.64))/0.8)/1000)-Crescimento!#REF!</f>
        <v>#REF!</v>
      </c>
      <c r="BI54" s="22" t="e">
        <f>-53.07 + (304.89 * (BH54)) + (90.79 *(Crescimento!#REF!-Crescimento!#REF!)) - (3.13 * (Crescimento!#REF!-Crescimento!#REF!)^2)</f>
        <v>#REF!</v>
      </c>
      <c r="BJ54" s="23"/>
      <c r="BK54" s="21" t="e">
        <f>((BL53+(Crescimento!#REF!-(BL53*0.64))/0.8)/1000)-Crescimento!#REF!</f>
        <v>#REF!</v>
      </c>
      <c r="BL54" s="22" t="e">
        <f>-53.07 + (304.89 * (BK54)) + (90.79 *(Crescimento!#REF!-Crescimento!#REF!)) - (3.13 * (Crescimento!#REF!-Crescimento!#REF!)^2)</f>
        <v>#REF!</v>
      </c>
      <c r="BM54" s="23"/>
      <c r="BN54" s="21" t="e">
        <f>((BO53+(Crescimento!#REF!-(BO53*0.64))/0.8)/1000)-Crescimento!#REF!</f>
        <v>#REF!</v>
      </c>
      <c r="BO54" s="22" t="e">
        <f>-53.07 + (304.89 * (BN54)) + (90.79 *(Crescimento!#REF!-Crescimento!#REF!)) - (3.13 * (Crescimento!#REF!-Crescimento!#REF!)^2)</f>
        <v>#REF!</v>
      </c>
      <c r="BP54" s="23"/>
      <c r="BQ54" s="21" t="e">
        <f>((BR53+(Crescimento!#REF!-(BR53*0.64))/0.8)/1000)-Crescimento!#REF!</f>
        <v>#REF!</v>
      </c>
      <c r="BR54" s="22" t="e">
        <f>-53.07 + (304.89 * (BQ54)) + (90.79 *(Crescimento!#REF!-Crescimento!#REF!)) - (3.13 * (Crescimento!#REF!-Crescimento!#REF!)^2)</f>
        <v>#REF!</v>
      </c>
      <c r="BS54" s="23"/>
      <c r="BT54" s="21" t="e">
        <f>((BU53+(Crescimento!#REF!-(BU53*0.64))/0.8)/1000)-Crescimento!#REF!</f>
        <v>#REF!</v>
      </c>
      <c r="BU54" s="22" t="e">
        <f>-53.07 + (304.89 * (BT54)) + (90.79 *(Crescimento!#REF!-Crescimento!#REF!)) - (3.13 * (Crescimento!#REF!-Crescimento!#REF!)^2)</f>
        <v>#REF!</v>
      </c>
      <c r="BV54" s="23"/>
      <c r="BW54" s="21" t="e">
        <f>((BX53+(Crescimento!#REF!-(BX53*0.64))/0.8)/1000)-Crescimento!#REF!</f>
        <v>#REF!</v>
      </c>
      <c r="BX54" s="22" t="e">
        <f>-53.07 + (304.89 * (BW54)) + (90.79 *(Crescimento!#REF!-Crescimento!#REF!)) - (3.13 * (Crescimento!#REF!-Crescimento!#REF!)^2)</f>
        <v>#REF!</v>
      </c>
      <c r="BY54" s="23"/>
      <c r="BZ54" s="21" t="e">
        <f>((CA53+(Crescimento!#REF!-(CA53*0.64))/0.8)/1000)-Crescimento!#REF!</f>
        <v>#REF!</v>
      </c>
      <c r="CA54" s="22" t="e">
        <f>-53.07 + (304.89 * (BZ54)) + (90.79 *(Crescimento!#REF!-Crescimento!#REF!)) - (3.13 * (Crescimento!#REF!-Crescimento!#REF!)^2)</f>
        <v>#REF!</v>
      </c>
      <c r="CB54" s="23"/>
      <c r="CC54" s="21" t="e">
        <f>((CD53+(Crescimento!#REF!-(CD53*0.64))/0.8)/1000)-Crescimento!#REF!</f>
        <v>#REF!</v>
      </c>
      <c r="CD54" s="22" t="e">
        <f>-53.07 + (304.89 * (CC54)) + (90.79 *(Crescimento!#REF!-Crescimento!#REF!)) - (3.13 * (Crescimento!#REF!-Crescimento!#REF!)^2)</f>
        <v>#REF!</v>
      </c>
      <c r="CE54" s="23"/>
      <c r="CF54" s="21" t="e">
        <f>((CG53+(Crescimento!#REF!-(CG53*0.64))/0.8)/1000)-Crescimento!#REF!</f>
        <v>#REF!</v>
      </c>
      <c r="CG54" s="22" t="e">
        <f>-53.07 + (304.89 * (CF54)) + (90.79 *(Crescimento!#REF!-Crescimento!#REF!)) - (3.13 * (Crescimento!#REF!-Crescimento!#REF!)^2)</f>
        <v>#REF!</v>
      </c>
      <c r="CH54" s="23"/>
      <c r="CI54" s="21" t="e">
        <f>((CJ53+(Crescimento!#REF!-(CJ53*0.64))/0.8)/1000)-Crescimento!#REF!</f>
        <v>#REF!</v>
      </c>
      <c r="CJ54" s="22" t="e">
        <f>-53.07 + (304.89 * (CI54)) + (90.79 *(Crescimento!#REF!-Crescimento!#REF!)) - (3.13 * (Crescimento!#REF!-Crescimento!#REF!)^2)</f>
        <v>#REF!</v>
      </c>
      <c r="CK54" s="23"/>
      <c r="CL54" s="21" t="e">
        <f>((CM53+(Crescimento!#REF!-(CM53*0.64))/0.8)/1000)-Crescimento!#REF!</f>
        <v>#REF!</v>
      </c>
      <c r="CM54" s="22" t="e">
        <f>-53.07 + (304.89 * (CL54)) + (90.79 *(Crescimento!#REF!-Crescimento!#REF!)) - (3.13 * (Crescimento!#REF!-Crescimento!#REF!)^2)</f>
        <v>#REF!</v>
      </c>
      <c r="CN54" s="23"/>
      <c r="CO54" s="21" t="e">
        <f>((CP53+(Crescimento!#REF!-(CP53*0.64))/0.8)/1000)-Crescimento!#REF!</f>
        <v>#REF!</v>
      </c>
      <c r="CP54" s="22" t="e">
        <f>-53.07 + (304.89 * (CO54)) + (90.79 *(Crescimento!#REF!-Crescimento!#REF!)) - (3.13 * (Crescimento!#REF!-Crescimento!#REF!)^2)</f>
        <v>#REF!</v>
      </c>
      <c r="CQ54" s="23"/>
      <c r="CR54" s="21" t="e">
        <f>((CS53+(Crescimento!#REF!-(CS53*0.64))/0.8)/1000)-Crescimento!#REF!</f>
        <v>#REF!</v>
      </c>
      <c r="CS54" s="22" t="e">
        <f>-53.07 + (304.89 * (CR54)) + (90.79 *(Crescimento!#REF!-Crescimento!#REF!)) - (3.13 * (Crescimento!#REF!-Crescimento!#REF!)^2)</f>
        <v>#REF!</v>
      </c>
      <c r="CX54" s="16" t="e">
        <f>((CY53+(Crescimento!#REF!-(CY53*0.64))/0.8)/1000)-Crescimento!#REF!</f>
        <v>#REF!</v>
      </c>
      <c r="CY54" s="17" t="e">
        <f>-53.07 + (304.89 * (CX54)) + (90.79 *(Crescimento!#REF!-Crescimento!#REF!)) - (3.13 * (Crescimento!#REF!-Crescimento!#REF!)^2)</f>
        <v>#REF!</v>
      </c>
      <c r="DA54" s="16" t="e">
        <f>((DB53+(Crescimento!#REF!-(DB53*0.64))/0.8)/1000)-Crescimento!#REF!</f>
        <v>#REF!</v>
      </c>
      <c r="DB54" s="17" t="e">
        <f>-53.07 + (304.89 * (DA54)) + (90.79 *(Crescimento!#REF!-Crescimento!#REF!)) - (3.13 * (Crescimento!#REF!-Crescimento!#REF!)^2)</f>
        <v>#REF!</v>
      </c>
      <c r="DD54" s="16" t="e">
        <f>(DE53+(Crescimento!#REF!-(DE53*0.64))/0.8)/1000</f>
        <v>#REF!</v>
      </c>
      <c r="DE54" s="17" t="e">
        <f>-53.07 + (304.89 * (DD54)) + (90.79 *Crescimento!#REF!) - (3.13 * Crescimento!#REF!*Crescimento!#REF!)</f>
        <v>#REF!</v>
      </c>
      <c r="DG54" s="16" t="e">
        <f>((DH53+(Crescimento!#REF!-(DH53*0.64))/0.8)/1000)-Crescimento!#REF!</f>
        <v>#REF!</v>
      </c>
      <c r="DH54" s="17" t="e">
        <f>-53.07 + (304.89 * (DG54)) + (90.79 *(Crescimento!#REF!-Crescimento!#REF!)) - (3.13 * (Crescimento!#REF!-Crescimento!#REF!)^2)</f>
        <v>#REF!</v>
      </c>
      <c r="DJ54" s="16" t="e">
        <f>((DK53+(Crescimento!#REF!-(DK53*0.64))/0.8)/1000)-Crescimento!#REF!</f>
        <v>#REF!</v>
      </c>
      <c r="DK54" s="17" t="e">
        <f>-53.07 + (304.89 * (DJ54)) + (90.79 *(Crescimento!#REF!-Crescimento!#REF!)) - (3.13 * (Crescimento!#REF!-Crescimento!#REF!)^2)</f>
        <v>#REF!</v>
      </c>
      <c r="DM54" s="16" t="e">
        <f>((DN53+(Crescimento!#REF!-(DN53*0.64))/0.8)/1000)-Crescimento!#REF!</f>
        <v>#REF!</v>
      </c>
      <c r="DN54" s="17" t="e">
        <f>-53.07 + (304.89 * (DM54)) + (90.79 *(Crescimento!#REF!-Crescimento!#REF!)) - (3.13 * (Crescimento!#REF!-Crescimento!#REF!)^2)</f>
        <v>#REF!</v>
      </c>
      <c r="DP54" s="16" t="e">
        <f>(DQ53+(Crescimento!#REF!-(DQ53*0.64))/0.8)/1000</f>
        <v>#REF!</v>
      </c>
      <c r="DQ54" s="17" t="e">
        <f>-53.07 + (304.89 * (DP54)) + (90.79 *(Crescimento!#REF!-Crescimento!#REF!)) - (3.13 * (Crescimento!#REF!-Crescimento!#REF!)^2)</f>
        <v>#REF!</v>
      </c>
      <c r="DS54" s="16" t="e">
        <f>((DT53+(Crescimento!#REF!-(DT53*0.64))/0.8)/1000)-Crescimento!#REF!</f>
        <v>#REF!</v>
      </c>
      <c r="DT54" s="17" t="e">
        <f>-53.07 + (304.89 * (DS54)) + (90.79 *(Crescimento!#REF!-Crescimento!#REF!)) - (3.13 * (Crescimento!#REF!-Crescimento!#REF!)^2)</f>
        <v>#REF!</v>
      </c>
      <c r="DV54" s="16" t="e">
        <f>((DW53+(Crescimento!#REF!-(DW53*0.64))/0.8)/1000)-Crescimento!#REF!</f>
        <v>#REF!</v>
      </c>
      <c r="DW54" s="17" t="e">
        <f>-53.07 + (304.89 * (DV54)) + (90.79 *(Crescimento!#REF!-Crescimento!#REF!)) - (3.13 * (Crescimento!#REF!-Crescimento!#REF!)^2)</f>
        <v>#REF!</v>
      </c>
      <c r="DY54" s="16" t="e">
        <f>((DZ53+(Crescimento!#REF!-(DZ53*0.64))/0.8)/1000)-Crescimento!#REF!</f>
        <v>#REF!</v>
      </c>
      <c r="DZ54" s="17" t="e">
        <f>-53.07 + (304.89 * (DY54)) + (90.79 *(Crescimento!#REF!-Crescimento!#REF!)) - (3.13 * (Crescimento!#REF!-Crescimento!#REF!)^2)</f>
        <v>#REF!</v>
      </c>
      <c r="EB54" s="16" t="e">
        <f>((EC53+(Crescimento!#REF!-(EC53*0.64))/0.8)/1000)-Crescimento!#REF!</f>
        <v>#REF!</v>
      </c>
      <c r="EC54" s="17" t="e">
        <f>-53.07 + (304.89 * (EB54)) + (90.79 *(Crescimento!#REF!-Crescimento!#REF!)) - (3.13 * (Crescimento!#REF!-Crescimento!#REF!)^2)</f>
        <v>#REF!</v>
      </c>
      <c r="EE54" s="16" t="e">
        <f>((EF53+(Crescimento!#REF!-(EF53*0.64))/0.8)/1000)-Crescimento!#REF!</f>
        <v>#REF!</v>
      </c>
      <c r="EF54" s="17" t="e">
        <f>-53.07 + (304.89 * (EE54)) + (90.79 *(Crescimento!#REF!-Crescimento!#REF!)) - (3.13 * (Crescimento!#REF!-Crescimento!#REF!)^2)</f>
        <v>#REF!</v>
      </c>
      <c r="EH54" s="16" t="e">
        <f>((EI53+(Crescimento!#REF!-(EI53*0.64))/0.8)/1000)-Crescimento!#REF!</f>
        <v>#REF!</v>
      </c>
      <c r="EI54" s="17" t="e">
        <f>-53.07 + (304.89 * (EH54)) + (90.79 *(Crescimento!#REF!-Crescimento!#REF!)) - (3.13 * (Crescimento!#REF!-Crescimento!#REF!)^2)</f>
        <v>#REF!</v>
      </c>
      <c r="EK54" s="16" t="e">
        <f>((EL53+(Crescimento!#REF!-(EL53*0.64))/0.8)/1000)-Crescimento!#REF!</f>
        <v>#REF!</v>
      </c>
      <c r="EL54" s="17" t="e">
        <f>-53.07 + (304.89 * (EK54)) + (90.79 *(Crescimento!#REF!-Crescimento!#REF!)) - (3.13 * (Crescimento!#REF!-Crescimento!#REF!)^2)</f>
        <v>#REF!</v>
      </c>
      <c r="EN54" s="16" t="e">
        <f>((EO53+(Crescimento!#REF!-(EO53*0.64))/0.8)/1000)-Crescimento!#REF!</f>
        <v>#REF!</v>
      </c>
      <c r="EO54" s="17" t="e">
        <f>-53.07 + (304.89 * (EN54)) + (90.79 *(Crescimento!#REF!-Crescimento!#REF!)) - (3.13 * (Crescimento!#REF!-Crescimento!#REF!)^2)</f>
        <v>#REF!</v>
      </c>
      <c r="EQ54" s="16" t="e">
        <f>((ER53+(Crescimento!#REF!-(ER53*0.64))/0.8)/1000)-Crescimento!#REF!</f>
        <v>#REF!</v>
      </c>
      <c r="ER54" s="17" t="e">
        <f>-53.07 + (304.89 * (EQ54)) + (90.79 *(Crescimento!#REF!-Crescimento!#REF!)) - (3.13 * (Crescimento!#REF!-Crescimento!#REF!)^2)</f>
        <v>#REF!</v>
      </c>
      <c r="ET54" s="16" t="e">
        <f>((EU53+(Crescimento!#REF!-(EU53*0.64))/0.8)/1000)-Crescimento!#REF!</f>
        <v>#REF!</v>
      </c>
      <c r="EU54" s="17" t="e">
        <f>-53.07 + (304.89 * (ET54)) + (90.79 *(Crescimento!#REF!-Crescimento!#REF!)) - (3.13 * (Crescimento!#REF!-Crescimento!#REF!)^2)</f>
        <v>#REF!</v>
      </c>
      <c r="EW54" s="16" t="e">
        <f>((EX53+('Vacas e Bezerros'!#REF!-(EX53*0.64))/0.8)/1000)-'Vacas e Bezerros'!#REF!</f>
        <v>#REF!</v>
      </c>
      <c r="EX54" s="17" t="e">
        <f>-53.07 + (304.89 * (EW54)) + (90.79 *('Vacas e Bezerros'!#REF!-'Vacas e Bezerros'!#REF!)) - (3.13 * ('Vacas e Bezerros'!#REF!-'Vacas e Bezerros'!#REF!)^2)</f>
        <v>#REF!</v>
      </c>
      <c r="EZ54" s="16" t="e">
        <f>((FA53+('Vacas e Bezerros'!#REF!-(FA53*0.64))/0.8)/1000)-'Vacas e Bezerros'!#REF!</f>
        <v>#REF!</v>
      </c>
      <c r="FA54" s="17" t="e">
        <f>-53.07 + (304.89 * (EZ54)) + (90.79 *('Vacas e Bezerros'!#REF!-'Vacas e Bezerros'!#REF!)) - (3.13 * ('Vacas e Bezerros'!#REF!-'Vacas e Bezerros'!#REF!)^2)</f>
        <v>#REF!</v>
      </c>
      <c r="FC54" s="16" t="e">
        <f>((FD53+('Vacas e Bezerros'!#REF!-(FD53*0.64))/0.8)/1000)-'Vacas e Bezerros'!#REF!</f>
        <v>#REF!</v>
      </c>
      <c r="FD54" s="17" t="e">
        <f>-53.07 + (304.89 * (FC54)) + (90.79 *('Vacas e Bezerros'!#REF!-'Vacas e Bezerros'!#REF!)) - (3.13 * ('Vacas e Bezerros'!#REF!-'Vacas e Bezerros'!#REF!)^2)</f>
        <v>#REF!</v>
      </c>
      <c r="FF54" s="16" t="e">
        <f>((FG53+('Vacas e Bezerros'!#REF!-(FG53*0.64))/0.8)/1000)-'Vacas e Bezerros'!#REF!</f>
        <v>#REF!</v>
      </c>
      <c r="FG54" s="17" t="e">
        <f>-53.07 + (304.89 * (FF54)) + (90.79 *('Vacas e Bezerros'!#REF!-'Vacas e Bezerros'!#REF!)) - (3.13 * ('Vacas e Bezerros'!#REF!-'Vacas e Bezerros'!#REF!)^2)</f>
        <v>#REF!</v>
      </c>
      <c r="FI54" s="16" t="e">
        <f>((FJ53+('Vacas e Bezerros'!#REF!-(FJ53*0.64))/0.8)/1000)-'Vacas e Bezerros'!#REF!</f>
        <v>#REF!</v>
      </c>
      <c r="FJ54" s="17" t="e">
        <f>-53.07 + (304.89 * (FI54)) + (90.79 *('Vacas e Bezerros'!#REF!-'Vacas e Bezerros'!#REF!)) - (3.13 * ('Vacas e Bezerros'!#REF!-'Vacas e Bezerros'!#REF!)^2)</f>
        <v>#REF!</v>
      </c>
      <c r="FL54" s="16" t="e">
        <f>((FM53+('Vacas e Bezerros'!#REF!-(FM53*0.64))/0.8)/1000)-'Vacas e Bezerros'!#REF!</f>
        <v>#REF!</v>
      </c>
      <c r="FM54" s="17" t="e">
        <f>-53.07 + (304.89 * (FL54)) + (90.79 *('Vacas e Bezerros'!#REF!-'Vacas e Bezerros'!#REF!)) - (3.13 * ('Vacas e Bezerros'!#REF!-'Vacas e Bezerros'!#REF!)^2)</f>
        <v>#REF!</v>
      </c>
      <c r="FO54" s="16" t="e">
        <f>((FP53+('Vacas e Bezerros'!#REF!-(FP53*0.64))/0.8)/1000)-'Vacas e Bezerros'!#REF!</f>
        <v>#REF!</v>
      </c>
      <c r="FP54" s="17" t="e">
        <f>-53.07 + (304.89 * (FO54)) + (90.79 *('Vacas e Bezerros'!#REF!-'Vacas e Bezerros'!#REF!)) - (3.13 * ('Vacas e Bezerros'!#REF!-'Vacas e Bezerros'!#REF!)^2)</f>
        <v>#REF!</v>
      </c>
      <c r="FR54" s="16" t="e">
        <f>((FS53+('Vacas e Bezerros'!#REF!-(FS53*0.64))/0.8)/1000)-'Vacas e Bezerros'!#REF!</f>
        <v>#REF!</v>
      </c>
      <c r="FS54" s="17" t="e">
        <f>-53.07 + (304.89 * (FR54)) + (90.79 *('Vacas e Bezerros'!#REF!-'Vacas e Bezerros'!#REF!)) - (3.13 * ('Vacas e Bezerros'!#REF!-'Vacas e Bezerros'!#REF!)^2)</f>
        <v>#REF!</v>
      </c>
      <c r="FU54" s="16" t="e">
        <f>((FV53+('Vacas e Bezerros'!#REF!-(FV53*0.64))/0.8)/1000)-'Vacas e Bezerros'!#REF!</f>
        <v>#REF!</v>
      </c>
      <c r="FV54" s="17" t="e">
        <f>-53.07 + (304.89 * (FU54)) + (90.79 *('Vacas e Bezerros'!#REF!-'Vacas e Bezerros'!#REF!)) - (3.13 * ('Vacas e Bezerros'!#REF!-'Vacas e Bezerros'!#REF!)^2)</f>
        <v>#REF!</v>
      </c>
      <c r="FX54" s="16" t="e">
        <f>((FY53+('Vacas e Bezerros'!#REF!-(FY53*0.64))/0.8)/1000)-'Vacas e Bezerros'!#REF!</f>
        <v>#REF!</v>
      </c>
      <c r="FY54" s="17" t="e">
        <f>-53.07 + (304.89 * (FX54)) + (90.79 *('Vacas e Bezerros'!#REF!-'Vacas e Bezerros'!#REF!)) - (3.13 * ('Vacas e Bezerros'!#REF!-'Vacas e Bezerros'!#REF!)^2)</f>
        <v>#REF!</v>
      </c>
      <c r="GA54" s="16" t="e">
        <f>((GB53+('Vacas e Bezerros'!#REF!-(GB53*0.64))/0.8)/1000)-'Vacas e Bezerros'!#REF!</f>
        <v>#REF!</v>
      </c>
      <c r="GB54" s="17" t="e">
        <f>-53.07 + (304.89 * (GA54)) + (90.79 *('Vacas e Bezerros'!#REF!-'Vacas e Bezerros'!#REF!)) - (3.13 * ('Vacas e Bezerros'!#REF!-'Vacas e Bezerros'!#REF!)^2)</f>
        <v>#REF!</v>
      </c>
      <c r="GD54" s="16" t="e">
        <f>((GE53+('Vacas e Bezerros'!#REF!-(GE53*0.64))/0.8)/1000)-'Vacas e Bezerros'!#REF!</f>
        <v>#REF!</v>
      </c>
      <c r="GE54" s="17" t="e">
        <f>-53.07 + (304.89 * (GD54)) + (90.79 *('Vacas e Bezerros'!#REF!-'Vacas e Bezerros'!#REF!)) - (3.13 * ('Vacas e Bezerros'!#REF!-'Vacas e Bezerros'!#REF!)^2)</f>
        <v>#REF!</v>
      </c>
      <c r="GG54" s="16" t="e">
        <f>((GH53+('Vacas e Bezerros'!#REF!-(GH53*0.64))/0.8)/1000)-'Vacas e Bezerros'!#REF!</f>
        <v>#REF!</v>
      </c>
      <c r="GH54" s="17" t="e">
        <f>-53.07 + (304.89 * (GG54)) + (90.79 *('Vacas e Bezerros'!#REF!-'Vacas e Bezerros'!#REF!)) - (3.13 * ('Vacas e Bezerros'!#REF!-'Vacas e Bezerros'!#REF!)^2)</f>
        <v>#REF!</v>
      </c>
      <c r="GJ54" s="16" t="e">
        <f>((GK53+('Vacas e Bezerros'!#REF!-(GK53*0.64))/0.8)/1000)-'Vacas e Bezerros'!#REF!</f>
        <v>#REF!</v>
      </c>
      <c r="GK54" s="17" t="e">
        <f>-53.07 + (304.89 * (GJ54)) + (90.79 *('Vacas e Bezerros'!#REF!-'Vacas e Bezerros'!#REF!)) - (3.13 * ('Vacas e Bezerros'!#REF!-'Vacas e Bezerros'!#REF!)^2)</f>
        <v>#REF!</v>
      </c>
      <c r="GM54" s="16" t="e">
        <f>((GN53+('Vacas e Bezerros'!#REF!-(GN53*0.64))/0.8)/1000)-'Vacas e Bezerros'!#REF!</f>
        <v>#REF!</v>
      </c>
      <c r="GN54" s="17" t="e">
        <f>-53.07 + (304.89 * (GM54)) + (90.79 *('Vacas e Bezerros'!#REF!-'Vacas e Bezerros'!#REF!)) - (3.13 * ('Vacas e Bezerros'!#REF!-'Vacas e Bezerros'!#REF!)^2)</f>
        <v>#REF!</v>
      </c>
    </row>
    <row r="55" spans="3:196" x14ac:dyDescent="0.25">
      <c r="C55" s="16">
        <f>(D54+('Vacas e Bezerros'!$AA$28-(D54*0.64))/0.8)/1000</f>
        <v>0.35719668016155687</v>
      </c>
      <c r="D55" s="17">
        <f>-53.07 + (304.89 * (C55-'Vacas e Bezerros'!$C$206)) + (90.79 *('Vacas e Bezerros'!$AA$22)) - (3.13 *('Vacas e Bezerros'!$AA$22)^2)</f>
        <v>165.01876457544017</v>
      </c>
      <c r="F55" s="16" t="e">
        <f>(G54+(Crescimento!#REF!-(G54*0.64))/0.8)/1000</f>
        <v>#REF!</v>
      </c>
      <c r="G55" s="17" t="e">
        <f>-53.07 + (304.89 * (F55)) + (90.79 *Crescimento!#REF!) - (3.13 * Crescimento!#REF!*Crescimento!#REF!)</f>
        <v>#REF!</v>
      </c>
      <c r="H55" s="1"/>
      <c r="I55" s="16" t="e">
        <f>(J54+(Crescimento!#REF!-(J54*0.64))/0.8)/1000</f>
        <v>#REF!</v>
      </c>
      <c r="J55" s="17" t="e">
        <f>-53.07 + (304.89 * (I55)) + (90.79 *Crescimento!#REF!) - (3.13 * Crescimento!#REF!*Crescimento!#REF!)</f>
        <v>#REF!</v>
      </c>
      <c r="L55" s="16" t="e">
        <f>(M54+(Crescimento!#REF!-(M54*0.64))/0.8)/1000</f>
        <v>#REF!</v>
      </c>
      <c r="M55" s="17" t="e">
        <f>-53.07 + (304.89 * (L55)) + (90.79 *Crescimento!#REF!) - (3.13 * Crescimento!#REF!*Crescimento!#REF!)</f>
        <v>#REF!</v>
      </c>
      <c r="O55" s="16" t="e">
        <f>(P54+(Crescimento!#REF!-(P54*0.64))/0.8)/1000</f>
        <v>#REF!</v>
      </c>
      <c r="P55" s="17" t="e">
        <f>-53.07 + (304.89 * (O55)) + (90.79 *Crescimento!#REF!) - (3.13 * Crescimento!#REF!*Crescimento!#REF!)</f>
        <v>#REF!</v>
      </c>
      <c r="R55" s="16" t="e">
        <f>(S54+(Crescimento!#REF!-(S54*0.64))/0.8)/1000</f>
        <v>#REF!</v>
      </c>
      <c r="S55" s="17" t="e">
        <f>-53.07 + (304.89 * (R55)) + (90.79 *Crescimento!#REF!) - (3.13 * Crescimento!#REF!*Crescimento!#REF!)</f>
        <v>#REF!</v>
      </c>
      <c r="U55" s="16" t="e">
        <f>(V54+(Crescimento!#REF!-(V54*0.64))/0.8)/1000</f>
        <v>#REF!</v>
      </c>
      <c r="V55" s="17" t="e">
        <f>-53.07 + (304.89 * (U55)) + (90.79 *Crescimento!#REF!) - (3.13 * Crescimento!#REF!*Crescimento!#REF!)</f>
        <v>#REF!</v>
      </c>
      <c r="X55" s="16" t="e">
        <f>(Y54+(Crescimento!#REF!-(Y54*0.64))/0.8)/1000</f>
        <v>#REF!</v>
      </c>
      <c r="Y55" s="17" t="e">
        <f>-53.07 + (304.89 * (X55)) + (90.79 *Crescimento!#REF!) - (3.13 * Crescimento!#REF!*Crescimento!#REF!)</f>
        <v>#REF!</v>
      </c>
      <c r="Z55" s="6"/>
      <c r="AA55" s="16" t="e">
        <f>(AB54+(Crescimento!#REF!-(AB54*0.64))/0.8)/1000</f>
        <v>#REF!</v>
      </c>
      <c r="AB55" s="17" t="e">
        <f>-53.07 + (304.89 * (AA55)) + (90.79 *Crescimento!#REF!) - (3.13 * Crescimento!#REF!*Crescimento!#REF!)</f>
        <v>#REF!</v>
      </c>
      <c r="AC55" s="6"/>
      <c r="AD55" s="16" t="e">
        <f>(AE54+(Crescimento!#REF!-(AE54*0.64))/0.8)/1000</f>
        <v>#REF!</v>
      </c>
      <c r="AE55" s="17" t="e">
        <f>-53.07 + (304.89 * (AD55)) + (90.79 *Crescimento!#REF!) - (3.13 * Crescimento!#REF!*Crescimento!#REF!)</f>
        <v>#REF!</v>
      </c>
      <c r="AF55" s="17"/>
      <c r="AG55" s="16" t="e">
        <f>(AH54+(Crescimento!#REF!-(AH54*0.64))/0.8)/1000</f>
        <v>#REF!</v>
      </c>
      <c r="AH55" s="17" t="e">
        <f>-53.07 + (304.89 * (AG55)) + (90.79 *Crescimento!#REF!) - (3.13 * Crescimento!#REF!*Crescimento!#REF!)</f>
        <v>#REF!</v>
      </c>
      <c r="AJ55" s="16" t="e">
        <f>(AK54+(Crescimento!#REF!-(AK54*0.64))/0.8)/1000</f>
        <v>#REF!</v>
      </c>
      <c r="AK55" s="17" t="e">
        <f>-53.07 + (304.89 * (AJ55)) + (90.79 *Crescimento!#REF!) - (3.13 * Crescimento!#REF!*Crescimento!#REF!)</f>
        <v>#REF!</v>
      </c>
      <c r="AM55" s="16" t="e">
        <f>(AN54+(Crescimento!#REF!-(AN54*0.64))/0.8)/1000</f>
        <v>#REF!</v>
      </c>
      <c r="AN55" s="17" t="e">
        <f>-53.07 + (304.89 * (AM55)) + (90.79 *Crescimento!#REF!) - (3.13 * Crescimento!#REF!*Crescimento!#REF!)</f>
        <v>#REF!</v>
      </c>
      <c r="AP55" s="16" t="e">
        <f>(AQ54+(Crescimento!#REF!-(AQ54*0.64))/0.8)/1000</f>
        <v>#REF!</v>
      </c>
      <c r="AQ55" s="17" t="e">
        <f>-53.07 + (304.89 * (AP55)) + (90.79 *Crescimento!#REF!) - (3.13 * Crescimento!#REF!*Crescimento!#REF!)</f>
        <v>#REF!</v>
      </c>
      <c r="AS55" s="16" t="e">
        <f>(AT54+(Crescimento!#REF!-(AT54*0.64))/0.8)/1000</f>
        <v>#REF!</v>
      </c>
      <c r="AT55" s="17" t="e">
        <f>-53.07 + (304.89 * (AS55)) + (90.79 *Crescimento!#REF!) - (3.13 * Crescimento!#REF!*Crescimento!#REF!)</f>
        <v>#REF!</v>
      </c>
      <c r="AV55" s="16" t="e">
        <f>(AW54+(Crescimento!#REF!-(AW54*0.64))/0.8)/1000</f>
        <v>#REF!</v>
      </c>
      <c r="AW55" s="17" t="e">
        <f>-53.07 + (304.89 * (AV55)) + (90.79 *Crescimento!#REF!) - (3.13 * Crescimento!#REF!*Crescimento!#REF!)</f>
        <v>#REF!</v>
      </c>
      <c r="AY55" s="21" t="e">
        <f>((AZ54+(Crescimento!#REF!-(AZ54*0.64))/0.8)/1000)-Crescimento!#REF!</f>
        <v>#REF!</v>
      </c>
      <c r="AZ55" s="22" t="e">
        <f>-53.07 + (304.89 * (AY55)) + (90.79 *(Crescimento!#REF!-Crescimento!#REF!)) - (3.13 * (Crescimento!#REF!-Crescimento!#REF!)^2)</f>
        <v>#REF!</v>
      </c>
      <c r="BA55" s="23"/>
      <c r="BB55" s="21" t="e">
        <f>((BC54+(Crescimento!#REF!-(BC54*0.64))/0.8)/1000)-Crescimento!#REF!</f>
        <v>#REF!</v>
      </c>
      <c r="BC55" s="22" t="e">
        <f>-53.07 + (304.89 * (BB55)) + (90.79 *(Crescimento!#REF!-Crescimento!#REF!)) - (3.13 * (Crescimento!#REF!-Crescimento!#REF!)^2)</f>
        <v>#REF!</v>
      </c>
      <c r="BD55" s="23"/>
      <c r="BE55" s="21" t="e">
        <f>((BF54+(Crescimento!#REF!-(BF54*0.64))/0.8)/1000)-Crescimento!#REF!</f>
        <v>#REF!</v>
      </c>
      <c r="BF55" s="22" t="e">
        <f>-53.07 + (304.89 * (BE55)) + (90.79 *(Crescimento!#REF!-Crescimento!#REF!)) - (3.13 * (Crescimento!#REF!-Crescimento!#REF!)^2)</f>
        <v>#REF!</v>
      </c>
      <c r="BG55" s="23"/>
      <c r="BH55" s="21" t="e">
        <f>((BI54+(Crescimento!#REF!-(BI54*0.64))/0.8)/1000)-Crescimento!#REF!</f>
        <v>#REF!</v>
      </c>
      <c r="BI55" s="22" t="e">
        <f>-53.07 + (304.89 * (BH55)) + (90.79 *(Crescimento!#REF!-Crescimento!#REF!)) - (3.13 * (Crescimento!#REF!-Crescimento!#REF!)^2)</f>
        <v>#REF!</v>
      </c>
      <c r="BJ55" s="23"/>
      <c r="BK55" s="21" t="e">
        <f>((BL54+(Crescimento!#REF!-(BL54*0.64))/0.8)/1000)-Crescimento!#REF!</f>
        <v>#REF!</v>
      </c>
      <c r="BL55" s="22" t="e">
        <f>-53.07 + (304.89 * (BK55)) + (90.79 *(Crescimento!#REF!-Crescimento!#REF!)) - (3.13 * (Crescimento!#REF!-Crescimento!#REF!)^2)</f>
        <v>#REF!</v>
      </c>
      <c r="BM55" s="23"/>
      <c r="BN55" s="21" t="e">
        <f>((BO54+(Crescimento!#REF!-(BO54*0.64))/0.8)/1000)-Crescimento!#REF!</f>
        <v>#REF!</v>
      </c>
      <c r="BO55" s="22" t="e">
        <f>-53.07 + (304.89 * (BN55)) + (90.79 *(Crescimento!#REF!-Crescimento!#REF!)) - (3.13 * (Crescimento!#REF!-Crescimento!#REF!)^2)</f>
        <v>#REF!</v>
      </c>
      <c r="BP55" s="23"/>
      <c r="BQ55" s="21" t="e">
        <f>((BR54+(Crescimento!#REF!-(BR54*0.64))/0.8)/1000)-Crescimento!#REF!</f>
        <v>#REF!</v>
      </c>
      <c r="BR55" s="22" t="e">
        <f>-53.07 + (304.89 * (BQ55)) + (90.79 *(Crescimento!#REF!-Crescimento!#REF!)) - (3.13 * (Crescimento!#REF!-Crescimento!#REF!)^2)</f>
        <v>#REF!</v>
      </c>
      <c r="BS55" s="23"/>
      <c r="BT55" s="21" t="e">
        <f>((BU54+(Crescimento!#REF!-(BU54*0.64))/0.8)/1000)-Crescimento!#REF!</f>
        <v>#REF!</v>
      </c>
      <c r="BU55" s="22" t="e">
        <f>-53.07 + (304.89 * (BT55)) + (90.79 *(Crescimento!#REF!-Crescimento!#REF!)) - (3.13 * (Crescimento!#REF!-Crescimento!#REF!)^2)</f>
        <v>#REF!</v>
      </c>
      <c r="BV55" s="23"/>
      <c r="BW55" s="21" t="e">
        <f>((BX54+(Crescimento!#REF!-(BX54*0.64))/0.8)/1000)-Crescimento!#REF!</f>
        <v>#REF!</v>
      </c>
      <c r="BX55" s="22" t="e">
        <f>-53.07 + (304.89 * (BW55)) + (90.79 *(Crescimento!#REF!-Crescimento!#REF!)) - (3.13 * (Crescimento!#REF!-Crescimento!#REF!)^2)</f>
        <v>#REF!</v>
      </c>
      <c r="BY55" s="23"/>
      <c r="BZ55" s="21" t="e">
        <f>((CA54+(Crescimento!#REF!-(CA54*0.64))/0.8)/1000)-Crescimento!#REF!</f>
        <v>#REF!</v>
      </c>
      <c r="CA55" s="22" t="e">
        <f>-53.07 + (304.89 * (BZ55)) + (90.79 *(Crescimento!#REF!-Crescimento!#REF!)) - (3.13 * (Crescimento!#REF!-Crescimento!#REF!)^2)</f>
        <v>#REF!</v>
      </c>
      <c r="CB55" s="23"/>
      <c r="CC55" s="21" t="e">
        <f>((CD54+(Crescimento!#REF!-(CD54*0.64))/0.8)/1000)-Crescimento!#REF!</f>
        <v>#REF!</v>
      </c>
      <c r="CD55" s="22" t="e">
        <f>-53.07 + (304.89 * (CC55)) + (90.79 *(Crescimento!#REF!-Crescimento!#REF!)) - (3.13 * (Crescimento!#REF!-Crescimento!#REF!)^2)</f>
        <v>#REF!</v>
      </c>
      <c r="CE55" s="23"/>
      <c r="CF55" s="21" t="e">
        <f>((CG54+(Crescimento!#REF!-(CG54*0.64))/0.8)/1000)-Crescimento!#REF!</f>
        <v>#REF!</v>
      </c>
      <c r="CG55" s="22" t="e">
        <f>-53.07 + (304.89 * (CF55)) + (90.79 *(Crescimento!#REF!-Crescimento!#REF!)) - (3.13 * (Crescimento!#REF!-Crescimento!#REF!)^2)</f>
        <v>#REF!</v>
      </c>
      <c r="CH55" s="23"/>
      <c r="CI55" s="21" t="e">
        <f>((CJ54+(Crescimento!#REF!-(CJ54*0.64))/0.8)/1000)-Crescimento!#REF!</f>
        <v>#REF!</v>
      </c>
      <c r="CJ55" s="22" t="e">
        <f>-53.07 + (304.89 * (CI55)) + (90.79 *(Crescimento!#REF!-Crescimento!#REF!)) - (3.13 * (Crescimento!#REF!-Crescimento!#REF!)^2)</f>
        <v>#REF!</v>
      </c>
      <c r="CK55" s="23"/>
      <c r="CL55" s="21" t="e">
        <f>((CM54+(Crescimento!#REF!-(CM54*0.64))/0.8)/1000)-Crescimento!#REF!</f>
        <v>#REF!</v>
      </c>
      <c r="CM55" s="22" t="e">
        <f>-53.07 + (304.89 * (CL55)) + (90.79 *(Crescimento!#REF!-Crescimento!#REF!)) - (3.13 * (Crescimento!#REF!-Crescimento!#REF!)^2)</f>
        <v>#REF!</v>
      </c>
      <c r="CN55" s="23"/>
      <c r="CO55" s="21" t="e">
        <f>((CP54+(Crescimento!#REF!-(CP54*0.64))/0.8)/1000)-Crescimento!#REF!</f>
        <v>#REF!</v>
      </c>
      <c r="CP55" s="22" t="e">
        <f>-53.07 + (304.89 * (CO55)) + (90.79 *(Crescimento!#REF!-Crescimento!#REF!)) - (3.13 * (Crescimento!#REF!-Crescimento!#REF!)^2)</f>
        <v>#REF!</v>
      </c>
      <c r="CQ55" s="23"/>
      <c r="CR55" s="21" t="e">
        <f>((CS54+(Crescimento!#REF!-(CS54*0.64))/0.8)/1000)-Crescimento!#REF!</f>
        <v>#REF!</v>
      </c>
      <c r="CS55" s="22" t="e">
        <f>-53.07 + (304.89 * (CR55)) + (90.79 *(Crescimento!#REF!-Crescimento!#REF!)) - (3.13 * (Crescimento!#REF!-Crescimento!#REF!)^2)</f>
        <v>#REF!</v>
      </c>
      <c r="CX55" s="16" t="e">
        <f>((CY54+(Crescimento!#REF!-(CY54*0.64))/0.8)/1000)-Crescimento!#REF!</f>
        <v>#REF!</v>
      </c>
      <c r="CY55" s="17" t="e">
        <f>-53.07 + (304.89 * (CX55)) + (90.79 *(Crescimento!#REF!-Crescimento!#REF!)) - (3.13 * (Crescimento!#REF!-Crescimento!#REF!)^2)</f>
        <v>#REF!</v>
      </c>
      <c r="DA55" s="16" t="e">
        <f>((DB54+(Crescimento!#REF!-(DB54*0.64))/0.8)/1000)-Crescimento!#REF!</f>
        <v>#REF!</v>
      </c>
      <c r="DB55" s="17" t="e">
        <f>-53.07 + (304.89 * (DA55)) + (90.79 *(Crescimento!#REF!-Crescimento!#REF!)) - (3.13 * (Crescimento!#REF!-Crescimento!#REF!)^2)</f>
        <v>#REF!</v>
      </c>
      <c r="DD55" s="16" t="e">
        <f>(DE54+(Crescimento!#REF!-(DE54*0.64))/0.8)/1000</f>
        <v>#REF!</v>
      </c>
      <c r="DE55" s="17" t="e">
        <f>-53.07 + (304.89 * (DD55)) + (90.79 *Crescimento!#REF!) - (3.13 * Crescimento!#REF!*Crescimento!#REF!)</f>
        <v>#REF!</v>
      </c>
      <c r="DG55" s="16" t="e">
        <f>((DH54+(Crescimento!#REF!-(DH54*0.64))/0.8)/1000)-Crescimento!#REF!</f>
        <v>#REF!</v>
      </c>
      <c r="DH55" s="17" t="e">
        <f>-53.07 + (304.89 * (DG55)) + (90.79 *(Crescimento!#REF!-Crescimento!#REF!)) - (3.13 * (Crescimento!#REF!-Crescimento!#REF!)^2)</f>
        <v>#REF!</v>
      </c>
      <c r="DJ55" s="16" t="e">
        <f>((DK54+(Crescimento!#REF!-(DK54*0.64))/0.8)/1000)-Crescimento!#REF!</f>
        <v>#REF!</v>
      </c>
      <c r="DK55" s="17" t="e">
        <f>-53.07 + (304.89 * (DJ55)) + (90.79 *(Crescimento!#REF!-Crescimento!#REF!)) - (3.13 * (Crescimento!#REF!-Crescimento!#REF!)^2)</f>
        <v>#REF!</v>
      </c>
      <c r="DM55" s="16" t="e">
        <f>((DN54+(Crescimento!#REF!-(DN54*0.64))/0.8)/1000)-Crescimento!#REF!</f>
        <v>#REF!</v>
      </c>
      <c r="DN55" s="17" t="e">
        <f>-53.07 + (304.89 * (DM55)) + (90.79 *(Crescimento!#REF!-Crescimento!#REF!)) - (3.13 * (Crescimento!#REF!-Crescimento!#REF!)^2)</f>
        <v>#REF!</v>
      </c>
      <c r="DP55" s="16" t="e">
        <f>(DQ54+(Crescimento!#REF!-(DQ54*0.64))/0.8)/1000</f>
        <v>#REF!</v>
      </c>
      <c r="DQ55" s="17" t="e">
        <f>-53.07 + (304.89 * (DP55)) + (90.79 *(Crescimento!#REF!-Crescimento!#REF!)) - (3.13 * (Crescimento!#REF!-Crescimento!#REF!)^2)</f>
        <v>#REF!</v>
      </c>
      <c r="DS55" s="16" t="e">
        <f>((DT54+(Crescimento!#REF!-(DT54*0.64))/0.8)/1000)-Crescimento!#REF!</f>
        <v>#REF!</v>
      </c>
      <c r="DT55" s="17" t="e">
        <f>-53.07 + (304.89 * (DS55)) + (90.79 *(Crescimento!#REF!-Crescimento!#REF!)) - (3.13 * (Crescimento!#REF!-Crescimento!#REF!)^2)</f>
        <v>#REF!</v>
      </c>
      <c r="DV55" s="16" t="e">
        <f>((DW54+(Crescimento!#REF!-(DW54*0.64))/0.8)/1000)-Crescimento!#REF!</f>
        <v>#REF!</v>
      </c>
      <c r="DW55" s="17" t="e">
        <f>-53.07 + (304.89 * (DV55)) + (90.79 *(Crescimento!#REF!-Crescimento!#REF!)) - (3.13 * (Crescimento!#REF!-Crescimento!#REF!)^2)</f>
        <v>#REF!</v>
      </c>
      <c r="DY55" s="16" t="e">
        <f>((DZ54+(Crescimento!#REF!-(DZ54*0.64))/0.8)/1000)-Crescimento!#REF!</f>
        <v>#REF!</v>
      </c>
      <c r="DZ55" s="17" t="e">
        <f>-53.07 + (304.89 * (DY55)) + (90.79 *(Crescimento!#REF!-Crescimento!#REF!)) - (3.13 * (Crescimento!#REF!-Crescimento!#REF!)^2)</f>
        <v>#REF!</v>
      </c>
      <c r="EB55" s="16" t="e">
        <f>((EC54+(Crescimento!#REF!-(EC54*0.64))/0.8)/1000)-Crescimento!#REF!</f>
        <v>#REF!</v>
      </c>
      <c r="EC55" s="17" t="e">
        <f>-53.07 + (304.89 * (EB55)) + (90.79 *(Crescimento!#REF!-Crescimento!#REF!)) - (3.13 * (Crescimento!#REF!-Crescimento!#REF!)^2)</f>
        <v>#REF!</v>
      </c>
      <c r="EE55" s="16" t="e">
        <f>((EF54+(Crescimento!#REF!-(EF54*0.64))/0.8)/1000)-Crescimento!#REF!</f>
        <v>#REF!</v>
      </c>
      <c r="EF55" s="17" t="e">
        <f>-53.07 + (304.89 * (EE55)) + (90.79 *(Crescimento!#REF!-Crescimento!#REF!)) - (3.13 * (Crescimento!#REF!-Crescimento!#REF!)^2)</f>
        <v>#REF!</v>
      </c>
      <c r="EH55" s="16" t="e">
        <f>((EI54+(Crescimento!#REF!-(EI54*0.64))/0.8)/1000)-Crescimento!#REF!</f>
        <v>#REF!</v>
      </c>
      <c r="EI55" s="17" t="e">
        <f>-53.07 + (304.89 * (EH55)) + (90.79 *(Crescimento!#REF!-Crescimento!#REF!)) - (3.13 * (Crescimento!#REF!-Crescimento!#REF!)^2)</f>
        <v>#REF!</v>
      </c>
      <c r="EK55" s="16" t="e">
        <f>((EL54+(Crescimento!#REF!-(EL54*0.64))/0.8)/1000)-Crescimento!#REF!</f>
        <v>#REF!</v>
      </c>
      <c r="EL55" s="17" t="e">
        <f>-53.07 + (304.89 * (EK55)) + (90.79 *(Crescimento!#REF!-Crescimento!#REF!)) - (3.13 * (Crescimento!#REF!-Crescimento!#REF!)^2)</f>
        <v>#REF!</v>
      </c>
      <c r="EN55" s="16" t="e">
        <f>((EO54+(Crescimento!#REF!-(EO54*0.64))/0.8)/1000)-Crescimento!#REF!</f>
        <v>#REF!</v>
      </c>
      <c r="EO55" s="17" t="e">
        <f>-53.07 + (304.89 * (EN55)) + (90.79 *(Crescimento!#REF!-Crescimento!#REF!)) - (3.13 * (Crescimento!#REF!-Crescimento!#REF!)^2)</f>
        <v>#REF!</v>
      </c>
      <c r="EQ55" s="16" t="e">
        <f>((ER54+(Crescimento!#REF!-(ER54*0.64))/0.8)/1000)-Crescimento!#REF!</f>
        <v>#REF!</v>
      </c>
      <c r="ER55" s="17" t="e">
        <f>-53.07 + (304.89 * (EQ55)) + (90.79 *(Crescimento!#REF!-Crescimento!#REF!)) - (3.13 * (Crescimento!#REF!-Crescimento!#REF!)^2)</f>
        <v>#REF!</v>
      </c>
      <c r="ET55" s="16" t="e">
        <f>((EU54+(Crescimento!#REF!-(EU54*0.64))/0.8)/1000)-Crescimento!#REF!</f>
        <v>#REF!</v>
      </c>
      <c r="EU55" s="17" t="e">
        <f>-53.07 + (304.89 * (ET55)) + (90.79 *(Crescimento!#REF!-Crescimento!#REF!)) - (3.13 * (Crescimento!#REF!-Crescimento!#REF!)^2)</f>
        <v>#REF!</v>
      </c>
      <c r="EW55" s="16" t="e">
        <f>((EX54+('Vacas e Bezerros'!#REF!-(EX54*0.64))/0.8)/1000)-'Vacas e Bezerros'!#REF!</f>
        <v>#REF!</v>
      </c>
      <c r="EX55" s="17" t="e">
        <f>-53.07 + (304.89 * (EW55)) + (90.79 *('Vacas e Bezerros'!#REF!-'Vacas e Bezerros'!#REF!)) - (3.13 * ('Vacas e Bezerros'!#REF!-'Vacas e Bezerros'!#REF!)^2)</f>
        <v>#REF!</v>
      </c>
      <c r="EZ55" s="16" t="e">
        <f>((FA54+('Vacas e Bezerros'!#REF!-(FA54*0.64))/0.8)/1000)-'Vacas e Bezerros'!#REF!</f>
        <v>#REF!</v>
      </c>
      <c r="FA55" s="17" t="e">
        <f>-53.07 + (304.89 * (EZ55)) + (90.79 *('Vacas e Bezerros'!#REF!-'Vacas e Bezerros'!#REF!)) - (3.13 * ('Vacas e Bezerros'!#REF!-'Vacas e Bezerros'!#REF!)^2)</f>
        <v>#REF!</v>
      </c>
      <c r="FC55" s="16" t="e">
        <f>((FD54+('Vacas e Bezerros'!#REF!-(FD54*0.64))/0.8)/1000)-'Vacas e Bezerros'!#REF!</f>
        <v>#REF!</v>
      </c>
      <c r="FD55" s="17" t="e">
        <f>-53.07 + (304.89 * (FC55)) + (90.79 *('Vacas e Bezerros'!#REF!-'Vacas e Bezerros'!#REF!)) - (3.13 * ('Vacas e Bezerros'!#REF!-'Vacas e Bezerros'!#REF!)^2)</f>
        <v>#REF!</v>
      </c>
      <c r="FF55" s="16" t="e">
        <f>((FG54+('Vacas e Bezerros'!#REF!-(FG54*0.64))/0.8)/1000)-'Vacas e Bezerros'!#REF!</f>
        <v>#REF!</v>
      </c>
      <c r="FG55" s="17" t="e">
        <f>-53.07 + (304.89 * (FF55)) + (90.79 *('Vacas e Bezerros'!#REF!-'Vacas e Bezerros'!#REF!)) - (3.13 * ('Vacas e Bezerros'!#REF!-'Vacas e Bezerros'!#REF!)^2)</f>
        <v>#REF!</v>
      </c>
      <c r="FI55" s="16" t="e">
        <f>((FJ54+('Vacas e Bezerros'!#REF!-(FJ54*0.64))/0.8)/1000)-'Vacas e Bezerros'!#REF!</f>
        <v>#REF!</v>
      </c>
      <c r="FJ55" s="17" t="e">
        <f>-53.07 + (304.89 * (FI55)) + (90.79 *('Vacas e Bezerros'!#REF!-'Vacas e Bezerros'!#REF!)) - (3.13 * ('Vacas e Bezerros'!#REF!-'Vacas e Bezerros'!#REF!)^2)</f>
        <v>#REF!</v>
      </c>
      <c r="FL55" s="16" t="e">
        <f>((FM54+('Vacas e Bezerros'!#REF!-(FM54*0.64))/0.8)/1000)-'Vacas e Bezerros'!#REF!</f>
        <v>#REF!</v>
      </c>
      <c r="FM55" s="17" t="e">
        <f>-53.07 + (304.89 * (FL55)) + (90.79 *('Vacas e Bezerros'!#REF!-'Vacas e Bezerros'!#REF!)) - (3.13 * ('Vacas e Bezerros'!#REF!-'Vacas e Bezerros'!#REF!)^2)</f>
        <v>#REF!</v>
      </c>
      <c r="FO55" s="16" t="e">
        <f>((FP54+('Vacas e Bezerros'!#REF!-(FP54*0.64))/0.8)/1000)-'Vacas e Bezerros'!#REF!</f>
        <v>#REF!</v>
      </c>
      <c r="FP55" s="17" t="e">
        <f>-53.07 + (304.89 * (FO55)) + (90.79 *('Vacas e Bezerros'!#REF!-'Vacas e Bezerros'!#REF!)) - (3.13 * ('Vacas e Bezerros'!#REF!-'Vacas e Bezerros'!#REF!)^2)</f>
        <v>#REF!</v>
      </c>
      <c r="FR55" s="16" t="e">
        <f>((FS54+('Vacas e Bezerros'!#REF!-(FS54*0.64))/0.8)/1000)-'Vacas e Bezerros'!#REF!</f>
        <v>#REF!</v>
      </c>
      <c r="FS55" s="17" t="e">
        <f>-53.07 + (304.89 * (FR55)) + (90.79 *('Vacas e Bezerros'!#REF!-'Vacas e Bezerros'!#REF!)) - (3.13 * ('Vacas e Bezerros'!#REF!-'Vacas e Bezerros'!#REF!)^2)</f>
        <v>#REF!</v>
      </c>
      <c r="FU55" s="16" t="e">
        <f>((FV54+('Vacas e Bezerros'!#REF!-(FV54*0.64))/0.8)/1000)-'Vacas e Bezerros'!#REF!</f>
        <v>#REF!</v>
      </c>
      <c r="FV55" s="17" t="e">
        <f>-53.07 + (304.89 * (FU55)) + (90.79 *('Vacas e Bezerros'!#REF!-'Vacas e Bezerros'!#REF!)) - (3.13 * ('Vacas e Bezerros'!#REF!-'Vacas e Bezerros'!#REF!)^2)</f>
        <v>#REF!</v>
      </c>
      <c r="FX55" s="16" t="e">
        <f>((FY54+('Vacas e Bezerros'!#REF!-(FY54*0.64))/0.8)/1000)-'Vacas e Bezerros'!#REF!</f>
        <v>#REF!</v>
      </c>
      <c r="FY55" s="17" t="e">
        <f>-53.07 + (304.89 * (FX55)) + (90.79 *('Vacas e Bezerros'!#REF!-'Vacas e Bezerros'!#REF!)) - (3.13 * ('Vacas e Bezerros'!#REF!-'Vacas e Bezerros'!#REF!)^2)</f>
        <v>#REF!</v>
      </c>
      <c r="GA55" s="16" t="e">
        <f>((GB54+('Vacas e Bezerros'!#REF!-(GB54*0.64))/0.8)/1000)-'Vacas e Bezerros'!#REF!</f>
        <v>#REF!</v>
      </c>
      <c r="GB55" s="17" t="e">
        <f>-53.07 + (304.89 * (GA55)) + (90.79 *('Vacas e Bezerros'!#REF!-'Vacas e Bezerros'!#REF!)) - (3.13 * ('Vacas e Bezerros'!#REF!-'Vacas e Bezerros'!#REF!)^2)</f>
        <v>#REF!</v>
      </c>
      <c r="GD55" s="16" t="e">
        <f>((GE54+('Vacas e Bezerros'!#REF!-(GE54*0.64))/0.8)/1000)-'Vacas e Bezerros'!#REF!</f>
        <v>#REF!</v>
      </c>
      <c r="GE55" s="17" t="e">
        <f>-53.07 + (304.89 * (GD55)) + (90.79 *('Vacas e Bezerros'!#REF!-'Vacas e Bezerros'!#REF!)) - (3.13 * ('Vacas e Bezerros'!#REF!-'Vacas e Bezerros'!#REF!)^2)</f>
        <v>#REF!</v>
      </c>
      <c r="GG55" s="16" t="e">
        <f>((GH54+('Vacas e Bezerros'!#REF!-(GH54*0.64))/0.8)/1000)-'Vacas e Bezerros'!#REF!</f>
        <v>#REF!</v>
      </c>
      <c r="GH55" s="17" t="e">
        <f>-53.07 + (304.89 * (GG55)) + (90.79 *('Vacas e Bezerros'!#REF!-'Vacas e Bezerros'!#REF!)) - (3.13 * ('Vacas e Bezerros'!#REF!-'Vacas e Bezerros'!#REF!)^2)</f>
        <v>#REF!</v>
      </c>
      <c r="GJ55" s="16" t="e">
        <f>((GK54+('Vacas e Bezerros'!#REF!-(GK54*0.64))/0.8)/1000)-'Vacas e Bezerros'!#REF!</f>
        <v>#REF!</v>
      </c>
      <c r="GK55" s="17" t="e">
        <f>-53.07 + (304.89 * (GJ55)) + (90.79 *('Vacas e Bezerros'!#REF!-'Vacas e Bezerros'!#REF!)) - (3.13 * ('Vacas e Bezerros'!#REF!-'Vacas e Bezerros'!#REF!)^2)</f>
        <v>#REF!</v>
      </c>
      <c r="GM55" s="16" t="e">
        <f>((GN54+('Vacas e Bezerros'!#REF!-(GN54*0.64))/0.8)/1000)-'Vacas e Bezerros'!#REF!</f>
        <v>#REF!</v>
      </c>
      <c r="GN55" s="17" t="e">
        <f>-53.07 + (304.89 * (GM55)) + (90.79 *('Vacas e Bezerros'!#REF!-'Vacas e Bezerros'!#REF!)) - (3.13 * ('Vacas e Bezerros'!#REF!-'Vacas e Bezerros'!#REF!)^2)</f>
        <v>#REF!</v>
      </c>
    </row>
    <row r="56" spans="3:196" x14ac:dyDescent="0.25">
      <c r="C56" s="16">
        <f>(D55+('Vacas e Bezerros'!$AA$28-(D55*0.64))/0.8)/1000</f>
        <v>0.35719668016155687</v>
      </c>
      <c r="D56" s="17">
        <f>-53.07 + (304.89 * (C56-'Vacas e Bezerros'!$C$206)) + (90.79 *('Vacas e Bezerros'!$AA$22)) - (3.13 *('Vacas e Bezerros'!$AA$22)^2)</f>
        <v>165.01876457544017</v>
      </c>
      <c r="F56" s="16" t="e">
        <f>(G55+(Crescimento!#REF!-(G55*0.64))/0.8)/1000</f>
        <v>#REF!</v>
      </c>
      <c r="G56" s="17" t="e">
        <f>-53.07 + (304.89 * (F56)) + (90.79 *Crescimento!#REF!) - (3.13 * Crescimento!#REF!*Crescimento!#REF!)</f>
        <v>#REF!</v>
      </c>
      <c r="H56" s="1"/>
      <c r="I56" s="16" t="e">
        <f>(J55+(Crescimento!#REF!-(J55*0.64))/0.8)/1000</f>
        <v>#REF!</v>
      </c>
      <c r="J56" s="17" t="e">
        <f>-53.07 + (304.89 * (I56)) + (90.79 *Crescimento!#REF!) - (3.13 * Crescimento!#REF!*Crescimento!#REF!)</f>
        <v>#REF!</v>
      </c>
      <c r="L56" s="16" t="e">
        <f>(M55+(Crescimento!#REF!-(M55*0.64))/0.8)/1000</f>
        <v>#REF!</v>
      </c>
      <c r="M56" s="17" t="e">
        <f>-53.07 + (304.89 * (L56)) + (90.79 *Crescimento!#REF!) - (3.13 * Crescimento!#REF!*Crescimento!#REF!)</f>
        <v>#REF!</v>
      </c>
      <c r="O56" s="16" t="e">
        <f>(P55+(Crescimento!#REF!-(P55*0.64))/0.8)/1000</f>
        <v>#REF!</v>
      </c>
      <c r="P56" s="17" t="e">
        <f>-53.07 + (304.89 * (O56)) + (90.79 *Crescimento!#REF!) - (3.13 * Crescimento!#REF!*Crescimento!#REF!)</f>
        <v>#REF!</v>
      </c>
      <c r="R56" s="16" t="e">
        <f>(S55+(Crescimento!#REF!-(S55*0.64))/0.8)/1000</f>
        <v>#REF!</v>
      </c>
      <c r="S56" s="17" t="e">
        <f>-53.07 + (304.89 * (R56)) + (90.79 *Crescimento!#REF!) - (3.13 * Crescimento!#REF!*Crescimento!#REF!)</f>
        <v>#REF!</v>
      </c>
      <c r="U56" s="16" t="e">
        <f>(V55+(Crescimento!#REF!-(V55*0.64))/0.8)/1000</f>
        <v>#REF!</v>
      </c>
      <c r="V56" s="17" t="e">
        <f>-53.07 + (304.89 * (U56)) + (90.79 *Crescimento!#REF!) - (3.13 * Crescimento!#REF!*Crescimento!#REF!)</f>
        <v>#REF!</v>
      </c>
      <c r="X56" s="16" t="e">
        <f>(Y55+(Crescimento!#REF!-(Y55*0.64))/0.8)/1000</f>
        <v>#REF!</v>
      </c>
      <c r="Y56" s="17" t="e">
        <f>-53.07 + (304.89 * (X56)) + (90.79 *Crescimento!#REF!) - (3.13 * Crescimento!#REF!*Crescimento!#REF!)</f>
        <v>#REF!</v>
      </c>
      <c r="Z56" s="6"/>
      <c r="AA56" s="16" t="e">
        <f>(AB55+(Crescimento!#REF!-(AB55*0.64))/0.8)/1000</f>
        <v>#REF!</v>
      </c>
      <c r="AB56" s="17" t="e">
        <f>-53.07 + (304.89 * (AA56)) + (90.79 *Crescimento!#REF!) - (3.13 * Crescimento!#REF!*Crescimento!#REF!)</f>
        <v>#REF!</v>
      </c>
      <c r="AC56" s="6"/>
      <c r="AD56" s="16" t="e">
        <f>(AE55+(Crescimento!#REF!-(AE55*0.64))/0.8)/1000</f>
        <v>#REF!</v>
      </c>
      <c r="AE56" s="17" t="e">
        <f>-53.07 + (304.89 * (AD56)) + (90.79 *Crescimento!#REF!) - (3.13 * Crescimento!#REF!*Crescimento!#REF!)</f>
        <v>#REF!</v>
      </c>
      <c r="AF56" s="17"/>
      <c r="AG56" s="16" t="e">
        <f>(AH55+(Crescimento!#REF!-(AH55*0.64))/0.8)/1000</f>
        <v>#REF!</v>
      </c>
      <c r="AH56" s="17" t="e">
        <f>-53.07 + (304.89 * (AG56)) + (90.79 *Crescimento!#REF!) - (3.13 * Crescimento!#REF!*Crescimento!#REF!)</f>
        <v>#REF!</v>
      </c>
      <c r="AJ56" s="16" t="e">
        <f>(AK55+(Crescimento!#REF!-(AK55*0.64))/0.8)/1000</f>
        <v>#REF!</v>
      </c>
      <c r="AK56" s="17" t="e">
        <f>-53.07 + (304.89 * (AJ56)) + (90.79 *Crescimento!#REF!) - (3.13 * Crescimento!#REF!*Crescimento!#REF!)</f>
        <v>#REF!</v>
      </c>
      <c r="AM56" s="16" t="e">
        <f>(AN55+(Crescimento!#REF!-(AN55*0.64))/0.8)/1000</f>
        <v>#REF!</v>
      </c>
      <c r="AN56" s="17" t="e">
        <f>-53.07 + (304.89 * (AM56)) + (90.79 *Crescimento!#REF!) - (3.13 * Crescimento!#REF!*Crescimento!#REF!)</f>
        <v>#REF!</v>
      </c>
      <c r="AP56" s="16" t="e">
        <f>(AQ55+(Crescimento!#REF!-(AQ55*0.64))/0.8)/1000</f>
        <v>#REF!</v>
      </c>
      <c r="AQ56" s="17" t="e">
        <f>-53.07 + (304.89 * (AP56)) + (90.79 *Crescimento!#REF!) - (3.13 * Crescimento!#REF!*Crescimento!#REF!)</f>
        <v>#REF!</v>
      </c>
      <c r="AS56" s="16" t="e">
        <f>(AT55+(Crescimento!#REF!-(AT55*0.64))/0.8)/1000</f>
        <v>#REF!</v>
      </c>
      <c r="AT56" s="17" t="e">
        <f>-53.07 + (304.89 * (AS56)) + (90.79 *Crescimento!#REF!) - (3.13 * Crescimento!#REF!*Crescimento!#REF!)</f>
        <v>#REF!</v>
      </c>
      <c r="AV56" s="16" t="e">
        <f>(AW55+(Crescimento!#REF!-(AW55*0.64))/0.8)/1000</f>
        <v>#REF!</v>
      </c>
      <c r="AW56" s="17" t="e">
        <f>-53.07 + (304.89 * (AV56)) + (90.79 *Crescimento!#REF!) - (3.13 * Crescimento!#REF!*Crescimento!#REF!)</f>
        <v>#REF!</v>
      </c>
      <c r="AY56" s="21" t="e">
        <f>((AZ55+(Crescimento!#REF!-(AZ55*0.64))/0.8)/1000)-Crescimento!#REF!</f>
        <v>#REF!</v>
      </c>
      <c r="AZ56" s="22" t="e">
        <f>-53.07 + (304.89 * (AY56)) + (90.79 *(Crescimento!#REF!-Crescimento!#REF!)) - (3.13 * (Crescimento!#REF!-Crescimento!#REF!)^2)</f>
        <v>#REF!</v>
      </c>
      <c r="BA56" s="23"/>
      <c r="BB56" s="21" t="e">
        <f>((BC55+(Crescimento!#REF!-(BC55*0.64))/0.8)/1000)-Crescimento!#REF!</f>
        <v>#REF!</v>
      </c>
      <c r="BC56" s="22" t="e">
        <f>-53.07 + (304.89 * (BB56)) + (90.79 *(Crescimento!#REF!-Crescimento!#REF!)) - (3.13 * (Crescimento!#REF!-Crescimento!#REF!)^2)</f>
        <v>#REF!</v>
      </c>
      <c r="BD56" s="23"/>
      <c r="BE56" s="21" t="e">
        <f>((BF55+(Crescimento!#REF!-(BF55*0.64))/0.8)/1000)-Crescimento!#REF!</f>
        <v>#REF!</v>
      </c>
      <c r="BF56" s="22" t="e">
        <f>-53.07 + (304.89 * (BE56)) + (90.79 *(Crescimento!#REF!-Crescimento!#REF!)) - (3.13 * (Crescimento!#REF!-Crescimento!#REF!)^2)</f>
        <v>#REF!</v>
      </c>
      <c r="BG56" s="23"/>
      <c r="BH56" s="21" t="e">
        <f>((BI55+(Crescimento!#REF!-(BI55*0.64))/0.8)/1000)-Crescimento!#REF!</f>
        <v>#REF!</v>
      </c>
      <c r="BI56" s="22" t="e">
        <f>-53.07 + (304.89 * (BH56)) + (90.79 *(Crescimento!#REF!-Crescimento!#REF!)) - (3.13 * (Crescimento!#REF!-Crescimento!#REF!)^2)</f>
        <v>#REF!</v>
      </c>
      <c r="BJ56" s="23"/>
      <c r="BK56" s="21" t="e">
        <f>((BL55+(Crescimento!#REF!-(BL55*0.64))/0.8)/1000)-Crescimento!#REF!</f>
        <v>#REF!</v>
      </c>
      <c r="BL56" s="22" t="e">
        <f>-53.07 + (304.89 * (BK56)) + (90.79 *(Crescimento!#REF!-Crescimento!#REF!)) - (3.13 * (Crescimento!#REF!-Crescimento!#REF!)^2)</f>
        <v>#REF!</v>
      </c>
      <c r="BM56" s="23"/>
      <c r="BN56" s="21" t="e">
        <f>((BO55+(Crescimento!#REF!-(BO55*0.64))/0.8)/1000)-Crescimento!#REF!</f>
        <v>#REF!</v>
      </c>
      <c r="BO56" s="22" t="e">
        <f>-53.07 + (304.89 * (BN56)) + (90.79 *(Crescimento!#REF!-Crescimento!#REF!)) - (3.13 * (Crescimento!#REF!-Crescimento!#REF!)^2)</f>
        <v>#REF!</v>
      </c>
      <c r="BP56" s="23"/>
      <c r="BQ56" s="21" t="e">
        <f>((BR55+(Crescimento!#REF!-(BR55*0.64))/0.8)/1000)-Crescimento!#REF!</f>
        <v>#REF!</v>
      </c>
      <c r="BR56" s="22" t="e">
        <f>-53.07 + (304.89 * (BQ56)) + (90.79 *(Crescimento!#REF!-Crescimento!#REF!)) - (3.13 * (Crescimento!#REF!-Crescimento!#REF!)^2)</f>
        <v>#REF!</v>
      </c>
      <c r="BS56" s="23"/>
      <c r="BT56" s="21" t="e">
        <f>((BU55+(Crescimento!#REF!-(BU55*0.64))/0.8)/1000)-Crescimento!#REF!</f>
        <v>#REF!</v>
      </c>
      <c r="BU56" s="22" t="e">
        <f>-53.07 + (304.89 * (BT56)) + (90.79 *(Crescimento!#REF!-Crescimento!#REF!)) - (3.13 * (Crescimento!#REF!-Crescimento!#REF!)^2)</f>
        <v>#REF!</v>
      </c>
      <c r="BV56" s="23"/>
      <c r="BW56" s="21" t="e">
        <f>((BX55+(Crescimento!#REF!-(BX55*0.64))/0.8)/1000)-Crescimento!#REF!</f>
        <v>#REF!</v>
      </c>
      <c r="BX56" s="22" t="e">
        <f>-53.07 + (304.89 * (BW56)) + (90.79 *(Crescimento!#REF!-Crescimento!#REF!)) - (3.13 * (Crescimento!#REF!-Crescimento!#REF!)^2)</f>
        <v>#REF!</v>
      </c>
      <c r="BY56" s="23"/>
      <c r="BZ56" s="21" t="e">
        <f>((CA55+(Crescimento!#REF!-(CA55*0.64))/0.8)/1000)-Crescimento!#REF!</f>
        <v>#REF!</v>
      </c>
      <c r="CA56" s="22" t="e">
        <f>-53.07 + (304.89 * (BZ56)) + (90.79 *(Crescimento!#REF!-Crescimento!#REF!)) - (3.13 * (Crescimento!#REF!-Crescimento!#REF!)^2)</f>
        <v>#REF!</v>
      </c>
      <c r="CB56" s="23"/>
      <c r="CC56" s="21" t="e">
        <f>((CD55+(Crescimento!#REF!-(CD55*0.64))/0.8)/1000)-Crescimento!#REF!</f>
        <v>#REF!</v>
      </c>
      <c r="CD56" s="22" t="e">
        <f>-53.07 + (304.89 * (CC56)) + (90.79 *(Crescimento!#REF!-Crescimento!#REF!)) - (3.13 * (Crescimento!#REF!-Crescimento!#REF!)^2)</f>
        <v>#REF!</v>
      </c>
      <c r="CE56" s="23"/>
      <c r="CF56" s="21" t="e">
        <f>((CG55+(Crescimento!#REF!-(CG55*0.64))/0.8)/1000)-Crescimento!#REF!</f>
        <v>#REF!</v>
      </c>
      <c r="CG56" s="22" t="e">
        <f>-53.07 + (304.89 * (CF56)) + (90.79 *(Crescimento!#REF!-Crescimento!#REF!)) - (3.13 * (Crescimento!#REF!-Crescimento!#REF!)^2)</f>
        <v>#REF!</v>
      </c>
      <c r="CH56" s="23"/>
      <c r="CI56" s="21" t="e">
        <f>((CJ55+(Crescimento!#REF!-(CJ55*0.64))/0.8)/1000)-Crescimento!#REF!</f>
        <v>#REF!</v>
      </c>
      <c r="CJ56" s="22" t="e">
        <f>-53.07 + (304.89 * (CI56)) + (90.79 *(Crescimento!#REF!-Crescimento!#REF!)) - (3.13 * (Crescimento!#REF!-Crescimento!#REF!)^2)</f>
        <v>#REF!</v>
      </c>
      <c r="CK56" s="23"/>
      <c r="CL56" s="21" t="e">
        <f>((CM55+(Crescimento!#REF!-(CM55*0.64))/0.8)/1000)-Crescimento!#REF!</f>
        <v>#REF!</v>
      </c>
      <c r="CM56" s="22" t="e">
        <f>-53.07 + (304.89 * (CL56)) + (90.79 *(Crescimento!#REF!-Crescimento!#REF!)) - (3.13 * (Crescimento!#REF!-Crescimento!#REF!)^2)</f>
        <v>#REF!</v>
      </c>
      <c r="CN56" s="23"/>
      <c r="CO56" s="21" t="e">
        <f>((CP55+(Crescimento!#REF!-(CP55*0.64))/0.8)/1000)-Crescimento!#REF!</f>
        <v>#REF!</v>
      </c>
      <c r="CP56" s="22" t="e">
        <f>-53.07 + (304.89 * (CO56)) + (90.79 *(Crescimento!#REF!-Crescimento!#REF!)) - (3.13 * (Crescimento!#REF!-Crescimento!#REF!)^2)</f>
        <v>#REF!</v>
      </c>
      <c r="CQ56" s="23"/>
      <c r="CR56" s="21" t="e">
        <f>((CS55+(Crescimento!#REF!-(CS55*0.64))/0.8)/1000)-Crescimento!#REF!</f>
        <v>#REF!</v>
      </c>
      <c r="CS56" s="22" t="e">
        <f>-53.07 + (304.89 * (CR56)) + (90.79 *(Crescimento!#REF!-Crescimento!#REF!)) - (3.13 * (Crescimento!#REF!-Crescimento!#REF!)^2)</f>
        <v>#REF!</v>
      </c>
      <c r="CX56" s="16" t="e">
        <f>((CY55+(Crescimento!#REF!-(CY55*0.64))/0.8)/1000)-Crescimento!#REF!</f>
        <v>#REF!</v>
      </c>
      <c r="CY56" s="17" t="e">
        <f>-53.07 + (304.89 * (CX56)) + (90.79 *(Crescimento!#REF!-Crescimento!#REF!)) - (3.13 * (Crescimento!#REF!-Crescimento!#REF!)^2)</f>
        <v>#REF!</v>
      </c>
      <c r="DA56" s="16" t="e">
        <f>((DB55+(Crescimento!#REF!-(DB55*0.64))/0.8)/1000)-Crescimento!#REF!</f>
        <v>#REF!</v>
      </c>
      <c r="DB56" s="17" t="e">
        <f>-53.07 + (304.89 * (DA56)) + (90.79 *(Crescimento!#REF!-Crescimento!#REF!)) - (3.13 * (Crescimento!#REF!-Crescimento!#REF!)^2)</f>
        <v>#REF!</v>
      </c>
      <c r="DD56" s="16" t="e">
        <f>(DE55+(Crescimento!#REF!-(DE55*0.64))/0.8)/1000</f>
        <v>#REF!</v>
      </c>
      <c r="DE56" s="17" t="e">
        <f>-53.07 + (304.89 * (DD56)) + (90.79 *Crescimento!#REF!) - (3.13 * Crescimento!#REF!*Crescimento!#REF!)</f>
        <v>#REF!</v>
      </c>
      <c r="DG56" s="16" t="e">
        <f>((DH55+(Crescimento!#REF!-(DH55*0.64))/0.8)/1000)-Crescimento!#REF!</f>
        <v>#REF!</v>
      </c>
      <c r="DH56" s="17" t="e">
        <f>-53.07 + (304.89 * (DG56)) + (90.79 *(Crescimento!#REF!-Crescimento!#REF!)) - (3.13 * (Crescimento!#REF!-Crescimento!#REF!)^2)</f>
        <v>#REF!</v>
      </c>
      <c r="DJ56" s="16" t="e">
        <f>((DK55+(Crescimento!#REF!-(DK55*0.64))/0.8)/1000)-Crescimento!#REF!</f>
        <v>#REF!</v>
      </c>
      <c r="DK56" s="17" t="e">
        <f>-53.07 + (304.89 * (DJ56)) + (90.79 *(Crescimento!#REF!-Crescimento!#REF!)) - (3.13 * (Crescimento!#REF!-Crescimento!#REF!)^2)</f>
        <v>#REF!</v>
      </c>
      <c r="DM56" s="16" t="e">
        <f>((DN55+(Crescimento!#REF!-(DN55*0.64))/0.8)/1000)-Crescimento!#REF!</f>
        <v>#REF!</v>
      </c>
      <c r="DN56" s="17" t="e">
        <f>-53.07 + (304.89 * (DM56)) + (90.79 *(Crescimento!#REF!-Crescimento!#REF!)) - (3.13 * (Crescimento!#REF!-Crescimento!#REF!)^2)</f>
        <v>#REF!</v>
      </c>
      <c r="DP56" s="16" t="e">
        <f>(DQ55+(Crescimento!#REF!-(DQ55*0.64))/0.8)/1000</f>
        <v>#REF!</v>
      </c>
      <c r="DQ56" s="17" t="e">
        <f>-53.07 + (304.89 * (DP56)) + (90.79 *(Crescimento!#REF!-Crescimento!#REF!)) - (3.13 * (Crescimento!#REF!-Crescimento!#REF!)^2)</f>
        <v>#REF!</v>
      </c>
      <c r="DS56" s="16" t="e">
        <f>((DT55+(Crescimento!#REF!-(DT55*0.64))/0.8)/1000)-Crescimento!#REF!</f>
        <v>#REF!</v>
      </c>
      <c r="DT56" s="17" t="e">
        <f>-53.07 + (304.89 * (DS56)) + (90.79 *(Crescimento!#REF!-Crescimento!#REF!)) - (3.13 * (Crescimento!#REF!-Crescimento!#REF!)^2)</f>
        <v>#REF!</v>
      </c>
      <c r="DV56" s="16" t="e">
        <f>((DW55+(Crescimento!#REF!-(DW55*0.64))/0.8)/1000)-Crescimento!#REF!</f>
        <v>#REF!</v>
      </c>
      <c r="DW56" s="17" t="e">
        <f>-53.07 + (304.89 * (DV56)) + (90.79 *(Crescimento!#REF!-Crescimento!#REF!)) - (3.13 * (Crescimento!#REF!-Crescimento!#REF!)^2)</f>
        <v>#REF!</v>
      </c>
      <c r="DY56" s="16" t="e">
        <f>((DZ55+(Crescimento!#REF!-(DZ55*0.64))/0.8)/1000)-Crescimento!#REF!</f>
        <v>#REF!</v>
      </c>
      <c r="DZ56" s="17" t="e">
        <f>-53.07 + (304.89 * (DY56)) + (90.79 *(Crescimento!#REF!-Crescimento!#REF!)) - (3.13 * (Crescimento!#REF!-Crescimento!#REF!)^2)</f>
        <v>#REF!</v>
      </c>
      <c r="EB56" s="16" t="e">
        <f>((EC55+(Crescimento!#REF!-(EC55*0.64))/0.8)/1000)-Crescimento!#REF!</f>
        <v>#REF!</v>
      </c>
      <c r="EC56" s="17" t="e">
        <f>-53.07 + (304.89 * (EB56)) + (90.79 *(Crescimento!#REF!-Crescimento!#REF!)) - (3.13 * (Crescimento!#REF!-Crescimento!#REF!)^2)</f>
        <v>#REF!</v>
      </c>
      <c r="EE56" s="16" t="e">
        <f>((EF55+(Crescimento!#REF!-(EF55*0.64))/0.8)/1000)-Crescimento!#REF!</f>
        <v>#REF!</v>
      </c>
      <c r="EF56" s="17" t="e">
        <f>-53.07 + (304.89 * (EE56)) + (90.79 *(Crescimento!#REF!-Crescimento!#REF!)) - (3.13 * (Crescimento!#REF!-Crescimento!#REF!)^2)</f>
        <v>#REF!</v>
      </c>
      <c r="EH56" s="16" t="e">
        <f>((EI55+(Crescimento!#REF!-(EI55*0.64))/0.8)/1000)-Crescimento!#REF!</f>
        <v>#REF!</v>
      </c>
      <c r="EI56" s="17" t="e">
        <f>-53.07 + (304.89 * (EH56)) + (90.79 *(Crescimento!#REF!-Crescimento!#REF!)) - (3.13 * (Crescimento!#REF!-Crescimento!#REF!)^2)</f>
        <v>#REF!</v>
      </c>
      <c r="EK56" s="16" t="e">
        <f>((EL55+(Crescimento!#REF!-(EL55*0.64))/0.8)/1000)-Crescimento!#REF!</f>
        <v>#REF!</v>
      </c>
      <c r="EL56" s="17" t="e">
        <f>-53.07 + (304.89 * (EK56)) + (90.79 *(Crescimento!#REF!-Crescimento!#REF!)) - (3.13 * (Crescimento!#REF!-Crescimento!#REF!)^2)</f>
        <v>#REF!</v>
      </c>
      <c r="EN56" s="16" t="e">
        <f>((EO55+(Crescimento!#REF!-(EO55*0.64))/0.8)/1000)-Crescimento!#REF!</f>
        <v>#REF!</v>
      </c>
      <c r="EO56" s="17" t="e">
        <f>-53.07 + (304.89 * (EN56)) + (90.79 *(Crescimento!#REF!-Crescimento!#REF!)) - (3.13 * (Crescimento!#REF!-Crescimento!#REF!)^2)</f>
        <v>#REF!</v>
      </c>
      <c r="EQ56" s="16" t="e">
        <f>((ER55+(Crescimento!#REF!-(ER55*0.64))/0.8)/1000)-Crescimento!#REF!</f>
        <v>#REF!</v>
      </c>
      <c r="ER56" s="17" t="e">
        <f>-53.07 + (304.89 * (EQ56)) + (90.79 *(Crescimento!#REF!-Crescimento!#REF!)) - (3.13 * (Crescimento!#REF!-Crescimento!#REF!)^2)</f>
        <v>#REF!</v>
      </c>
      <c r="ET56" s="16" t="e">
        <f>((EU55+(Crescimento!#REF!-(EU55*0.64))/0.8)/1000)-Crescimento!#REF!</f>
        <v>#REF!</v>
      </c>
      <c r="EU56" s="17" t="e">
        <f>-53.07 + (304.89 * (ET56)) + (90.79 *(Crescimento!#REF!-Crescimento!#REF!)) - (3.13 * (Crescimento!#REF!-Crescimento!#REF!)^2)</f>
        <v>#REF!</v>
      </c>
      <c r="EW56" s="16" t="e">
        <f>((EX55+('Vacas e Bezerros'!#REF!-(EX55*0.64))/0.8)/1000)-'Vacas e Bezerros'!#REF!</f>
        <v>#REF!</v>
      </c>
      <c r="EX56" s="17" t="e">
        <f>-53.07 + (304.89 * (EW56)) + (90.79 *('Vacas e Bezerros'!#REF!-'Vacas e Bezerros'!#REF!)) - (3.13 * ('Vacas e Bezerros'!#REF!-'Vacas e Bezerros'!#REF!)^2)</f>
        <v>#REF!</v>
      </c>
      <c r="EZ56" s="16" t="e">
        <f>((FA55+('Vacas e Bezerros'!#REF!-(FA55*0.64))/0.8)/1000)-'Vacas e Bezerros'!#REF!</f>
        <v>#REF!</v>
      </c>
      <c r="FA56" s="17" t="e">
        <f>-53.07 + (304.89 * (EZ56)) + (90.79 *('Vacas e Bezerros'!#REF!-'Vacas e Bezerros'!#REF!)) - (3.13 * ('Vacas e Bezerros'!#REF!-'Vacas e Bezerros'!#REF!)^2)</f>
        <v>#REF!</v>
      </c>
      <c r="FC56" s="16" t="e">
        <f>((FD55+('Vacas e Bezerros'!#REF!-(FD55*0.64))/0.8)/1000)-'Vacas e Bezerros'!#REF!</f>
        <v>#REF!</v>
      </c>
      <c r="FD56" s="17" t="e">
        <f>-53.07 + (304.89 * (FC56)) + (90.79 *('Vacas e Bezerros'!#REF!-'Vacas e Bezerros'!#REF!)) - (3.13 * ('Vacas e Bezerros'!#REF!-'Vacas e Bezerros'!#REF!)^2)</f>
        <v>#REF!</v>
      </c>
      <c r="FF56" s="16" t="e">
        <f>((FG55+('Vacas e Bezerros'!#REF!-(FG55*0.64))/0.8)/1000)-'Vacas e Bezerros'!#REF!</f>
        <v>#REF!</v>
      </c>
      <c r="FG56" s="17" t="e">
        <f>-53.07 + (304.89 * (FF56)) + (90.79 *('Vacas e Bezerros'!#REF!-'Vacas e Bezerros'!#REF!)) - (3.13 * ('Vacas e Bezerros'!#REF!-'Vacas e Bezerros'!#REF!)^2)</f>
        <v>#REF!</v>
      </c>
      <c r="FI56" s="16" t="e">
        <f>((FJ55+('Vacas e Bezerros'!#REF!-(FJ55*0.64))/0.8)/1000)-'Vacas e Bezerros'!#REF!</f>
        <v>#REF!</v>
      </c>
      <c r="FJ56" s="17" t="e">
        <f>-53.07 + (304.89 * (FI56)) + (90.79 *('Vacas e Bezerros'!#REF!-'Vacas e Bezerros'!#REF!)) - (3.13 * ('Vacas e Bezerros'!#REF!-'Vacas e Bezerros'!#REF!)^2)</f>
        <v>#REF!</v>
      </c>
      <c r="FL56" s="16" t="e">
        <f>((FM55+('Vacas e Bezerros'!#REF!-(FM55*0.64))/0.8)/1000)-'Vacas e Bezerros'!#REF!</f>
        <v>#REF!</v>
      </c>
      <c r="FM56" s="17" t="e">
        <f>-53.07 + (304.89 * (FL56)) + (90.79 *('Vacas e Bezerros'!#REF!-'Vacas e Bezerros'!#REF!)) - (3.13 * ('Vacas e Bezerros'!#REF!-'Vacas e Bezerros'!#REF!)^2)</f>
        <v>#REF!</v>
      </c>
      <c r="FO56" s="16" t="e">
        <f>((FP55+('Vacas e Bezerros'!#REF!-(FP55*0.64))/0.8)/1000)-'Vacas e Bezerros'!#REF!</f>
        <v>#REF!</v>
      </c>
      <c r="FP56" s="17" t="e">
        <f>-53.07 + (304.89 * (FO56)) + (90.79 *('Vacas e Bezerros'!#REF!-'Vacas e Bezerros'!#REF!)) - (3.13 * ('Vacas e Bezerros'!#REF!-'Vacas e Bezerros'!#REF!)^2)</f>
        <v>#REF!</v>
      </c>
      <c r="FR56" s="16" t="e">
        <f>((FS55+('Vacas e Bezerros'!#REF!-(FS55*0.64))/0.8)/1000)-'Vacas e Bezerros'!#REF!</f>
        <v>#REF!</v>
      </c>
      <c r="FS56" s="17" t="e">
        <f>-53.07 + (304.89 * (FR56)) + (90.79 *('Vacas e Bezerros'!#REF!-'Vacas e Bezerros'!#REF!)) - (3.13 * ('Vacas e Bezerros'!#REF!-'Vacas e Bezerros'!#REF!)^2)</f>
        <v>#REF!</v>
      </c>
      <c r="FU56" s="16" t="e">
        <f>((FV55+('Vacas e Bezerros'!#REF!-(FV55*0.64))/0.8)/1000)-'Vacas e Bezerros'!#REF!</f>
        <v>#REF!</v>
      </c>
      <c r="FV56" s="17" t="e">
        <f>-53.07 + (304.89 * (FU56)) + (90.79 *('Vacas e Bezerros'!#REF!-'Vacas e Bezerros'!#REF!)) - (3.13 * ('Vacas e Bezerros'!#REF!-'Vacas e Bezerros'!#REF!)^2)</f>
        <v>#REF!</v>
      </c>
      <c r="FX56" s="16" t="e">
        <f>((FY55+('Vacas e Bezerros'!#REF!-(FY55*0.64))/0.8)/1000)-'Vacas e Bezerros'!#REF!</f>
        <v>#REF!</v>
      </c>
      <c r="FY56" s="17" t="e">
        <f>-53.07 + (304.89 * (FX56)) + (90.79 *('Vacas e Bezerros'!#REF!-'Vacas e Bezerros'!#REF!)) - (3.13 * ('Vacas e Bezerros'!#REF!-'Vacas e Bezerros'!#REF!)^2)</f>
        <v>#REF!</v>
      </c>
      <c r="GA56" s="16" t="e">
        <f>((GB55+('Vacas e Bezerros'!#REF!-(GB55*0.64))/0.8)/1000)-'Vacas e Bezerros'!#REF!</f>
        <v>#REF!</v>
      </c>
      <c r="GB56" s="17" t="e">
        <f>-53.07 + (304.89 * (GA56)) + (90.79 *('Vacas e Bezerros'!#REF!-'Vacas e Bezerros'!#REF!)) - (3.13 * ('Vacas e Bezerros'!#REF!-'Vacas e Bezerros'!#REF!)^2)</f>
        <v>#REF!</v>
      </c>
      <c r="GD56" s="16" t="e">
        <f>((GE55+('Vacas e Bezerros'!#REF!-(GE55*0.64))/0.8)/1000)-'Vacas e Bezerros'!#REF!</f>
        <v>#REF!</v>
      </c>
      <c r="GE56" s="17" t="e">
        <f>-53.07 + (304.89 * (GD56)) + (90.79 *('Vacas e Bezerros'!#REF!-'Vacas e Bezerros'!#REF!)) - (3.13 * ('Vacas e Bezerros'!#REF!-'Vacas e Bezerros'!#REF!)^2)</f>
        <v>#REF!</v>
      </c>
      <c r="GG56" s="16" t="e">
        <f>((GH55+('Vacas e Bezerros'!#REF!-(GH55*0.64))/0.8)/1000)-'Vacas e Bezerros'!#REF!</f>
        <v>#REF!</v>
      </c>
      <c r="GH56" s="17" t="e">
        <f>-53.07 + (304.89 * (GG56)) + (90.79 *('Vacas e Bezerros'!#REF!-'Vacas e Bezerros'!#REF!)) - (3.13 * ('Vacas e Bezerros'!#REF!-'Vacas e Bezerros'!#REF!)^2)</f>
        <v>#REF!</v>
      </c>
      <c r="GJ56" s="16" t="e">
        <f>((GK55+('Vacas e Bezerros'!#REF!-(GK55*0.64))/0.8)/1000)-'Vacas e Bezerros'!#REF!</f>
        <v>#REF!</v>
      </c>
      <c r="GK56" s="17" t="e">
        <f>-53.07 + (304.89 * (GJ56)) + (90.79 *('Vacas e Bezerros'!#REF!-'Vacas e Bezerros'!#REF!)) - (3.13 * ('Vacas e Bezerros'!#REF!-'Vacas e Bezerros'!#REF!)^2)</f>
        <v>#REF!</v>
      </c>
      <c r="GM56" s="16" t="e">
        <f>((GN55+('Vacas e Bezerros'!#REF!-(GN55*0.64))/0.8)/1000)-'Vacas e Bezerros'!#REF!</f>
        <v>#REF!</v>
      </c>
      <c r="GN56" s="17" t="e">
        <f>-53.07 + (304.89 * (GM56)) + (90.79 *('Vacas e Bezerros'!#REF!-'Vacas e Bezerros'!#REF!)) - (3.13 * ('Vacas e Bezerros'!#REF!-'Vacas e Bezerros'!#REF!)^2)</f>
        <v>#REF!</v>
      </c>
    </row>
    <row r="57" spans="3:196" x14ac:dyDescent="0.25">
      <c r="C57" s="16">
        <f>(D56+('Vacas e Bezerros'!$AA$28-(D56*0.64))/0.8)/1000</f>
        <v>0.35719668016155687</v>
      </c>
      <c r="D57" s="17">
        <f>-53.07 + (304.89 * (C57-'Vacas e Bezerros'!$C$206)) + (90.79 *('Vacas e Bezerros'!$AA$22)) - (3.13 *('Vacas e Bezerros'!$AA$22)^2)</f>
        <v>165.01876457544017</v>
      </c>
      <c r="F57" s="16" t="e">
        <f>(G56+(Crescimento!#REF!-(G56*0.64))/0.8)/1000</f>
        <v>#REF!</v>
      </c>
      <c r="G57" s="17" t="e">
        <f>-53.07 + (304.89 * (F57)) + (90.79 *Crescimento!#REF!) - (3.13 * Crescimento!#REF!*Crescimento!#REF!)</f>
        <v>#REF!</v>
      </c>
      <c r="H57" s="1"/>
      <c r="I57" s="16" t="e">
        <f>(J56+(Crescimento!#REF!-(J56*0.64))/0.8)/1000</f>
        <v>#REF!</v>
      </c>
      <c r="J57" s="17" t="e">
        <f>-53.07 + (304.89 * (I57)) + (90.79 *Crescimento!#REF!) - (3.13 * Crescimento!#REF!*Crescimento!#REF!)</f>
        <v>#REF!</v>
      </c>
      <c r="L57" s="16" t="e">
        <f>(M56+(Crescimento!#REF!-(M56*0.64))/0.8)/1000</f>
        <v>#REF!</v>
      </c>
      <c r="M57" s="17" t="e">
        <f>-53.07 + (304.89 * (L57)) + (90.79 *Crescimento!#REF!) - (3.13 * Crescimento!#REF!*Crescimento!#REF!)</f>
        <v>#REF!</v>
      </c>
      <c r="O57" s="16" t="e">
        <f>(P56+(Crescimento!#REF!-(P56*0.64))/0.8)/1000</f>
        <v>#REF!</v>
      </c>
      <c r="P57" s="17" t="e">
        <f>-53.07 + (304.89 * (O57)) + (90.79 *Crescimento!#REF!) - (3.13 * Crescimento!#REF!*Crescimento!#REF!)</f>
        <v>#REF!</v>
      </c>
      <c r="R57" s="16" t="e">
        <f>(S56+(Crescimento!#REF!-(S56*0.64))/0.8)/1000</f>
        <v>#REF!</v>
      </c>
      <c r="S57" s="17" t="e">
        <f>-53.07 + (304.89 * (R57)) + (90.79 *Crescimento!#REF!) - (3.13 * Crescimento!#REF!*Crescimento!#REF!)</f>
        <v>#REF!</v>
      </c>
      <c r="U57" s="16" t="e">
        <f>(V56+(Crescimento!#REF!-(V56*0.64))/0.8)/1000</f>
        <v>#REF!</v>
      </c>
      <c r="V57" s="17" t="e">
        <f>-53.07 + (304.89 * (U57)) + (90.79 *Crescimento!#REF!) - (3.13 * Crescimento!#REF!*Crescimento!#REF!)</f>
        <v>#REF!</v>
      </c>
      <c r="X57" s="16" t="e">
        <f>(Y56+(Crescimento!#REF!-(Y56*0.64))/0.8)/1000</f>
        <v>#REF!</v>
      </c>
      <c r="Y57" s="17" t="e">
        <f>-53.07 + (304.89 * (X57)) + (90.79 *Crescimento!#REF!) - (3.13 * Crescimento!#REF!*Crescimento!#REF!)</f>
        <v>#REF!</v>
      </c>
      <c r="Z57" s="6"/>
      <c r="AA57" s="16" t="e">
        <f>(AB56+(Crescimento!#REF!-(AB56*0.64))/0.8)/1000</f>
        <v>#REF!</v>
      </c>
      <c r="AB57" s="17" t="e">
        <f>-53.07 + (304.89 * (AA57)) + (90.79 *Crescimento!#REF!) - (3.13 * Crescimento!#REF!*Crescimento!#REF!)</f>
        <v>#REF!</v>
      </c>
      <c r="AC57" s="6"/>
      <c r="AD57" s="16" t="e">
        <f>(AE56+(Crescimento!#REF!-(AE56*0.64))/0.8)/1000</f>
        <v>#REF!</v>
      </c>
      <c r="AE57" s="17" t="e">
        <f>-53.07 + (304.89 * (AD57)) + (90.79 *Crescimento!#REF!) - (3.13 * Crescimento!#REF!*Crescimento!#REF!)</f>
        <v>#REF!</v>
      </c>
      <c r="AF57" s="17"/>
      <c r="AG57" s="16" t="e">
        <f>(AH56+(Crescimento!#REF!-(AH56*0.64))/0.8)/1000</f>
        <v>#REF!</v>
      </c>
      <c r="AH57" s="17" t="e">
        <f>-53.07 + (304.89 * (AG57)) + (90.79 *Crescimento!#REF!) - (3.13 * Crescimento!#REF!*Crescimento!#REF!)</f>
        <v>#REF!</v>
      </c>
      <c r="AJ57" s="16" t="e">
        <f>(AK56+(Crescimento!#REF!-(AK56*0.64))/0.8)/1000</f>
        <v>#REF!</v>
      </c>
      <c r="AK57" s="17" t="e">
        <f>-53.07 + (304.89 * (AJ57)) + (90.79 *Crescimento!#REF!) - (3.13 * Crescimento!#REF!*Crescimento!#REF!)</f>
        <v>#REF!</v>
      </c>
      <c r="AM57" s="16" t="e">
        <f>(AN56+(Crescimento!#REF!-(AN56*0.64))/0.8)/1000</f>
        <v>#REF!</v>
      </c>
      <c r="AN57" s="17" t="e">
        <f>-53.07 + (304.89 * (AM57)) + (90.79 *Crescimento!#REF!) - (3.13 * Crescimento!#REF!*Crescimento!#REF!)</f>
        <v>#REF!</v>
      </c>
      <c r="AP57" s="16" t="e">
        <f>(AQ56+(Crescimento!#REF!-(AQ56*0.64))/0.8)/1000</f>
        <v>#REF!</v>
      </c>
      <c r="AQ57" s="17" t="e">
        <f>-53.07 + (304.89 * (AP57)) + (90.79 *Crescimento!#REF!) - (3.13 * Crescimento!#REF!*Crescimento!#REF!)</f>
        <v>#REF!</v>
      </c>
      <c r="AS57" s="16" t="e">
        <f>(AT56+(Crescimento!#REF!-(AT56*0.64))/0.8)/1000</f>
        <v>#REF!</v>
      </c>
      <c r="AT57" s="17" t="e">
        <f>-53.07 + (304.89 * (AS57)) + (90.79 *Crescimento!#REF!) - (3.13 * Crescimento!#REF!*Crescimento!#REF!)</f>
        <v>#REF!</v>
      </c>
      <c r="AV57" s="16" t="e">
        <f>(AW56+(Crescimento!#REF!-(AW56*0.64))/0.8)/1000</f>
        <v>#REF!</v>
      </c>
      <c r="AW57" s="17" t="e">
        <f>-53.07 + (304.89 * (AV57)) + (90.79 *Crescimento!#REF!) - (3.13 * Crescimento!#REF!*Crescimento!#REF!)</f>
        <v>#REF!</v>
      </c>
      <c r="AY57" s="21" t="e">
        <f>((AZ56+(Crescimento!#REF!-(AZ56*0.64))/0.8)/1000)-Crescimento!#REF!</f>
        <v>#REF!</v>
      </c>
      <c r="AZ57" s="22" t="e">
        <f>-53.07 + (304.89 * (AY57)) + (90.79 *(Crescimento!#REF!-Crescimento!#REF!)) - (3.13 * (Crescimento!#REF!-Crescimento!#REF!)^2)</f>
        <v>#REF!</v>
      </c>
      <c r="BA57" s="23"/>
      <c r="BB57" s="21" t="e">
        <f>((BC56+(Crescimento!#REF!-(BC56*0.64))/0.8)/1000)-Crescimento!#REF!</f>
        <v>#REF!</v>
      </c>
      <c r="BC57" s="22" t="e">
        <f>-53.07 + (304.89 * (BB57)) + (90.79 *(Crescimento!#REF!-Crescimento!#REF!)) - (3.13 * (Crescimento!#REF!-Crescimento!#REF!)^2)</f>
        <v>#REF!</v>
      </c>
      <c r="BD57" s="23"/>
      <c r="BE57" s="21" t="e">
        <f>((BF56+(Crescimento!#REF!-(BF56*0.64))/0.8)/1000)-Crescimento!#REF!</f>
        <v>#REF!</v>
      </c>
      <c r="BF57" s="22" t="e">
        <f>-53.07 + (304.89 * (BE57)) + (90.79 *(Crescimento!#REF!-Crescimento!#REF!)) - (3.13 * (Crescimento!#REF!-Crescimento!#REF!)^2)</f>
        <v>#REF!</v>
      </c>
      <c r="BG57" s="23"/>
      <c r="BH57" s="21" t="e">
        <f>((BI56+(Crescimento!#REF!-(BI56*0.64))/0.8)/1000)-Crescimento!#REF!</f>
        <v>#REF!</v>
      </c>
      <c r="BI57" s="22" t="e">
        <f>-53.07 + (304.89 * (BH57)) + (90.79 *(Crescimento!#REF!-Crescimento!#REF!)) - (3.13 * (Crescimento!#REF!-Crescimento!#REF!)^2)</f>
        <v>#REF!</v>
      </c>
      <c r="BJ57" s="23"/>
      <c r="BK57" s="21" t="e">
        <f>((BL56+(Crescimento!#REF!-(BL56*0.64))/0.8)/1000)-Crescimento!#REF!</f>
        <v>#REF!</v>
      </c>
      <c r="BL57" s="22" t="e">
        <f>-53.07 + (304.89 * (BK57)) + (90.79 *(Crescimento!#REF!-Crescimento!#REF!)) - (3.13 * (Crescimento!#REF!-Crescimento!#REF!)^2)</f>
        <v>#REF!</v>
      </c>
      <c r="BM57" s="23"/>
      <c r="BN57" s="21" t="e">
        <f>((BO56+(Crescimento!#REF!-(BO56*0.64))/0.8)/1000)-Crescimento!#REF!</f>
        <v>#REF!</v>
      </c>
      <c r="BO57" s="22" t="e">
        <f>-53.07 + (304.89 * (BN57)) + (90.79 *(Crescimento!#REF!-Crescimento!#REF!)) - (3.13 * (Crescimento!#REF!-Crescimento!#REF!)^2)</f>
        <v>#REF!</v>
      </c>
      <c r="BP57" s="23"/>
      <c r="BQ57" s="21" t="e">
        <f>((BR56+(Crescimento!#REF!-(BR56*0.64))/0.8)/1000)-Crescimento!#REF!</f>
        <v>#REF!</v>
      </c>
      <c r="BR57" s="22" t="e">
        <f>-53.07 + (304.89 * (BQ57)) + (90.79 *(Crescimento!#REF!-Crescimento!#REF!)) - (3.13 * (Crescimento!#REF!-Crescimento!#REF!)^2)</f>
        <v>#REF!</v>
      </c>
      <c r="BS57" s="23"/>
      <c r="BT57" s="21" t="e">
        <f>((BU56+(Crescimento!#REF!-(BU56*0.64))/0.8)/1000)-Crescimento!#REF!</f>
        <v>#REF!</v>
      </c>
      <c r="BU57" s="22" t="e">
        <f>-53.07 + (304.89 * (BT57)) + (90.79 *(Crescimento!#REF!-Crescimento!#REF!)) - (3.13 * (Crescimento!#REF!-Crescimento!#REF!)^2)</f>
        <v>#REF!</v>
      </c>
      <c r="BV57" s="23"/>
      <c r="BW57" s="21" t="e">
        <f>((BX56+(Crescimento!#REF!-(BX56*0.64))/0.8)/1000)-Crescimento!#REF!</f>
        <v>#REF!</v>
      </c>
      <c r="BX57" s="22" t="e">
        <f>-53.07 + (304.89 * (BW57)) + (90.79 *(Crescimento!#REF!-Crescimento!#REF!)) - (3.13 * (Crescimento!#REF!-Crescimento!#REF!)^2)</f>
        <v>#REF!</v>
      </c>
      <c r="BY57" s="23"/>
      <c r="BZ57" s="21" t="e">
        <f>((CA56+(Crescimento!#REF!-(CA56*0.64))/0.8)/1000)-Crescimento!#REF!</f>
        <v>#REF!</v>
      </c>
      <c r="CA57" s="22" t="e">
        <f>-53.07 + (304.89 * (BZ57)) + (90.79 *(Crescimento!#REF!-Crescimento!#REF!)) - (3.13 * (Crescimento!#REF!-Crescimento!#REF!)^2)</f>
        <v>#REF!</v>
      </c>
      <c r="CB57" s="23"/>
      <c r="CC57" s="21" t="e">
        <f>((CD56+(Crescimento!#REF!-(CD56*0.64))/0.8)/1000)-Crescimento!#REF!</f>
        <v>#REF!</v>
      </c>
      <c r="CD57" s="22" t="e">
        <f>-53.07 + (304.89 * (CC57)) + (90.79 *(Crescimento!#REF!-Crescimento!#REF!)) - (3.13 * (Crescimento!#REF!-Crescimento!#REF!)^2)</f>
        <v>#REF!</v>
      </c>
      <c r="CE57" s="23"/>
      <c r="CF57" s="21" t="e">
        <f>((CG56+(Crescimento!#REF!-(CG56*0.64))/0.8)/1000)-Crescimento!#REF!</f>
        <v>#REF!</v>
      </c>
      <c r="CG57" s="22" t="e">
        <f>-53.07 + (304.89 * (CF57)) + (90.79 *(Crescimento!#REF!-Crescimento!#REF!)) - (3.13 * (Crescimento!#REF!-Crescimento!#REF!)^2)</f>
        <v>#REF!</v>
      </c>
      <c r="CH57" s="23"/>
      <c r="CI57" s="21" t="e">
        <f>((CJ56+(Crescimento!#REF!-(CJ56*0.64))/0.8)/1000)-Crescimento!#REF!</f>
        <v>#REF!</v>
      </c>
      <c r="CJ57" s="22" t="e">
        <f>-53.07 + (304.89 * (CI57)) + (90.79 *(Crescimento!#REF!-Crescimento!#REF!)) - (3.13 * (Crescimento!#REF!-Crescimento!#REF!)^2)</f>
        <v>#REF!</v>
      </c>
      <c r="CK57" s="23"/>
      <c r="CL57" s="21" t="e">
        <f>((CM56+(Crescimento!#REF!-(CM56*0.64))/0.8)/1000)-Crescimento!#REF!</f>
        <v>#REF!</v>
      </c>
      <c r="CM57" s="22" t="e">
        <f>-53.07 + (304.89 * (CL57)) + (90.79 *(Crescimento!#REF!-Crescimento!#REF!)) - (3.13 * (Crescimento!#REF!-Crescimento!#REF!)^2)</f>
        <v>#REF!</v>
      </c>
      <c r="CN57" s="23"/>
      <c r="CO57" s="21" t="e">
        <f>((CP56+(Crescimento!#REF!-(CP56*0.64))/0.8)/1000)-Crescimento!#REF!</f>
        <v>#REF!</v>
      </c>
      <c r="CP57" s="22" t="e">
        <f>-53.07 + (304.89 * (CO57)) + (90.79 *(Crescimento!#REF!-Crescimento!#REF!)) - (3.13 * (Crescimento!#REF!-Crescimento!#REF!)^2)</f>
        <v>#REF!</v>
      </c>
      <c r="CQ57" s="23"/>
      <c r="CR57" s="21" t="e">
        <f>((CS56+(Crescimento!#REF!-(CS56*0.64))/0.8)/1000)-Crescimento!#REF!</f>
        <v>#REF!</v>
      </c>
      <c r="CS57" s="22" t="e">
        <f>-53.07 + (304.89 * (CR57)) + (90.79 *(Crescimento!#REF!-Crescimento!#REF!)) - (3.13 * (Crescimento!#REF!-Crescimento!#REF!)^2)</f>
        <v>#REF!</v>
      </c>
      <c r="CX57" s="16" t="e">
        <f>((CY56+(Crescimento!#REF!-(CY56*0.64))/0.8)/1000)-Crescimento!#REF!</f>
        <v>#REF!</v>
      </c>
      <c r="CY57" s="17" t="e">
        <f>-53.07 + (304.89 * (CX57)) + (90.79 *(Crescimento!#REF!-Crescimento!#REF!)) - (3.13 * (Crescimento!#REF!-Crescimento!#REF!)^2)</f>
        <v>#REF!</v>
      </c>
      <c r="DA57" s="16" t="e">
        <f>((DB56+(Crescimento!#REF!-(DB56*0.64))/0.8)/1000)-Crescimento!#REF!</f>
        <v>#REF!</v>
      </c>
      <c r="DB57" s="17" t="e">
        <f>-53.07 + (304.89 * (DA57)) + (90.79 *(Crescimento!#REF!-Crescimento!#REF!)) - (3.13 * (Crescimento!#REF!-Crescimento!#REF!)^2)</f>
        <v>#REF!</v>
      </c>
      <c r="DD57" s="16" t="e">
        <f>(DE56+(Crescimento!#REF!-(DE56*0.64))/0.8)/1000</f>
        <v>#REF!</v>
      </c>
      <c r="DE57" s="17" t="e">
        <f>-53.07 + (304.89 * (DD57)) + (90.79 *Crescimento!#REF!) - (3.13 * Crescimento!#REF!*Crescimento!#REF!)</f>
        <v>#REF!</v>
      </c>
      <c r="DG57" s="16" t="e">
        <f>((DH56+(Crescimento!#REF!-(DH56*0.64))/0.8)/1000)-Crescimento!#REF!</f>
        <v>#REF!</v>
      </c>
      <c r="DH57" s="17" t="e">
        <f>-53.07 + (304.89 * (DG57)) + (90.79 *(Crescimento!#REF!-Crescimento!#REF!)) - (3.13 * (Crescimento!#REF!-Crescimento!#REF!)^2)</f>
        <v>#REF!</v>
      </c>
      <c r="DJ57" s="16" t="e">
        <f>((DK56+(Crescimento!#REF!-(DK56*0.64))/0.8)/1000)-Crescimento!#REF!</f>
        <v>#REF!</v>
      </c>
      <c r="DK57" s="17" t="e">
        <f>-53.07 + (304.89 * (DJ57)) + (90.79 *(Crescimento!#REF!-Crescimento!#REF!)) - (3.13 * (Crescimento!#REF!-Crescimento!#REF!)^2)</f>
        <v>#REF!</v>
      </c>
      <c r="DM57" s="16" t="e">
        <f>((DN56+(Crescimento!#REF!-(DN56*0.64))/0.8)/1000)-Crescimento!#REF!</f>
        <v>#REF!</v>
      </c>
      <c r="DN57" s="17" t="e">
        <f>-53.07 + (304.89 * (DM57)) + (90.79 *(Crescimento!#REF!-Crescimento!#REF!)) - (3.13 * (Crescimento!#REF!-Crescimento!#REF!)^2)</f>
        <v>#REF!</v>
      </c>
      <c r="DP57" s="16" t="e">
        <f>(DQ56+(Crescimento!#REF!-(DQ56*0.64))/0.8)/1000</f>
        <v>#REF!</v>
      </c>
      <c r="DQ57" s="17" t="e">
        <f>-53.07 + (304.89 * (DP57)) + (90.79 *(Crescimento!#REF!-Crescimento!#REF!)) - (3.13 * (Crescimento!#REF!-Crescimento!#REF!)^2)</f>
        <v>#REF!</v>
      </c>
      <c r="DS57" s="16" t="e">
        <f>((DT56+(Crescimento!#REF!-(DT56*0.64))/0.8)/1000)-Crescimento!#REF!</f>
        <v>#REF!</v>
      </c>
      <c r="DT57" s="17" t="e">
        <f>-53.07 + (304.89 * (DS57)) + (90.79 *(Crescimento!#REF!-Crescimento!#REF!)) - (3.13 * (Crescimento!#REF!-Crescimento!#REF!)^2)</f>
        <v>#REF!</v>
      </c>
      <c r="DV57" s="16" t="e">
        <f>((DW56+(Crescimento!#REF!-(DW56*0.64))/0.8)/1000)-Crescimento!#REF!</f>
        <v>#REF!</v>
      </c>
      <c r="DW57" s="17" t="e">
        <f>-53.07 + (304.89 * (DV57)) + (90.79 *(Crescimento!#REF!-Crescimento!#REF!)) - (3.13 * (Crescimento!#REF!-Crescimento!#REF!)^2)</f>
        <v>#REF!</v>
      </c>
      <c r="DY57" s="16" t="e">
        <f>((DZ56+(Crescimento!#REF!-(DZ56*0.64))/0.8)/1000)-Crescimento!#REF!</f>
        <v>#REF!</v>
      </c>
      <c r="DZ57" s="17" t="e">
        <f>-53.07 + (304.89 * (DY57)) + (90.79 *(Crescimento!#REF!-Crescimento!#REF!)) - (3.13 * (Crescimento!#REF!-Crescimento!#REF!)^2)</f>
        <v>#REF!</v>
      </c>
      <c r="EB57" s="16" t="e">
        <f>((EC56+(Crescimento!#REF!-(EC56*0.64))/0.8)/1000)-Crescimento!#REF!</f>
        <v>#REF!</v>
      </c>
      <c r="EC57" s="17" t="e">
        <f>-53.07 + (304.89 * (EB57)) + (90.79 *(Crescimento!#REF!-Crescimento!#REF!)) - (3.13 * (Crescimento!#REF!-Crescimento!#REF!)^2)</f>
        <v>#REF!</v>
      </c>
      <c r="EE57" s="16" t="e">
        <f>((EF56+(Crescimento!#REF!-(EF56*0.64))/0.8)/1000)-Crescimento!#REF!</f>
        <v>#REF!</v>
      </c>
      <c r="EF57" s="17" t="e">
        <f>-53.07 + (304.89 * (EE57)) + (90.79 *(Crescimento!#REF!-Crescimento!#REF!)) - (3.13 * (Crescimento!#REF!-Crescimento!#REF!)^2)</f>
        <v>#REF!</v>
      </c>
      <c r="EH57" s="16" t="e">
        <f>((EI56+(Crescimento!#REF!-(EI56*0.64))/0.8)/1000)-Crescimento!#REF!</f>
        <v>#REF!</v>
      </c>
      <c r="EI57" s="17" t="e">
        <f>-53.07 + (304.89 * (EH57)) + (90.79 *(Crescimento!#REF!-Crescimento!#REF!)) - (3.13 * (Crescimento!#REF!-Crescimento!#REF!)^2)</f>
        <v>#REF!</v>
      </c>
      <c r="EK57" s="16" t="e">
        <f>((EL56+(Crescimento!#REF!-(EL56*0.64))/0.8)/1000)-Crescimento!#REF!</f>
        <v>#REF!</v>
      </c>
      <c r="EL57" s="17" t="e">
        <f>-53.07 + (304.89 * (EK57)) + (90.79 *(Crescimento!#REF!-Crescimento!#REF!)) - (3.13 * (Crescimento!#REF!-Crescimento!#REF!)^2)</f>
        <v>#REF!</v>
      </c>
      <c r="EN57" s="16" t="e">
        <f>((EO56+(Crescimento!#REF!-(EO56*0.64))/0.8)/1000)-Crescimento!#REF!</f>
        <v>#REF!</v>
      </c>
      <c r="EO57" s="17" t="e">
        <f>-53.07 + (304.89 * (EN57)) + (90.79 *(Crescimento!#REF!-Crescimento!#REF!)) - (3.13 * (Crescimento!#REF!-Crescimento!#REF!)^2)</f>
        <v>#REF!</v>
      </c>
      <c r="EQ57" s="16" t="e">
        <f>((ER56+(Crescimento!#REF!-(ER56*0.64))/0.8)/1000)-Crescimento!#REF!</f>
        <v>#REF!</v>
      </c>
      <c r="ER57" s="17" t="e">
        <f>-53.07 + (304.89 * (EQ57)) + (90.79 *(Crescimento!#REF!-Crescimento!#REF!)) - (3.13 * (Crescimento!#REF!-Crescimento!#REF!)^2)</f>
        <v>#REF!</v>
      </c>
      <c r="ET57" s="16" t="e">
        <f>((EU56+(Crescimento!#REF!-(EU56*0.64))/0.8)/1000)-Crescimento!#REF!</f>
        <v>#REF!</v>
      </c>
      <c r="EU57" s="17" t="e">
        <f>-53.07 + (304.89 * (ET57)) + (90.79 *(Crescimento!#REF!-Crescimento!#REF!)) - (3.13 * (Crescimento!#REF!-Crescimento!#REF!)^2)</f>
        <v>#REF!</v>
      </c>
      <c r="EW57" s="16" t="e">
        <f>((EX56+('Vacas e Bezerros'!#REF!-(EX56*0.64))/0.8)/1000)-'Vacas e Bezerros'!#REF!</f>
        <v>#REF!</v>
      </c>
      <c r="EX57" s="17" t="e">
        <f>-53.07 + (304.89 * (EW57)) + (90.79 *('Vacas e Bezerros'!#REF!-'Vacas e Bezerros'!#REF!)) - (3.13 * ('Vacas e Bezerros'!#REF!-'Vacas e Bezerros'!#REF!)^2)</f>
        <v>#REF!</v>
      </c>
      <c r="EZ57" s="16" t="e">
        <f>((FA56+('Vacas e Bezerros'!#REF!-(FA56*0.64))/0.8)/1000)-'Vacas e Bezerros'!#REF!</f>
        <v>#REF!</v>
      </c>
      <c r="FA57" s="17" t="e">
        <f>-53.07 + (304.89 * (EZ57)) + (90.79 *('Vacas e Bezerros'!#REF!-'Vacas e Bezerros'!#REF!)) - (3.13 * ('Vacas e Bezerros'!#REF!-'Vacas e Bezerros'!#REF!)^2)</f>
        <v>#REF!</v>
      </c>
      <c r="FC57" s="16" t="e">
        <f>((FD56+('Vacas e Bezerros'!#REF!-(FD56*0.64))/0.8)/1000)-'Vacas e Bezerros'!#REF!</f>
        <v>#REF!</v>
      </c>
      <c r="FD57" s="17" t="e">
        <f>-53.07 + (304.89 * (FC57)) + (90.79 *('Vacas e Bezerros'!#REF!-'Vacas e Bezerros'!#REF!)) - (3.13 * ('Vacas e Bezerros'!#REF!-'Vacas e Bezerros'!#REF!)^2)</f>
        <v>#REF!</v>
      </c>
      <c r="FF57" s="16" t="e">
        <f>((FG56+('Vacas e Bezerros'!#REF!-(FG56*0.64))/0.8)/1000)-'Vacas e Bezerros'!#REF!</f>
        <v>#REF!</v>
      </c>
      <c r="FG57" s="17" t="e">
        <f>-53.07 + (304.89 * (FF57)) + (90.79 *('Vacas e Bezerros'!#REF!-'Vacas e Bezerros'!#REF!)) - (3.13 * ('Vacas e Bezerros'!#REF!-'Vacas e Bezerros'!#REF!)^2)</f>
        <v>#REF!</v>
      </c>
      <c r="FI57" s="16" t="e">
        <f>((FJ56+('Vacas e Bezerros'!#REF!-(FJ56*0.64))/0.8)/1000)-'Vacas e Bezerros'!#REF!</f>
        <v>#REF!</v>
      </c>
      <c r="FJ57" s="17" t="e">
        <f>-53.07 + (304.89 * (FI57)) + (90.79 *('Vacas e Bezerros'!#REF!-'Vacas e Bezerros'!#REF!)) - (3.13 * ('Vacas e Bezerros'!#REF!-'Vacas e Bezerros'!#REF!)^2)</f>
        <v>#REF!</v>
      </c>
      <c r="FL57" s="16" t="e">
        <f>((FM56+('Vacas e Bezerros'!#REF!-(FM56*0.64))/0.8)/1000)-'Vacas e Bezerros'!#REF!</f>
        <v>#REF!</v>
      </c>
      <c r="FM57" s="17" t="e">
        <f>-53.07 + (304.89 * (FL57)) + (90.79 *('Vacas e Bezerros'!#REF!-'Vacas e Bezerros'!#REF!)) - (3.13 * ('Vacas e Bezerros'!#REF!-'Vacas e Bezerros'!#REF!)^2)</f>
        <v>#REF!</v>
      </c>
      <c r="FO57" s="16" t="e">
        <f>((FP56+('Vacas e Bezerros'!#REF!-(FP56*0.64))/0.8)/1000)-'Vacas e Bezerros'!#REF!</f>
        <v>#REF!</v>
      </c>
      <c r="FP57" s="17" t="e">
        <f>-53.07 + (304.89 * (FO57)) + (90.79 *('Vacas e Bezerros'!#REF!-'Vacas e Bezerros'!#REF!)) - (3.13 * ('Vacas e Bezerros'!#REF!-'Vacas e Bezerros'!#REF!)^2)</f>
        <v>#REF!</v>
      </c>
      <c r="FR57" s="16" t="e">
        <f>((FS56+('Vacas e Bezerros'!#REF!-(FS56*0.64))/0.8)/1000)-'Vacas e Bezerros'!#REF!</f>
        <v>#REF!</v>
      </c>
      <c r="FS57" s="17" t="e">
        <f>-53.07 + (304.89 * (FR57)) + (90.79 *('Vacas e Bezerros'!#REF!-'Vacas e Bezerros'!#REF!)) - (3.13 * ('Vacas e Bezerros'!#REF!-'Vacas e Bezerros'!#REF!)^2)</f>
        <v>#REF!</v>
      </c>
      <c r="FU57" s="16" t="e">
        <f>((FV56+('Vacas e Bezerros'!#REF!-(FV56*0.64))/0.8)/1000)-'Vacas e Bezerros'!#REF!</f>
        <v>#REF!</v>
      </c>
      <c r="FV57" s="17" t="e">
        <f>-53.07 + (304.89 * (FU57)) + (90.79 *('Vacas e Bezerros'!#REF!-'Vacas e Bezerros'!#REF!)) - (3.13 * ('Vacas e Bezerros'!#REF!-'Vacas e Bezerros'!#REF!)^2)</f>
        <v>#REF!</v>
      </c>
      <c r="FX57" s="16" t="e">
        <f>((FY56+('Vacas e Bezerros'!#REF!-(FY56*0.64))/0.8)/1000)-'Vacas e Bezerros'!#REF!</f>
        <v>#REF!</v>
      </c>
      <c r="FY57" s="17" t="e">
        <f>-53.07 + (304.89 * (FX57)) + (90.79 *('Vacas e Bezerros'!#REF!-'Vacas e Bezerros'!#REF!)) - (3.13 * ('Vacas e Bezerros'!#REF!-'Vacas e Bezerros'!#REF!)^2)</f>
        <v>#REF!</v>
      </c>
      <c r="GA57" s="16" t="e">
        <f>((GB56+('Vacas e Bezerros'!#REF!-(GB56*0.64))/0.8)/1000)-'Vacas e Bezerros'!#REF!</f>
        <v>#REF!</v>
      </c>
      <c r="GB57" s="17" t="e">
        <f>-53.07 + (304.89 * (GA57)) + (90.79 *('Vacas e Bezerros'!#REF!-'Vacas e Bezerros'!#REF!)) - (3.13 * ('Vacas e Bezerros'!#REF!-'Vacas e Bezerros'!#REF!)^2)</f>
        <v>#REF!</v>
      </c>
      <c r="GD57" s="16" t="e">
        <f>((GE56+('Vacas e Bezerros'!#REF!-(GE56*0.64))/0.8)/1000)-'Vacas e Bezerros'!#REF!</f>
        <v>#REF!</v>
      </c>
      <c r="GE57" s="17" t="e">
        <f>-53.07 + (304.89 * (GD57)) + (90.79 *('Vacas e Bezerros'!#REF!-'Vacas e Bezerros'!#REF!)) - (3.13 * ('Vacas e Bezerros'!#REF!-'Vacas e Bezerros'!#REF!)^2)</f>
        <v>#REF!</v>
      </c>
      <c r="GG57" s="16" t="e">
        <f>((GH56+('Vacas e Bezerros'!#REF!-(GH56*0.64))/0.8)/1000)-'Vacas e Bezerros'!#REF!</f>
        <v>#REF!</v>
      </c>
      <c r="GH57" s="17" t="e">
        <f>-53.07 + (304.89 * (GG57)) + (90.79 *('Vacas e Bezerros'!#REF!-'Vacas e Bezerros'!#REF!)) - (3.13 * ('Vacas e Bezerros'!#REF!-'Vacas e Bezerros'!#REF!)^2)</f>
        <v>#REF!</v>
      </c>
      <c r="GJ57" s="16" t="e">
        <f>((GK56+('Vacas e Bezerros'!#REF!-(GK56*0.64))/0.8)/1000)-'Vacas e Bezerros'!#REF!</f>
        <v>#REF!</v>
      </c>
      <c r="GK57" s="17" t="e">
        <f>-53.07 + (304.89 * (GJ57)) + (90.79 *('Vacas e Bezerros'!#REF!-'Vacas e Bezerros'!#REF!)) - (3.13 * ('Vacas e Bezerros'!#REF!-'Vacas e Bezerros'!#REF!)^2)</f>
        <v>#REF!</v>
      </c>
      <c r="GM57" s="16" t="e">
        <f>((GN56+('Vacas e Bezerros'!#REF!-(GN56*0.64))/0.8)/1000)-'Vacas e Bezerros'!#REF!</f>
        <v>#REF!</v>
      </c>
      <c r="GN57" s="17" t="e">
        <f>-53.07 + (304.89 * (GM57)) + (90.79 *('Vacas e Bezerros'!#REF!-'Vacas e Bezerros'!#REF!)) - (3.13 * ('Vacas e Bezerros'!#REF!-'Vacas e Bezerros'!#REF!)^2)</f>
        <v>#REF!</v>
      </c>
    </row>
    <row r="58" spans="3:196" x14ac:dyDescent="0.25">
      <c r="C58" s="16">
        <f>(D57+('Vacas e Bezerros'!$AA$28-(D57*0.64))/0.8)/1000</f>
        <v>0.35719668016155687</v>
      </c>
      <c r="D58" s="17">
        <f>-53.07 + (304.89 * (C58-'Vacas e Bezerros'!$C$206)) + (90.79 *('Vacas e Bezerros'!$AA$22)) - (3.13 *('Vacas e Bezerros'!$AA$22)^2)</f>
        <v>165.01876457544017</v>
      </c>
      <c r="F58" s="16" t="e">
        <f>(G57+(Crescimento!#REF!-(G57*0.64))/0.8)/1000</f>
        <v>#REF!</v>
      </c>
      <c r="G58" s="17" t="e">
        <f>-53.07 + (304.89 * (F58)) + (90.79 *Crescimento!#REF!) - (3.13 * Crescimento!#REF!*Crescimento!#REF!)</f>
        <v>#REF!</v>
      </c>
      <c r="H58" s="1"/>
      <c r="I58" s="16" t="e">
        <f>(J57+(Crescimento!#REF!-(J57*0.64))/0.8)/1000</f>
        <v>#REF!</v>
      </c>
      <c r="J58" s="17" t="e">
        <f>-53.07 + (304.89 * (I58)) + (90.79 *Crescimento!#REF!) - (3.13 * Crescimento!#REF!*Crescimento!#REF!)</f>
        <v>#REF!</v>
      </c>
      <c r="L58" s="16" t="e">
        <f>(M57+(Crescimento!#REF!-(M57*0.64))/0.8)/1000</f>
        <v>#REF!</v>
      </c>
      <c r="M58" s="17" t="e">
        <f>-53.07 + (304.89 * (L58)) + (90.79 *Crescimento!#REF!) - (3.13 * Crescimento!#REF!*Crescimento!#REF!)</f>
        <v>#REF!</v>
      </c>
      <c r="O58" s="16" t="e">
        <f>(P57+(Crescimento!#REF!-(P57*0.64))/0.8)/1000</f>
        <v>#REF!</v>
      </c>
      <c r="P58" s="17" t="e">
        <f>-53.07 + (304.89 * (O58)) + (90.79 *Crescimento!#REF!) - (3.13 * Crescimento!#REF!*Crescimento!#REF!)</f>
        <v>#REF!</v>
      </c>
      <c r="R58" s="16" t="e">
        <f>(S57+(Crescimento!#REF!-(S57*0.64))/0.8)/1000</f>
        <v>#REF!</v>
      </c>
      <c r="S58" s="17" t="e">
        <f>-53.07 + (304.89 * (R58)) + (90.79 *Crescimento!#REF!) - (3.13 * Crescimento!#REF!*Crescimento!#REF!)</f>
        <v>#REF!</v>
      </c>
      <c r="U58" s="16" t="e">
        <f>(V57+(Crescimento!#REF!-(V57*0.64))/0.8)/1000</f>
        <v>#REF!</v>
      </c>
      <c r="V58" s="17" t="e">
        <f>-53.07 + (304.89 * (U58)) + (90.79 *Crescimento!#REF!) - (3.13 * Crescimento!#REF!*Crescimento!#REF!)</f>
        <v>#REF!</v>
      </c>
      <c r="X58" s="16" t="e">
        <f>(Y57+(Crescimento!#REF!-(Y57*0.64))/0.8)/1000</f>
        <v>#REF!</v>
      </c>
      <c r="Y58" s="17" t="e">
        <f>-53.07 + (304.89 * (X58)) + (90.79 *Crescimento!#REF!) - (3.13 * Crescimento!#REF!*Crescimento!#REF!)</f>
        <v>#REF!</v>
      </c>
      <c r="Z58" s="6"/>
      <c r="AA58" s="16" t="e">
        <f>(AB57+(Crescimento!#REF!-(AB57*0.64))/0.8)/1000</f>
        <v>#REF!</v>
      </c>
      <c r="AB58" s="17" t="e">
        <f>-53.07 + (304.89 * (AA58)) + (90.79 *Crescimento!#REF!) - (3.13 * Crescimento!#REF!*Crescimento!#REF!)</f>
        <v>#REF!</v>
      </c>
      <c r="AC58" s="6"/>
      <c r="AD58" s="16" t="e">
        <f>(AE57+(Crescimento!#REF!-(AE57*0.64))/0.8)/1000</f>
        <v>#REF!</v>
      </c>
      <c r="AE58" s="17" t="e">
        <f>-53.07 + (304.89 * (AD58)) + (90.79 *Crescimento!#REF!) - (3.13 * Crescimento!#REF!*Crescimento!#REF!)</f>
        <v>#REF!</v>
      </c>
      <c r="AF58" s="17"/>
      <c r="AG58" s="16" t="e">
        <f>(AH57+(Crescimento!#REF!-(AH57*0.64))/0.8)/1000</f>
        <v>#REF!</v>
      </c>
      <c r="AH58" s="17" t="e">
        <f>-53.07 + (304.89 * (AG58)) + (90.79 *Crescimento!#REF!) - (3.13 * Crescimento!#REF!*Crescimento!#REF!)</f>
        <v>#REF!</v>
      </c>
      <c r="AJ58" s="16" t="e">
        <f>(AK57+(Crescimento!#REF!-(AK57*0.64))/0.8)/1000</f>
        <v>#REF!</v>
      </c>
      <c r="AK58" s="17" t="e">
        <f>-53.07 + (304.89 * (AJ58)) + (90.79 *Crescimento!#REF!) - (3.13 * Crescimento!#REF!*Crescimento!#REF!)</f>
        <v>#REF!</v>
      </c>
      <c r="AM58" s="16" t="e">
        <f>(AN57+(Crescimento!#REF!-(AN57*0.64))/0.8)/1000</f>
        <v>#REF!</v>
      </c>
      <c r="AN58" s="17" t="e">
        <f>-53.07 + (304.89 * (AM58)) + (90.79 *Crescimento!#REF!) - (3.13 * Crescimento!#REF!*Crescimento!#REF!)</f>
        <v>#REF!</v>
      </c>
      <c r="AP58" s="16" t="e">
        <f>(AQ57+(Crescimento!#REF!-(AQ57*0.64))/0.8)/1000</f>
        <v>#REF!</v>
      </c>
      <c r="AQ58" s="17" t="e">
        <f>-53.07 + (304.89 * (AP58)) + (90.79 *Crescimento!#REF!) - (3.13 * Crescimento!#REF!*Crescimento!#REF!)</f>
        <v>#REF!</v>
      </c>
      <c r="AS58" s="16" t="e">
        <f>(AT57+(Crescimento!#REF!-(AT57*0.64))/0.8)/1000</f>
        <v>#REF!</v>
      </c>
      <c r="AT58" s="17" t="e">
        <f>-53.07 + (304.89 * (AS58)) + (90.79 *Crescimento!#REF!) - (3.13 * Crescimento!#REF!*Crescimento!#REF!)</f>
        <v>#REF!</v>
      </c>
      <c r="AV58" s="16" t="e">
        <f>(AW57+(Crescimento!#REF!-(AW57*0.64))/0.8)/1000</f>
        <v>#REF!</v>
      </c>
      <c r="AW58" s="17" t="e">
        <f>-53.07 + (304.89 * (AV58)) + (90.79 *Crescimento!#REF!) - (3.13 * Crescimento!#REF!*Crescimento!#REF!)</f>
        <v>#REF!</v>
      </c>
      <c r="AY58" s="21" t="e">
        <f>((AZ57+(Crescimento!#REF!-(AZ57*0.64))/0.8)/1000)-Crescimento!#REF!</f>
        <v>#REF!</v>
      </c>
      <c r="AZ58" s="22" t="e">
        <f>-53.07 + (304.89 * (AY58)) + (90.79 *(Crescimento!#REF!-Crescimento!#REF!)) - (3.13 * (Crescimento!#REF!-Crescimento!#REF!)^2)</f>
        <v>#REF!</v>
      </c>
      <c r="BA58" s="23"/>
      <c r="BB58" s="21" t="e">
        <f>((BC57+(Crescimento!#REF!-(BC57*0.64))/0.8)/1000)-Crescimento!#REF!</f>
        <v>#REF!</v>
      </c>
      <c r="BC58" s="22" t="e">
        <f>-53.07 + (304.89 * (BB58)) + (90.79 *(Crescimento!#REF!-Crescimento!#REF!)) - (3.13 * (Crescimento!#REF!-Crescimento!#REF!)^2)</f>
        <v>#REF!</v>
      </c>
      <c r="BD58" s="23"/>
      <c r="BE58" s="21" t="e">
        <f>((BF57+(Crescimento!#REF!-(BF57*0.64))/0.8)/1000)-Crescimento!#REF!</f>
        <v>#REF!</v>
      </c>
      <c r="BF58" s="22" t="e">
        <f>-53.07 + (304.89 * (BE58)) + (90.79 *(Crescimento!#REF!-Crescimento!#REF!)) - (3.13 * (Crescimento!#REF!-Crescimento!#REF!)^2)</f>
        <v>#REF!</v>
      </c>
      <c r="BG58" s="23"/>
      <c r="BH58" s="21" t="e">
        <f>((BI57+(Crescimento!#REF!-(BI57*0.64))/0.8)/1000)-Crescimento!#REF!</f>
        <v>#REF!</v>
      </c>
      <c r="BI58" s="22" t="e">
        <f>-53.07 + (304.89 * (BH58)) + (90.79 *(Crescimento!#REF!-Crescimento!#REF!)) - (3.13 * (Crescimento!#REF!-Crescimento!#REF!)^2)</f>
        <v>#REF!</v>
      </c>
      <c r="BJ58" s="23"/>
      <c r="BK58" s="21" t="e">
        <f>((BL57+(Crescimento!#REF!-(BL57*0.64))/0.8)/1000)-Crescimento!#REF!</f>
        <v>#REF!</v>
      </c>
      <c r="BL58" s="22" t="e">
        <f>-53.07 + (304.89 * (BK58)) + (90.79 *(Crescimento!#REF!-Crescimento!#REF!)) - (3.13 * (Crescimento!#REF!-Crescimento!#REF!)^2)</f>
        <v>#REF!</v>
      </c>
      <c r="BM58" s="23"/>
      <c r="BN58" s="21" t="e">
        <f>((BO57+(Crescimento!#REF!-(BO57*0.64))/0.8)/1000)-Crescimento!#REF!</f>
        <v>#REF!</v>
      </c>
      <c r="BO58" s="22" t="e">
        <f>-53.07 + (304.89 * (BN58)) + (90.79 *(Crescimento!#REF!-Crescimento!#REF!)) - (3.13 * (Crescimento!#REF!-Crescimento!#REF!)^2)</f>
        <v>#REF!</v>
      </c>
      <c r="BP58" s="23"/>
      <c r="BQ58" s="21" t="e">
        <f>((BR57+(Crescimento!#REF!-(BR57*0.64))/0.8)/1000)-Crescimento!#REF!</f>
        <v>#REF!</v>
      </c>
      <c r="BR58" s="22" t="e">
        <f>-53.07 + (304.89 * (BQ58)) + (90.79 *(Crescimento!#REF!-Crescimento!#REF!)) - (3.13 * (Crescimento!#REF!-Crescimento!#REF!)^2)</f>
        <v>#REF!</v>
      </c>
      <c r="BS58" s="23"/>
      <c r="BT58" s="21" t="e">
        <f>((BU57+(Crescimento!#REF!-(BU57*0.64))/0.8)/1000)-Crescimento!#REF!</f>
        <v>#REF!</v>
      </c>
      <c r="BU58" s="22" t="e">
        <f>-53.07 + (304.89 * (BT58)) + (90.79 *(Crescimento!#REF!-Crescimento!#REF!)) - (3.13 * (Crescimento!#REF!-Crescimento!#REF!)^2)</f>
        <v>#REF!</v>
      </c>
      <c r="BV58" s="23"/>
      <c r="BW58" s="21" t="e">
        <f>((BX57+(Crescimento!#REF!-(BX57*0.64))/0.8)/1000)-Crescimento!#REF!</f>
        <v>#REF!</v>
      </c>
      <c r="BX58" s="22" t="e">
        <f>-53.07 + (304.89 * (BW58)) + (90.79 *(Crescimento!#REF!-Crescimento!#REF!)) - (3.13 * (Crescimento!#REF!-Crescimento!#REF!)^2)</f>
        <v>#REF!</v>
      </c>
      <c r="BY58" s="23"/>
      <c r="BZ58" s="21" t="e">
        <f>((CA57+(Crescimento!#REF!-(CA57*0.64))/0.8)/1000)-Crescimento!#REF!</f>
        <v>#REF!</v>
      </c>
      <c r="CA58" s="22" t="e">
        <f>-53.07 + (304.89 * (BZ58)) + (90.79 *(Crescimento!#REF!-Crescimento!#REF!)) - (3.13 * (Crescimento!#REF!-Crescimento!#REF!)^2)</f>
        <v>#REF!</v>
      </c>
      <c r="CB58" s="23"/>
      <c r="CC58" s="21" t="e">
        <f>((CD57+(Crescimento!#REF!-(CD57*0.64))/0.8)/1000)-Crescimento!#REF!</f>
        <v>#REF!</v>
      </c>
      <c r="CD58" s="22" t="e">
        <f>-53.07 + (304.89 * (CC58)) + (90.79 *(Crescimento!#REF!-Crescimento!#REF!)) - (3.13 * (Crescimento!#REF!-Crescimento!#REF!)^2)</f>
        <v>#REF!</v>
      </c>
      <c r="CE58" s="23"/>
      <c r="CF58" s="21" t="e">
        <f>((CG57+(Crescimento!#REF!-(CG57*0.64))/0.8)/1000)-Crescimento!#REF!</f>
        <v>#REF!</v>
      </c>
      <c r="CG58" s="22" t="e">
        <f>-53.07 + (304.89 * (CF58)) + (90.79 *(Crescimento!#REF!-Crescimento!#REF!)) - (3.13 * (Crescimento!#REF!-Crescimento!#REF!)^2)</f>
        <v>#REF!</v>
      </c>
      <c r="CH58" s="23"/>
      <c r="CI58" s="21" t="e">
        <f>((CJ57+(Crescimento!#REF!-(CJ57*0.64))/0.8)/1000)-Crescimento!#REF!</f>
        <v>#REF!</v>
      </c>
      <c r="CJ58" s="22" t="e">
        <f>-53.07 + (304.89 * (CI58)) + (90.79 *(Crescimento!#REF!-Crescimento!#REF!)) - (3.13 * (Crescimento!#REF!-Crescimento!#REF!)^2)</f>
        <v>#REF!</v>
      </c>
      <c r="CK58" s="23"/>
      <c r="CL58" s="21" t="e">
        <f>((CM57+(Crescimento!#REF!-(CM57*0.64))/0.8)/1000)-Crescimento!#REF!</f>
        <v>#REF!</v>
      </c>
      <c r="CM58" s="22" t="e">
        <f>-53.07 + (304.89 * (CL58)) + (90.79 *(Crescimento!#REF!-Crescimento!#REF!)) - (3.13 * (Crescimento!#REF!-Crescimento!#REF!)^2)</f>
        <v>#REF!</v>
      </c>
      <c r="CN58" s="23"/>
      <c r="CO58" s="21" t="e">
        <f>((CP57+(Crescimento!#REF!-(CP57*0.64))/0.8)/1000)-Crescimento!#REF!</f>
        <v>#REF!</v>
      </c>
      <c r="CP58" s="22" t="e">
        <f>-53.07 + (304.89 * (CO58)) + (90.79 *(Crescimento!#REF!-Crescimento!#REF!)) - (3.13 * (Crescimento!#REF!-Crescimento!#REF!)^2)</f>
        <v>#REF!</v>
      </c>
      <c r="CQ58" s="23"/>
      <c r="CR58" s="21" t="e">
        <f>((CS57+(Crescimento!#REF!-(CS57*0.64))/0.8)/1000)-Crescimento!#REF!</f>
        <v>#REF!</v>
      </c>
      <c r="CS58" s="22" t="e">
        <f>-53.07 + (304.89 * (CR58)) + (90.79 *(Crescimento!#REF!-Crescimento!#REF!)) - (3.13 * (Crescimento!#REF!-Crescimento!#REF!)^2)</f>
        <v>#REF!</v>
      </c>
      <c r="CX58" s="16" t="e">
        <f>((CY57+(Crescimento!#REF!-(CY57*0.64))/0.8)/1000)-Crescimento!#REF!</f>
        <v>#REF!</v>
      </c>
      <c r="CY58" s="17" t="e">
        <f>-53.07 + (304.89 * (CX58)) + (90.79 *(Crescimento!#REF!-Crescimento!#REF!)) - (3.13 * (Crescimento!#REF!-Crescimento!#REF!)^2)</f>
        <v>#REF!</v>
      </c>
      <c r="DA58" s="16" t="e">
        <f>((DB57+(Crescimento!#REF!-(DB57*0.64))/0.8)/1000)-Crescimento!#REF!</f>
        <v>#REF!</v>
      </c>
      <c r="DB58" s="17" t="e">
        <f>-53.07 + (304.89 * (DA58)) + (90.79 *(Crescimento!#REF!-Crescimento!#REF!)) - (3.13 * (Crescimento!#REF!-Crescimento!#REF!)^2)</f>
        <v>#REF!</v>
      </c>
      <c r="DD58" s="16" t="e">
        <f>(DE57+(Crescimento!#REF!-(DE57*0.64))/0.8)/1000</f>
        <v>#REF!</v>
      </c>
      <c r="DE58" s="17" t="e">
        <f>-53.07 + (304.89 * (DD58)) + (90.79 *Crescimento!#REF!) - (3.13 * Crescimento!#REF!*Crescimento!#REF!)</f>
        <v>#REF!</v>
      </c>
      <c r="DG58" s="16" t="e">
        <f>((DH57+(Crescimento!#REF!-(DH57*0.64))/0.8)/1000)-Crescimento!#REF!</f>
        <v>#REF!</v>
      </c>
      <c r="DH58" s="17" t="e">
        <f>-53.07 + (304.89 * (DG58)) + (90.79 *(Crescimento!#REF!-Crescimento!#REF!)) - (3.13 * (Crescimento!#REF!-Crescimento!#REF!)^2)</f>
        <v>#REF!</v>
      </c>
      <c r="DJ58" s="16" t="e">
        <f>((DK57+(Crescimento!#REF!-(DK57*0.64))/0.8)/1000)-Crescimento!#REF!</f>
        <v>#REF!</v>
      </c>
      <c r="DK58" s="17" t="e">
        <f>-53.07 + (304.89 * (DJ58)) + (90.79 *(Crescimento!#REF!-Crescimento!#REF!)) - (3.13 * (Crescimento!#REF!-Crescimento!#REF!)^2)</f>
        <v>#REF!</v>
      </c>
      <c r="DM58" s="16" t="e">
        <f>((DN57+(Crescimento!#REF!-(DN57*0.64))/0.8)/1000)-Crescimento!#REF!</f>
        <v>#REF!</v>
      </c>
      <c r="DN58" s="17" t="e">
        <f>-53.07 + (304.89 * (DM58)) + (90.79 *(Crescimento!#REF!-Crescimento!#REF!)) - (3.13 * (Crescimento!#REF!-Crescimento!#REF!)^2)</f>
        <v>#REF!</v>
      </c>
      <c r="DP58" s="16" t="e">
        <f>(DQ57+(Crescimento!#REF!-(DQ57*0.64))/0.8)/1000</f>
        <v>#REF!</v>
      </c>
      <c r="DQ58" s="17" t="e">
        <f>-53.07 + (304.89 * (DP58)) + (90.79 *(Crescimento!#REF!-Crescimento!#REF!)) - (3.13 * (Crescimento!#REF!-Crescimento!#REF!)^2)</f>
        <v>#REF!</v>
      </c>
      <c r="DS58" s="16" t="e">
        <f>((DT57+(Crescimento!#REF!-(DT57*0.64))/0.8)/1000)-Crescimento!#REF!</f>
        <v>#REF!</v>
      </c>
      <c r="DT58" s="17" t="e">
        <f>-53.07 + (304.89 * (DS58)) + (90.79 *(Crescimento!#REF!-Crescimento!#REF!)) - (3.13 * (Crescimento!#REF!-Crescimento!#REF!)^2)</f>
        <v>#REF!</v>
      </c>
      <c r="DV58" s="16" t="e">
        <f>((DW57+(Crescimento!#REF!-(DW57*0.64))/0.8)/1000)-Crescimento!#REF!</f>
        <v>#REF!</v>
      </c>
      <c r="DW58" s="17" t="e">
        <f>-53.07 + (304.89 * (DV58)) + (90.79 *(Crescimento!#REF!-Crescimento!#REF!)) - (3.13 * (Crescimento!#REF!-Crescimento!#REF!)^2)</f>
        <v>#REF!</v>
      </c>
      <c r="DY58" s="16" t="e">
        <f>((DZ57+(Crescimento!#REF!-(DZ57*0.64))/0.8)/1000)-Crescimento!#REF!</f>
        <v>#REF!</v>
      </c>
      <c r="DZ58" s="17" t="e">
        <f>-53.07 + (304.89 * (DY58)) + (90.79 *(Crescimento!#REF!-Crescimento!#REF!)) - (3.13 * (Crescimento!#REF!-Crescimento!#REF!)^2)</f>
        <v>#REF!</v>
      </c>
      <c r="EB58" s="16" t="e">
        <f>((EC57+(Crescimento!#REF!-(EC57*0.64))/0.8)/1000)-Crescimento!#REF!</f>
        <v>#REF!</v>
      </c>
      <c r="EC58" s="17" t="e">
        <f>-53.07 + (304.89 * (EB58)) + (90.79 *(Crescimento!#REF!-Crescimento!#REF!)) - (3.13 * (Crescimento!#REF!-Crescimento!#REF!)^2)</f>
        <v>#REF!</v>
      </c>
      <c r="EE58" s="16" t="e">
        <f>((EF57+(Crescimento!#REF!-(EF57*0.64))/0.8)/1000)-Crescimento!#REF!</f>
        <v>#REF!</v>
      </c>
      <c r="EF58" s="17" t="e">
        <f>-53.07 + (304.89 * (EE58)) + (90.79 *(Crescimento!#REF!-Crescimento!#REF!)) - (3.13 * (Crescimento!#REF!-Crescimento!#REF!)^2)</f>
        <v>#REF!</v>
      </c>
      <c r="EH58" s="16" t="e">
        <f>((EI57+(Crescimento!#REF!-(EI57*0.64))/0.8)/1000)-Crescimento!#REF!</f>
        <v>#REF!</v>
      </c>
      <c r="EI58" s="17" t="e">
        <f>-53.07 + (304.89 * (EH58)) + (90.79 *(Crescimento!#REF!-Crescimento!#REF!)) - (3.13 * (Crescimento!#REF!-Crescimento!#REF!)^2)</f>
        <v>#REF!</v>
      </c>
      <c r="EK58" s="16" t="e">
        <f>((EL57+(Crescimento!#REF!-(EL57*0.64))/0.8)/1000)-Crescimento!#REF!</f>
        <v>#REF!</v>
      </c>
      <c r="EL58" s="17" t="e">
        <f>-53.07 + (304.89 * (EK58)) + (90.79 *(Crescimento!#REF!-Crescimento!#REF!)) - (3.13 * (Crescimento!#REF!-Crescimento!#REF!)^2)</f>
        <v>#REF!</v>
      </c>
      <c r="EN58" s="16" t="e">
        <f>((EO57+(Crescimento!#REF!-(EO57*0.64))/0.8)/1000)-Crescimento!#REF!</f>
        <v>#REF!</v>
      </c>
      <c r="EO58" s="17" t="e">
        <f>-53.07 + (304.89 * (EN58)) + (90.79 *(Crescimento!#REF!-Crescimento!#REF!)) - (3.13 * (Crescimento!#REF!-Crescimento!#REF!)^2)</f>
        <v>#REF!</v>
      </c>
      <c r="EQ58" s="16" t="e">
        <f>((ER57+(Crescimento!#REF!-(ER57*0.64))/0.8)/1000)-Crescimento!#REF!</f>
        <v>#REF!</v>
      </c>
      <c r="ER58" s="17" t="e">
        <f>-53.07 + (304.89 * (EQ58)) + (90.79 *(Crescimento!#REF!-Crescimento!#REF!)) - (3.13 * (Crescimento!#REF!-Crescimento!#REF!)^2)</f>
        <v>#REF!</v>
      </c>
      <c r="ET58" s="16" t="e">
        <f>((EU57+(Crescimento!#REF!-(EU57*0.64))/0.8)/1000)-Crescimento!#REF!</f>
        <v>#REF!</v>
      </c>
      <c r="EU58" s="17" t="e">
        <f>-53.07 + (304.89 * (ET58)) + (90.79 *(Crescimento!#REF!-Crescimento!#REF!)) - (3.13 * (Crescimento!#REF!-Crescimento!#REF!)^2)</f>
        <v>#REF!</v>
      </c>
      <c r="EW58" s="16" t="e">
        <f>((EX57+('Vacas e Bezerros'!#REF!-(EX57*0.64))/0.8)/1000)-'Vacas e Bezerros'!#REF!</f>
        <v>#REF!</v>
      </c>
      <c r="EX58" s="17" t="e">
        <f>-53.07 + (304.89 * (EW58)) + (90.79 *('Vacas e Bezerros'!#REF!-'Vacas e Bezerros'!#REF!)) - (3.13 * ('Vacas e Bezerros'!#REF!-'Vacas e Bezerros'!#REF!)^2)</f>
        <v>#REF!</v>
      </c>
      <c r="EZ58" s="16" t="e">
        <f>((FA57+('Vacas e Bezerros'!#REF!-(FA57*0.64))/0.8)/1000)-'Vacas e Bezerros'!#REF!</f>
        <v>#REF!</v>
      </c>
      <c r="FA58" s="17" t="e">
        <f>-53.07 + (304.89 * (EZ58)) + (90.79 *('Vacas e Bezerros'!#REF!-'Vacas e Bezerros'!#REF!)) - (3.13 * ('Vacas e Bezerros'!#REF!-'Vacas e Bezerros'!#REF!)^2)</f>
        <v>#REF!</v>
      </c>
      <c r="FC58" s="16" t="e">
        <f>((FD57+('Vacas e Bezerros'!#REF!-(FD57*0.64))/0.8)/1000)-'Vacas e Bezerros'!#REF!</f>
        <v>#REF!</v>
      </c>
      <c r="FD58" s="17" t="e">
        <f>-53.07 + (304.89 * (FC58)) + (90.79 *('Vacas e Bezerros'!#REF!-'Vacas e Bezerros'!#REF!)) - (3.13 * ('Vacas e Bezerros'!#REF!-'Vacas e Bezerros'!#REF!)^2)</f>
        <v>#REF!</v>
      </c>
      <c r="FF58" s="16" t="e">
        <f>((FG57+('Vacas e Bezerros'!#REF!-(FG57*0.64))/0.8)/1000)-'Vacas e Bezerros'!#REF!</f>
        <v>#REF!</v>
      </c>
      <c r="FG58" s="17" t="e">
        <f>-53.07 + (304.89 * (FF58)) + (90.79 *('Vacas e Bezerros'!#REF!-'Vacas e Bezerros'!#REF!)) - (3.13 * ('Vacas e Bezerros'!#REF!-'Vacas e Bezerros'!#REF!)^2)</f>
        <v>#REF!</v>
      </c>
      <c r="FI58" s="16" t="e">
        <f>((FJ57+('Vacas e Bezerros'!#REF!-(FJ57*0.64))/0.8)/1000)-'Vacas e Bezerros'!#REF!</f>
        <v>#REF!</v>
      </c>
      <c r="FJ58" s="17" t="e">
        <f>-53.07 + (304.89 * (FI58)) + (90.79 *('Vacas e Bezerros'!#REF!-'Vacas e Bezerros'!#REF!)) - (3.13 * ('Vacas e Bezerros'!#REF!-'Vacas e Bezerros'!#REF!)^2)</f>
        <v>#REF!</v>
      </c>
      <c r="FL58" s="16" t="e">
        <f>((FM57+('Vacas e Bezerros'!#REF!-(FM57*0.64))/0.8)/1000)-'Vacas e Bezerros'!#REF!</f>
        <v>#REF!</v>
      </c>
      <c r="FM58" s="17" t="e">
        <f>-53.07 + (304.89 * (FL58)) + (90.79 *('Vacas e Bezerros'!#REF!-'Vacas e Bezerros'!#REF!)) - (3.13 * ('Vacas e Bezerros'!#REF!-'Vacas e Bezerros'!#REF!)^2)</f>
        <v>#REF!</v>
      </c>
      <c r="FO58" s="16" t="e">
        <f>((FP57+('Vacas e Bezerros'!#REF!-(FP57*0.64))/0.8)/1000)-'Vacas e Bezerros'!#REF!</f>
        <v>#REF!</v>
      </c>
      <c r="FP58" s="17" t="e">
        <f>-53.07 + (304.89 * (FO58)) + (90.79 *('Vacas e Bezerros'!#REF!-'Vacas e Bezerros'!#REF!)) - (3.13 * ('Vacas e Bezerros'!#REF!-'Vacas e Bezerros'!#REF!)^2)</f>
        <v>#REF!</v>
      </c>
      <c r="FR58" s="16" t="e">
        <f>((FS57+('Vacas e Bezerros'!#REF!-(FS57*0.64))/0.8)/1000)-'Vacas e Bezerros'!#REF!</f>
        <v>#REF!</v>
      </c>
      <c r="FS58" s="17" t="e">
        <f>-53.07 + (304.89 * (FR58)) + (90.79 *('Vacas e Bezerros'!#REF!-'Vacas e Bezerros'!#REF!)) - (3.13 * ('Vacas e Bezerros'!#REF!-'Vacas e Bezerros'!#REF!)^2)</f>
        <v>#REF!</v>
      </c>
      <c r="FU58" s="16" t="e">
        <f>((FV57+('Vacas e Bezerros'!#REF!-(FV57*0.64))/0.8)/1000)-'Vacas e Bezerros'!#REF!</f>
        <v>#REF!</v>
      </c>
      <c r="FV58" s="17" t="e">
        <f>-53.07 + (304.89 * (FU58)) + (90.79 *('Vacas e Bezerros'!#REF!-'Vacas e Bezerros'!#REF!)) - (3.13 * ('Vacas e Bezerros'!#REF!-'Vacas e Bezerros'!#REF!)^2)</f>
        <v>#REF!</v>
      </c>
      <c r="FX58" s="16" t="e">
        <f>((FY57+('Vacas e Bezerros'!#REF!-(FY57*0.64))/0.8)/1000)-'Vacas e Bezerros'!#REF!</f>
        <v>#REF!</v>
      </c>
      <c r="FY58" s="17" t="e">
        <f>-53.07 + (304.89 * (FX58)) + (90.79 *('Vacas e Bezerros'!#REF!-'Vacas e Bezerros'!#REF!)) - (3.13 * ('Vacas e Bezerros'!#REF!-'Vacas e Bezerros'!#REF!)^2)</f>
        <v>#REF!</v>
      </c>
      <c r="GA58" s="16" t="e">
        <f>((GB57+('Vacas e Bezerros'!#REF!-(GB57*0.64))/0.8)/1000)-'Vacas e Bezerros'!#REF!</f>
        <v>#REF!</v>
      </c>
      <c r="GB58" s="17" t="e">
        <f>-53.07 + (304.89 * (GA58)) + (90.79 *('Vacas e Bezerros'!#REF!-'Vacas e Bezerros'!#REF!)) - (3.13 * ('Vacas e Bezerros'!#REF!-'Vacas e Bezerros'!#REF!)^2)</f>
        <v>#REF!</v>
      </c>
      <c r="GD58" s="16" t="e">
        <f>((GE57+('Vacas e Bezerros'!#REF!-(GE57*0.64))/0.8)/1000)-'Vacas e Bezerros'!#REF!</f>
        <v>#REF!</v>
      </c>
      <c r="GE58" s="17" t="e">
        <f>-53.07 + (304.89 * (GD58)) + (90.79 *('Vacas e Bezerros'!#REF!-'Vacas e Bezerros'!#REF!)) - (3.13 * ('Vacas e Bezerros'!#REF!-'Vacas e Bezerros'!#REF!)^2)</f>
        <v>#REF!</v>
      </c>
      <c r="GG58" s="16" t="e">
        <f>((GH57+('Vacas e Bezerros'!#REF!-(GH57*0.64))/0.8)/1000)-'Vacas e Bezerros'!#REF!</f>
        <v>#REF!</v>
      </c>
      <c r="GH58" s="17" t="e">
        <f>-53.07 + (304.89 * (GG58)) + (90.79 *('Vacas e Bezerros'!#REF!-'Vacas e Bezerros'!#REF!)) - (3.13 * ('Vacas e Bezerros'!#REF!-'Vacas e Bezerros'!#REF!)^2)</f>
        <v>#REF!</v>
      </c>
      <c r="GJ58" s="16" t="e">
        <f>((GK57+('Vacas e Bezerros'!#REF!-(GK57*0.64))/0.8)/1000)-'Vacas e Bezerros'!#REF!</f>
        <v>#REF!</v>
      </c>
      <c r="GK58" s="17" t="e">
        <f>-53.07 + (304.89 * (GJ58)) + (90.79 *('Vacas e Bezerros'!#REF!-'Vacas e Bezerros'!#REF!)) - (3.13 * ('Vacas e Bezerros'!#REF!-'Vacas e Bezerros'!#REF!)^2)</f>
        <v>#REF!</v>
      </c>
      <c r="GM58" s="16" t="e">
        <f>((GN57+('Vacas e Bezerros'!#REF!-(GN57*0.64))/0.8)/1000)-'Vacas e Bezerros'!#REF!</f>
        <v>#REF!</v>
      </c>
      <c r="GN58" s="17" t="e">
        <f>-53.07 + (304.89 * (GM58)) + (90.79 *('Vacas e Bezerros'!#REF!-'Vacas e Bezerros'!#REF!)) - (3.13 * ('Vacas e Bezerros'!#REF!-'Vacas e Bezerros'!#REF!)^2)</f>
        <v>#REF!</v>
      </c>
    </row>
    <row r="59" spans="3:196" x14ac:dyDescent="0.25">
      <c r="C59" s="16">
        <f>(D58+('Vacas e Bezerros'!$AA$28-(D58*0.64))/0.8)/1000</f>
        <v>0.35719668016155687</v>
      </c>
      <c r="D59" s="17">
        <f>-53.07 + (304.89 * (C59-'Vacas e Bezerros'!$C$206)) + (90.79 *('Vacas e Bezerros'!$AA$22)) - (3.13 *('Vacas e Bezerros'!$AA$22)^2)</f>
        <v>165.01876457544017</v>
      </c>
      <c r="F59" s="16" t="e">
        <f>(G58+(Crescimento!#REF!-(G58*0.64))/0.8)/1000</f>
        <v>#REF!</v>
      </c>
      <c r="G59" s="17" t="e">
        <f>-53.07 + (304.89 * (F59)) + (90.79 *Crescimento!#REF!) - (3.13 * Crescimento!#REF!*Crescimento!#REF!)</f>
        <v>#REF!</v>
      </c>
      <c r="H59" s="1"/>
      <c r="I59" s="16" t="e">
        <f>(J58+(Crescimento!#REF!-(J58*0.64))/0.8)/1000</f>
        <v>#REF!</v>
      </c>
      <c r="J59" s="17" t="e">
        <f>-53.07 + (304.89 * (I59)) + (90.79 *Crescimento!#REF!) - (3.13 * Crescimento!#REF!*Crescimento!#REF!)</f>
        <v>#REF!</v>
      </c>
      <c r="L59" s="16" t="e">
        <f>(M58+(Crescimento!#REF!-(M58*0.64))/0.8)/1000</f>
        <v>#REF!</v>
      </c>
      <c r="M59" s="17" t="e">
        <f>-53.07 + (304.89 * (L59)) + (90.79 *Crescimento!#REF!) - (3.13 * Crescimento!#REF!*Crescimento!#REF!)</f>
        <v>#REF!</v>
      </c>
      <c r="O59" s="16" t="e">
        <f>(P58+(Crescimento!#REF!-(P58*0.64))/0.8)/1000</f>
        <v>#REF!</v>
      </c>
      <c r="P59" s="17" t="e">
        <f>-53.07 + (304.89 * (O59)) + (90.79 *Crescimento!#REF!) - (3.13 * Crescimento!#REF!*Crescimento!#REF!)</f>
        <v>#REF!</v>
      </c>
      <c r="R59" s="16" t="e">
        <f>(S58+(Crescimento!#REF!-(S58*0.64))/0.8)/1000</f>
        <v>#REF!</v>
      </c>
      <c r="S59" s="17" t="e">
        <f>-53.07 + (304.89 * (R59)) + (90.79 *Crescimento!#REF!) - (3.13 * Crescimento!#REF!*Crescimento!#REF!)</f>
        <v>#REF!</v>
      </c>
      <c r="U59" s="16" t="e">
        <f>(V58+(Crescimento!#REF!-(V58*0.64))/0.8)/1000</f>
        <v>#REF!</v>
      </c>
      <c r="V59" s="17" t="e">
        <f>-53.07 + (304.89 * (U59)) + (90.79 *Crescimento!#REF!) - (3.13 * Crescimento!#REF!*Crescimento!#REF!)</f>
        <v>#REF!</v>
      </c>
      <c r="X59" s="16" t="e">
        <f>(Y58+(Crescimento!#REF!-(Y58*0.64))/0.8)/1000</f>
        <v>#REF!</v>
      </c>
      <c r="Y59" s="17" t="e">
        <f>-53.07 + (304.89 * (X59)) + (90.79 *Crescimento!#REF!) - (3.13 * Crescimento!#REF!*Crescimento!#REF!)</f>
        <v>#REF!</v>
      </c>
      <c r="Z59" s="6"/>
      <c r="AA59" s="16" t="e">
        <f>(AB58+(Crescimento!#REF!-(AB58*0.64))/0.8)/1000</f>
        <v>#REF!</v>
      </c>
      <c r="AB59" s="17" t="e">
        <f>-53.07 + (304.89 * (AA59)) + (90.79 *Crescimento!#REF!) - (3.13 * Crescimento!#REF!*Crescimento!#REF!)</f>
        <v>#REF!</v>
      </c>
      <c r="AC59" s="6"/>
      <c r="AD59" s="16" t="e">
        <f>(AE58+(Crescimento!#REF!-(AE58*0.64))/0.8)/1000</f>
        <v>#REF!</v>
      </c>
      <c r="AE59" s="17" t="e">
        <f>-53.07 + (304.89 * (AD59)) + (90.79 *Crescimento!#REF!) - (3.13 * Crescimento!#REF!*Crescimento!#REF!)</f>
        <v>#REF!</v>
      </c>
      <c r="AF59" s="17"/>
      <c r="AG59" s="16" t="e">
        <f>(AH58+(Crescimento!#REF!-(AH58*0.64))/0.8)/1000</f>
        <v>#REF!</v>
      </c>
      <c r="AH59" s="17" t="e">
        <f>-53.07 + (304.89 * (AG59)) + (90.79 *Crescimento!#REF!) - (3.13 * Crescimento!#REF!*Crescimento!#REF!)</f>
        <v>#REF!</v>
      </c>
      <c r="AJ59" s="16" t="e">
        <f>(AK58+(Crescimento!#REF!-(AK58*0.64))/0.8)/1000</f>
        <v>#REF!</v>
      </c>
      <c r="AK59" s="17" t="e">
        <f>-53.07 + (304.89 * (AJ59)) + (90.79 *Crescimento!#REF!) - (3.13 * Crescimento!#REF!*Crescimento!#REF!)</f>
        <v>#REF!</v>
      </c>
      <c r="AM59" s="16" t="e">
        <f>(AN58+(Crescimento!#REF!-(AN58*0.64))/0.8)/1000</f>
        <v>#REF!</v>
      </c>
      <c r="AN59" s="17" t="e">
        <f>-53.07 + (304.89 * (AM59)) + (90.79 *Crescimento!#REF!) - (3.13 * Crescimento!#REF!*Crescimento!#REF!)</f>
        <v>#REF!</v>
      </c>
      <c r="AP59" s="16" t="e">
        <f>(AQ58+(Crescimento!#REF!-(AQ58*0.64))/0.8)/1000</f>
        <v>#REF!</v>
      </c>
      <c r="AQ59" s="17" t="e">
        <f>-53.07 + (304.89 * (AP59)) + (90.79 *Crescimento!#REF!) - (3.13 * Crescimento!#REF!*Crescimento!#REF!)</f>
        <v>#REF!</v>
      </c>
      <c r="AS59" s="16" t="e">
        <f>(AT58+(Crescimento!#REF!-(AT58*0.64))/0.8)/1000</f>
        <v>#REF!</v>
      </c>
      <c r="AT59" s="17" t="e">
        <f>-53.07 + (304.89 * (AS59)) + (90.79 *Crescimento!#REF!) - (3.13 * Crescimento!#REF!*Crescimento!#REF!)</f>
        <v>#REF!</v>
      </c>
      <c r="AV59" s="16" t="e">
        <f>(AW58+(Crescimento!#REF!-(AW58*0.64))/0.8)/1000</f>
        <v>#REF!</v>
      </c>
      <c r="AW59" s="17" t="e">
        <f>-53.07 + (304.89 * (AV59)) + (90.79 *Crescimento!#REF!) - (3.13 * Crescimento!#REF!*Crescimento!#REF!)</f>
        <v>#REF!</v>
      </c>
      <c r="AY59" s="21" t="e">
        <f>((AZ58+(Crescimento!#REF!-(AZ58*0.64))/0.8)/1000)-Crescimento!#REF!</f>
        <v>#REF!</v>
      </c>
      <c r="AZ59" s="22" t="e">
        <f>-53.07 + (304.89 * (AY59)) + (90.79 *(Crescimento!#REF!-Crescimento!#REF!)) - (3.13 * (Crescimento!#REF!-Crescimento!#REF!)^2)</f>
        <v>#REF!</v>
      </c>
      <c r="BA59" s="23"/>
      <c r="BB59" s="21" t="e">
        <f>((BC58+(Crescimento!#REF!-(BC58*0.64))/0.8)/1000)-Crescimento!#REF!</f>
        <v>#REF!</v>
      </c>
      <c r="BC59" s="22" t="e">
        <f>-53.07 + (304.89 * (BB59)) + (90.79 *(Crescimento!#REF!-Crescimento!#REF!)) - (3.13 * (Crescimento!#REF!-Crescimento!#REF!)^2)</f>
        <v>#REF!</v>
      </c>
      <c r="BD59" s="23"/>
      <c r="BE59" s="21" t="e">
        <f>((BF58+(Crescimento!#REF!-(BF58*0.64))/0.8)/1000)-Crescimento!#REF!</f>
        <v>#REF!</v>
      </c>
      <c r="BF59" s="22" t="e">
        <f>-53.07 + (304.89 * (BE59)) + (90.79 *(Crescimento!#REF!-Crescimento!#REF!)) - (3.13 * (Crescimento!#REF!-Crescimento!#REF!)^2)</f>
        <v>#REF!</v>
      </c>
      <c r="BG59" s="23"/>
      <c r="BH59" s="21" t="e">
        <f>((BI58+(Crescimento!#REF!-(BI58*0.64))/0.8)/1000)-Crescimento!#REF!</f>
        <v>#REF!</v>
      </c>
      <c r="BI59" s="22" t="e">
        <f>-53.07 + (304.89 * (BH59)) + (90.79 *(Crescimento!#REF!-Crescimento!#REF!)) - (3.13 * (Crescimento!#REF!-Crescimento!#REF!)^2)</f>
        <v>#REF!</v>
      </c>
      <c r="BJ59" s="23"/>
      <c r="BK59" s="21" t="e">
        <f>((BL58+(Crescimento!#REF!-(BL58*0.64))/0.8)/1000)-Crescimento!#REF!</f>
        <v>#REF!</v>
      </c>
      <c r="BL59" s="22" t="e">
        <f>-53.07 + (304.89 * (BK59)) + (90.79 *(Crescimento!#REF!-Crescimento!#REF!)) - (3.13 * (Crescimento!#REF!-Crescimento!#REF!)^2)</f>
        <v>#REF!</v>
      </c>
      <c r="BM59" s="23"/>
      <c r="BN59" s="21" t="e">
        <f>((BO58+(Crescimento!#REF!-(BO58*0.64))/0.8)/1000)-Crescimento!#REF!</f>
        <v>#REF!</v>
      </c>
      <c r="BO59" s="22" t="e">
        <f>-53.07 + (304.89 * (BN59)) + (90.79 *(Crescimento!#REF!-Crescimento!#REF!)) - (3.13 * (Crescimento!#REF!-Crescimento!#REF!)^2)</f>
        <v>#REF!</v>
      </c>
      <c r="BP59" s="23"/>
      <c r="BQ59" s="21" t="e">
        <f>((BR58+(Crescimento!#REF!-(BR58*0.64))/0.8)/1000)-Crescimento!#REF!</f>
        <v>#REF!</v>
      </c>
      <c r="BR59" s="22" t="e">
        <f>-53.07 + (304.89 * (BQ59)) + (90.79 *(Crescimento!#REF!-Crescimento!#REF!)) - (3.13 * (Crescimento!#REF!-Crescimento!#REF!)^2)</f>
        <v>#REF!</v>
      </c>
      <c r="BS59" s="23"/>
      <c r="BT59" s="21" t="e">
        <f>((BU58+(Crescimento!#REF!-(BU58*0.64))/0.8)/1000)-Crescimento!#REF!</f>
        <v>#REF!</v>
      </c>
      <c r="BU59" s="22" t="e">
        <f>-53.07 + (304.89 * (BT59)) + (90.79 *(Crescimento!#REF!-Crescimento!#REF!)) - (3.13 * (Crescimento!#REF!-Crescimento!#REF!)^2)</f>
        <v>#REF!</v>
      </c>
      <c r="BV59" s="23"/>
      <c r="BW59" s="21" t="e">
        <f>((BX58+(Crescimento!#REF!-(BX58*0.64))/0.8)/1000)-Crescimento!#REF!</f>
        <v>#REF!</v>
      </c>
      <c r="BX59" s="22" t="e">
        <f>-53.07 + (304.89 * (BW59)) + (90.79 *(Crescimento!#REF!-Crescimento!#REF!)) - (3.13 * (Crescimento!#REF!-Crescimento!#REF!)^2)</f>
        <v>#REF!</v>
      </c>
      <c r="BY59" s="23"/>
      <c r="BZ59" s="21" t="e">
        <f>((CA58+(Crescimento!#REF!-(CA58*0.64))/0.8)/1000)-Crescimento!#REF!</f>
        <v>#REF!</v>
      </c>
      <c r="CA59" s="22" t="e">
        <f>-53.07 + (304.89 * (BZ59)) + (90.79 *(Crescimento!#REF!-Crescimento!#REF!)) - (3.13 * (Crescimento!#REF!-Crescimento!#REF!)^2)</f>
        <v>#REF!</v>
      </c>
      <c r="CB59" s="23"/>
      <c r="CC59" s="21" t="e">
        <f>((CD58+(Crescimento!#REF!-(CD58*0.64))/0.8)/1000)-Crescimento!#REF!</f>
        <v>#REF!</v>
      </c>
      <c r="CD59" s="22" t="e">
        <f>-53.07 + (304.89 * (CC59)) + (90.79 *(Crescimento!#REF!-Crescimento!#REF!)) - (3.13 * (Crescimento!#REF!-Crescimento!#REF!)^2)</f>
        <v>#REF!</v>
      </c>
      <c r="CE59" s="23"/>
      <c r="CF59" s="21" t="e">
        <f>((CG58+(Crescimento!#REF!-(CG58*0.64))/0.8)/1000)-Crescimento!#REF!</f>
        <v>#REF!</v>
      </c>
      <c r="CG59" s="22" t="e">
        <f>-53.07 + (304.89 * (CF59)) + (90.79 *(Crescimento!#REF!-Crescimento!#REF!)) - (3.13 * (Crescimento!#REF!-Crescimento!#REF!)^2)</f>
        <v>#REF!</v>
      </c>
      <c r="CH59" s="23"/>
      <c r="CI59" s="21" t="e">
        <f>((CJ58+(Crescimento!#REF!-(CJ58*0.64))/0.8)/1000)-Crescimento!#REF!</f>
        <v>#REF!</v>
      </c>
      <c r="CJ59" s="22" t="e">
        <f>-53.07 + (304.89 * (CI59)) + (90.79 *(Crescimento!#REF!-Crescimento!#REF!)) - (3.13 * (Crescimento!#REF!-Crescimento!#REF!)^2)</f>
        <v>#REF!</v>
      </c>
      <c r="CK59" s="23"/>
      <c r="CL59" s="21" t="e">
        <f>((CM58+(Crescimento!#REF!-(CM58*0.64))/0.8)/1000)-Crescimento!#REF!</f>
        <v>#REF!</v>
      </c>
      <c r="CM59" s="22" t="e">
        <f>-53.07 + (304.89 * (CL59)) + (90.79 *(Crescimento!#REF!-Crescimento!#REF!)) - (3.13 * (Crescimento!#REF!-Crescimento!#REF!)^2)</f>
        <v>#REF!</v>
      </c>
      <c r="CN59" s="23"/>
      <c r="CO59" s="21" t="e">
        <f>((CP58+(Crescimento!#REF!-(CP58*0.64))/0.8)/1000)-Crescimento!#REF!</f>
        <v>#REF!</v>
      </c>
      <c r="CP59" s="22" t="e">
        <f>-53.07 + (304.89 * (CO59)) + (90.79 *(Crescimento!#REF!-Crescimento!#REF!)) - (3.13 * (Crescimento!#REF!-Crescimento!#REF!)^2)</f>
        <v>#REF!</v>
      </c>
      <c r="CQ59" s="23"/>
      <c r="CR59" s="21" t="e">
        <f>((CS58+(Crescimento!#REF!-(CS58*0.64))/0.8)/1000)-Crescimento!#REF!</f>
        <v>#REF!</v>
      </c>
      <c r="CS59" s="22" t="e">
        <f>-53.07 + (304.89 * (CR59)) + (90.79 *(Crescimento!#REF!-Crescimento!#REF!)) - (3.13 * (Crescimento!#REF!-Crescimento!#REF!)^2)</f>
        <v>#REF!</v>
      </c>
      <c r="CX59" s="16" t="e">
        <f>((CY58+(Crescimento!#REF!-(CY58*0.64))/0.8)/1000)-Crescimento!#REF!</f>
        <v>#REF!</v>
      </c>
      <c r="CY59" s="17" t="e">
        <f>-53.07 + (304.89 * (CX59)) + (90.79 *(Crescimento!#REF!-Crescimento!#REF!)) - (3.13 * (Crescimento!#REF!-Crescimento!#REF!)^2)</f>
        <v>#REF!</v>
      </c>
      <c r="DA59" s="16" t="e">
        <f>((DB58+(Crescimento!#REF!-(DB58*0.64))/0.8)/1000)-Crescimento!#REF!</f>
        <v>#REF!</v>
      </c>
      <c r="DB59" s="17" t="e">
        <f>-53.07 + (304.89 * (DA59)) + (90.79 *(Crescimento!#REF!-Crescimento!#REF!)) - (3.13 * (Crescimento!#REF!-Crescimento!#REF!)^2)</f>
        <v>#REF!</v>
      </c>
      <c r="DD59" s="16" t="e">
        <f>(DE58+(Crescimento!#REF!-(DE58*0.64))/0.8)/1000</f>
        <v>#REF!</v>
      </c>
      <c r="DE59" s="17" t="e">
        <f>-53.07 + (304.89 * (DD59)) + (90.79 *Crescimento!#REF!) - (3.13 * Crescimento!#REF!*Crescimento!#REF!)</f>
        <v>#REF!</v>
      </c>
      <c r="DG59" s="16" t="e">
        <f>((DH58+(Crescimento!#REF!-(DH58*0.64))/0.8)/1000)-Crescimento!#REF!</f>
        <v>#REF!</v>
      </c>
      <c r="DH59" s="17" t="e">
        <f>-53.07 + (304.89 * (DG59)) + (90.79 *(Crescimento!#REF!-Crescimento!#REF!)) - (3.13 * (Crescimento!#REF!-Crescimento!#REF!)^2)</f>
        <v>#REF!</v>
      </c>
      <c r="DJ59" s="16" t="e">
        <f>((DK58+(Crescimento!#REF!-(DK58*0.64))/0.8)/1000)-Crescimento!#REF!</f>
        <v>#REF!</v>
      </c>
      <c r="DK59" s="17" t="e">
        <f>-53.07 + (304.89 * (DJ59)) + (90.79 *(Crescimento!#REF!-Crescimento!#REF!)) - (3.13 * (Crescimento!#REF!-Crescimento!#REF!)^2)</f>
        <v>#REF!</v>
      </c>
      <c r="DM59" s="16" t="e">
        <f>((DN58+(Crescimento!#REF!-(DN58*0.64))/0.8)/1000)-Crescimento!#REF!</f>
        <v>#REF!</v>
      </c>
      <c r="DN59" s="17" t="e">
        <f>-53.07 + (304.89 * (DM59)) + (90.79 *(Crescimento!#REF!-Crescimento!#REF!)) - (3.13 * (Crescimento!#REF!-Crescimento!#REF!)^2)</f>
        <v>#REF!</v>
      </c>
      <c r="DP59" s="16" t="e">
        <f>(DQ58+(Crescimento!#REF!-(DQ58*0.64))/0.8)/1000</f>
        <v>#REF!</v>
      </c>
      <c r="DQ59" s="17" t="e">
        <f>-53.07 + (304.89 * (DP59)) + (90.79 *(Crescimento!#REF!-Crescimento!#REF!)) - (3.13 * (Crescimento!#REF!-Crescimento!#REF!)^2)</f>
        <v>#REF!</v>
      </c>
      <c r="DS59" s="16" t="e">
        <f>((DT58+(Crescimento!#REF!-(DT58*0.64))/0.8)/1000)-Crescimento!#REF!</f>
        <v>#REF!</v>
      </c>
      <c r="DT59" s="17" t="e">
        <f>-53.07 + (304.89 * (DS59)) + (90.79 *(Crescimento!#REF!-Crescimento!#REF!)) - (3.13 * (Crescimento!#REF!-Crescimento!#REF!)^2)</f>
        <v>#REF!</v>
      </c>
      <c r="DV59" s="16" t="e">
        <f>((DW58+(Crescimento!#REF!-(DW58*0.64))/0.8)/1000)-Crescimento!#REF!</f>
        <v>#REF!</v>
      </c>
      <c r="DW59" s="17" t="e">
        <f>-53.07 + (304.89 * (DV59)) + (90.79 *(Crescimento!#REF!-Crescimento!#REF!)) - (3.13 * (Crescimento!#REF!-Crescimento!#REF!)^2)</f>
        <v>#REF!</v>
      </c>
      <c r="DY59" s="16" t="e">
        <f>((DZ58+(Crescimento!#REF!-(DZ58*0.64))/0.8)/1000)-Crescimento!#REF!</f>
        <v>#REF!</v>
      </c>
      <c r="DZ59" s="17" t="e">
        <f>-53.07 + (304.89 * (DY59)) + (90.79 *(Crescimento!#REF!-Crescimento!#REF!)) - (3.13 * (Crescimento!#REF!-Crescimento!#REF!)^2)</f>
        <v>#REF!</v>
      </c>
      <c r="EB59" s="16" t="e">
        <f>((EC58+(Crescimento!#REF!-(EC58*0.64))/0.8)/1000)-Crescimento!#REF!</f>
        <v>#REF!</v>
      </c>
      <c r="EC59" s="17" t="e">
        <f>-53.07 + (304.89 * (EB59)) + (90.79 *(Crescimento!#REF!-Crescimento!#REF!)) - (3.13 * (Crescimento!#REF!-Crescimento!#REF!)^2)</f>
        <v>#REF!</v>
      </c>
      <c r="EE59" s="16" t="e">
        <f>((EF58+(Crescimento!#REF!-(EF58*0.64))/0.8)/1000)-Crescimento!#REF!</f>
        <v>#REF!</v>
      </c>
      <c r="EF59" s="17" t="e">
        <f>-53.07 + (304.89 * (EE59)) + (90.79 *(Crescimento!#REF!-Crescimento!#REF!)) - (3.13 * (Crescimento!#REF!-Crescimento!#REF!)^2)</f>
        <v>#REF!</v>
      </c>
      <c r="EH59" s="16" t="e">
        <f>((EI58+(Crescimento!#REF!-(EI58*0.64))/0.8)/1000)-Crescimento!#REF!</f>
        <v>#REF!</v>
      </c>
      <c r="EI59" s="17" t="e">
        <f>-53.07 + (304.89 * (EH59)) + (90.79 *(Crescimento!#REF!-Crescimento!#REF!)) - (3.13 * (Crescimento!#REF!-Crescimento!#REF!)^2)</f>
        <v>#REF!</v>
      </c>
      <c r="EK59" s="16" t="e">
        <f>((EL58+(Crescimento!#REF!-(EL58*0.64))/0.8)/1000)-Crescimento!#REF!</f>
        <v>#REF!</v>
      </c>
      <c r="EL59" s="17" t="e">
        <f>-53.07 + (304.89 * (EK59)) + (90.79 *(Crescimento!#REF!-Crescimento!#REF!)) - (3.13 * (Crescimento!#REF!-Crescimento!#REF!)^2)</f>
        <v>#REF!</v>
      </c>
      <c r="EN59" s="16" t="e">
        <f>((EO58+(Crescimento!#REF!-(EO58*0.64))/0.8)/1000)-Crescimento!#REF!</f>
        <v>#REF!</v>
      </c>
      <c r="EO59" s="17" t="e">
        <f>-53.07 + (304.89 * (EN59)) + (90.79 *(Crescimento!#REF!-Crescimento!#REF!)) - (3.13 * (Crescimento!#REF!-Crescimento!#REF!)^2)</f>
        <v>#REF!</v>
      </c>
      <c r="EQ59" s="16" t="e">
        <f>((ER58+(Crescimento!#REF!-(ER58*0.64))/0.8)/1000)-Crescimento!#REF!</f>
        <v>#REF!</v>
      </c>
      <c r="ER59" s="17" t="e">
        <f>-53.07 + (304.89 * (EQ59)) + (90.79 *(Crescimento!#REF!-Crescimento!#REF!)) - (3.13 * (Crescimento!#REF!-Crescimento!#REF!)^2)</f>
        <v>#REF!</v>
      </c>
      <c r="ET59" s="16" t="e">
        <f>((EU58+(Crescimento!#REF!-(EU58*0.64))/0.8)/1000)-Crescimento!#REF!</f>
        <v>#REF!</v>
      </c>
      <c r="EU59" s="17" t="e">
        <f>-53.07 + (304.89 * (ET59)) + (90.79 *(Crescimento!#REF!-Crescimento!#REF!)) - (3.13 * (Crescimento!#REF!-Crescimento!#REF!)^2)</f>
        <v>#REF!</v>
      </c>
      <c r="EW59" s="16" t="e">
        <f>((EX58+('Vacas e Bezerros'!#REF!-(EX58*0.64))/0.8)/1000)-'Vacas e Bezerros'!#REF!</f>
        <v>#REF!</v>
      </c>
      <c r="EX59" s="17" t="e">
        <f>-53.07 + (304.89 * (EW59)) + (90.79 *('Vacas e Bezerros'!#REF!-'Vacas e Bezerros'!#REF!)) - (3.13 * ('Vacas e Bezerros'!#REF!-'Vacas e Bezerros'!#REF!)^2)</f>
        <v>#REF!</v>
      </c>
      <c r="EZ59" s="16" t="e">
        <f>((FA58+('Vacas e Bezerros'!#REF!-(FA58*0.64))/0.8)/1000)-'Vacas e Bezerros'!#REF!</f>
        <v>#REF!</v>
      </c>
      <c r="FA59" s="17" t="e">
        <f>-53.07 + (304.89 * (EZ59)) + (90.79 *('Vacas e Bezerros'!#REF!-'Vacas e Bezerros'!#REF!)) - (3.13 * ('Vacas e Bezerros'!#REF!-'Vacas e Bezerros'!#REF!)^2)</f>
        <v>#REF!</v>
      </c>
      <c r="FC59" s="16" t="e">
        <f>((FD58+('Vacas e Bezerros'!#REF!-(FD58*0.64))/0.8)/1000)-'Vacas e Bezerros'!#REF!</f>
        <v>#REF!</v>
      </c>
      <c r="FD59" s="17" t="e">
        <f>-53.07 + (304.89 * (FC59)) + (90.79 *('Vacas e Bezerros'!#REF!-'Vacas e Bezerros'!#REF!)) - (3.13 * ('Vacas e Bezerros'!#REF!-'Vacas e Bezerros'!#REF!)^2)</f>
        <v>#REF!</v>
      </c>
      <c r="FF59" s="16" t="e">
        <f>((FG58+('Vacas e Bezerros'!#REF!-(FG58*0.64))/0.8)/1000)-'Vacas e Bezerros'!#REF!</f>
        <v>#REF!</v>
      </c>
      <c r="FG59" s="17" t="e">
        <f>-53.07 + (304.89 * (FF59)) + (90.79 *('Vacas e Bezerros'!#REF!-'Vacas e Bezerros'!#REF!)) - (3.13 * ('Vacas e Bezerros'!#REF!-'Vacas e Bezerros'!#REF!)^2)</f>
        <v>#REF!</v>
      </c>
      <c r="FI59" s="16" t="e">
        <f>((FJ58+('Vacas e Bezerros'!#REF!-(FJ58*0.64))/0.8)/1000)-'Vacas e Bezerros'!#REF!</f>
        <v>#REF!</v>
      </c>
      <c r="FJ59" s="17" t="e">
        <f>-53.07 + (304.89 * (FI59)) + (90.79 *('Vacas e Bezerros'!#REF!-'Vacas e Bezerros'!#REF!)) - (3.13 * ('Vacas e Bezerros'!#REF!-'Vacas e Bezerros'!#REF!)^2)</f>
        <v>#REF!</v>
      </c>
      <c r="FL59" s="16" t="e">
        <f>((FM58+('Vacas e Bezerros'!#REF!-(FM58*0.64))/0.8)/1000)-'Vacas e Bezerros'!#REF!</f>
        <v>#REF!</v>
      </c>
      <c r="FM59" s="17" t="e">
        <f>-53.07 + (304.89 * (FL59)) + (90.79 *('Vacas e Bezerros'!#REF!-'Vacas e Bezerros'!#REF!)) - (3.13 * ('Vacas e Bezerros'!#REF!-'Vacas e Bezerros'!#REF!)^2)</f>
        <v>#REF!</v>
      </c>
      <c r="FO59" s="16" t="e">
        <f>((FP58+('Vacas e Bezerros'!#REF!-(FP58*0.64))/0.8)/1000)-'Vacas e Bezerros'!#REF!</f>
        <v>#REF!</v>
      </c>
      <c r="FP59" s="17" t="e">
        <f>-53.07 + (304.89 * (FO59)) + (90.79 *('Vacas e Bezerros'!#REF!-'Vacas e Bezerros'!#REF!)) - (3.13 * ('Vacas e Bezerros'!#REF!-'Vacas e Bezerros'!#REF!)^2)</f>
        <v>#REF!</v>
      </c>
      <c r="FR59" s="16" t="e">
        <f>((FS58+('Vacas e Bezerros'!#REF!-(FS58*0.64))/0.8)/1000)-'Vacas e Bezerros'!#REF!</f>
        <v>#REF!</v>
      </c>
      <c r="FS59" s="17" t="e">
        <f>-53.07 + (304.89 * (FR59)) + (90.79 *('Vacas e Bezerros'!#REF!-'Vacas e Bezerros'!#REF!)) - (3.13 * ('Vacas e Bezerros'!#REF!-'Vacas e Bezerros'!#REF!)^2)</f>
        <v>#REF!</v>
      </c>
      <c r="FU59" s="16" t="e">
        <f>((FV58+('Vacas e Bezerros'!#REF!-(FV58*0.64))/0.8)/1000)-'Vacas e Bezerros'!#REF!</f>
        <v>#REF!</v>
      </c>
      <c r="FV59" s="17" t="e">
        <f>-53.07 + (304.89 * (FU59)) + (90.79 *('Vacas e Bezerros'!#REF!-'Vacas e Bezerros'!#REF!)) - (3.13 * ('Vacas e Bezerros'!#REF!-'Vacas e Bezerros'!#REF!)^2)</f>
        <v>#REF!</v>
      </c>
      <c r="FX59" s="16" t="e">
        <f>((FY58+('Vacas e Bezerros'!#REF!-(FY58*0.64))/0.8)/1000)-'Vacas e Bezerros'!#REF!</f>
        <v>#REF!</v>
      </c>
      <c r="FY59" s="17" t="e">
        <f>-53.07 + (304.89 * (FX59)) + (90.79 *('Vacas e Bezerros'!#REF!-'Vacas e Bezerros'!#REF!)) - (3.13 * ('Vacas e Bezerros'!#REF!-'Vacas e Bezerros'!#REF!)^2)</f>
        <v>#REF!</v>
      </c>
      <c r="GA59" s="16" t="e">
        <f>((GB58+('Vacas e Bezerros'!#REF!-(GB58*0.64))/0.8)/1000)-'Vacas e Bezerros'!#REF!</f>
        <v>#REF!</v>
      </c>
      <c r="GB59" s="17" t="e">
        <f>-53.07 + (304.89 * (GA59)) + (90.79 *('Vacas e Bezerros'!#REF!-'Vacas e Bezerros'!#REF!)) - (3.13 * ('Vacas e Bezerros'!#REF!-'Vacas e Bezerros'!#REF!)^2)</f>
        <v>#REF!</v>
      </c>
      <c r="GD59" s="16" t="e">
        <f>((GE58+('Vacas e Bezerros'!#REF!-(GE58*0.64))/0.8)/1000)-'Vacas e Bezerros'!#REF!</f>
        <v>#REF!</v>
      </c>
      <c r="GE59" s="17" t="e">
        <f>-53.07 + (304.89 * (GD59)) + (90.79 *('Vacas e Bezerros'!#REF!-'Vacas e Bezerros'!#REF!)) - (3.13 * ('Vacas e Bezerros'!#REF!-'Vacas e Bezerros'!#REF!)^2)</f>
        <v>#REF!</v>
      </c>
      <c r="GG59" s="16" t="e">
        <f>((GH58+('Vacas e Bezerros'!#REF!-(GH58*0.64))/0.8)/1000)-'Vacas e Bezerros'!#REF!</f>
        <v>#REF!</v>
      </c>
      <c r="GH59" s="17" t="e">
        <f>-53.07 + (304.89 * (GG59)) + (90.79 *('Vacas e Bezerros'!#REF!-'Vacas e Bezerros'!#REF!)) - (3.13 * ('Vacas e Bezerros'!#REF!-'Vacas e Bezerros'!#REF!)^2)</f>
        <v>#REF!</v>
      </c>
      <c r="GJ59" s="16" t="e">
        <f>((GK58+('Vacas e Bezerros'!#REF!-(GK58*0.64))/0.8)/1000)-'Vacas e Bezerros'!#REF!</f>
        <v>#REF!</v>
      </c>
      <c r="GK59" s="17" t="e">
        <f>-53.07 + (304.89 * (GJ59)) + (90.79 *('Vacas e Bezerros'!#REF!-'Vacas e Bezerros'!#REF!)) - (3.13 * ('Vacas e Bezerros'!#REF!-'Vacas e Bezerros'!#REF!)^2)</f>
        <v>#REF!</v>
      </c>
      <c r="GM59" s="16" t="e">
        <f>((GN58+('Vacas e Bezerros'!#REF!-(GN58*0.64))/0.8)/1000)-'Vacas e Bezerros'!#REF!</f>
        <v>#REF!</v>
      </c>
      <c r="GN59" s="17" t="e">
        <f>-53.07 + (304.89 * (GM59)) + (90.79 *('Vacas e Bezerros'!#REF!-'Vacas e Bezerros'!#REF!)) - (3.13 * ('Vacas e Bezerros'!#REF!-'Vacas e Bezerros'!#REF!)^2)</f>
        <v>#REF!</v>
      </c>
    </row>
    <row r="60" spans="3:196" x14ac:dyDescent="0.25">
      <c r="C60" s="16">
        <f>(D59+('Vacas e Bezerros'!$AA$28-(D59*0.64))/0.8)/1000</f>
        <v>0.35719668016155687</v>
      </c>
      <c r="D60" s="17">
        <f>-53.07 + (304.89 * (C60-'Vacas e Bezerros'!$C$206)) + (90.79 *('Vacas e Bezerros'!$AA$22)) - (3.13 *('Vacas e Bezerros'!$AA$22)^2)</f>
        <v>165.01876457544017</v>
      </c>
      <c r="F60" s="16" t="e">
        <f>(G59+(Crescimento!#REF!-(G59*0.64))/0.8)/1000</f>
        <v>#REF!</v>
      </c>
      <c r="G60" s="17" t="e">
        <f>-53.07 + (304.89 * (F60)) + (90.79 *Crescimento!#REF!) - (3.13 * Crescimento!#REF!*Crescimento!#REF!)</f>
        <v>#REF!</v>
      </c>
      <c r="H60" s="1"/>
      <c r="I60" s="16" t="e">
        <f>(J59+(Crescimento!#REF!-(J59*0.64))/0.8)/1000</f>
        <v>#REF!</v>
      </c>
      <c r="J60" s="17" t="e">
        <f>-53.07 + (304.89 * (I60)) + (90.79 *Crescimento!#REF!) - (3.13 * Crescimento!#REF!*Crescimento!#REF!)</f>
        <v>#REF!</v>
      </c>
      <c r="L60" s="16" t="e">
        <f>(M59+(Crescimento!#REF!-(M59*0.64))/0.8)/1000</f>
        <v>#REF!</v>
      </c>
      <c r="M60" s="17" t="e">
        <f>-53.07 + (304.89 * (L60)) + (90.79 *Crescimento!#REF!) - (3.13 * Crescimento!#REF!*Crescimento!#REF!)</f>
        <v>#REF!</v>
      </c>
      <c r="O60" s="16" t="e">
        <f>(P59+(Crescimento!#REF!-(P59*0.64))/0.8)/1000</f>
        <v>#REF!</v>
      </c>
      <c r="P60" s="17" t="e">
        <f>-53.07 + (304.89 * (O60)) + (90.79 *Crescimento!#REF!) - (3.13 * Crescimento!#REF!*Crescimento!#REF!)</f>
        <v>#REF!</v>
      </c>
      <c r="R60" s="16" t="e">
        <f>(S59+(Crescimento!#REF!-(S59*0.64))/0.8)/1000</f>
        <v>#REF!</v>
      </c>
      <c r="S60" s="17" t="e">
        <f>-53.07 + (304.89 * (R60)) + (90.79 *Crescimento!#REF!) - (3.13 * Crescimento!#REF!*Crescimento!#REF!)</f>
        <v>#REF!</v>
      </c>
      <c r="U60" s="16" t="e">
        <f>(V59+(Crescimento!#REF!-(V59*0.64))/0.8)/1000</f>
        <v>#REF!</v>
      </c>
      <c r="V60" s="17" t="e">
        <f>-53.07 + (304.89 * (U60)) + (90.79 *Crescimento!#REF!) - (3.13 * Crescimento!#REF!*Crescimento!#REF!)</f>
        <v>#REF!</v>
      </c>
      <c r="X60" s="16" t="e">
        <f>(Y59+(Crescimento!#REF!-(Y59*0.64))/0.8)/1000</f>
        <v>#REF!</v>
      </c>
      <c r="Y60" s="17" t="e">
        <f>-53.07 + (304.89 * (X60)) + (90.79 *Crescimento!#REF!) - (3.13 * Crescimento!#REF!*Crescimento!#REF!)</f>
        <v>#REF!</v>
      </c>
      <c r="Z60" s="6"/>
      <c r="AA60" s="16" t="e">
        <f>(AB59+(Crescimento!#REF!-(AB59*0.64))/0.8)/1000</f>
        <v>#REF!</v>
      </c>
      <c r="AB60" s="17" t="e">
        <f>-53.07 + (304.89 * (AA60)) + (90.79 *Crescimento!#REF!) - (3.13 * Crescimento!#REF!*Crescimento!#REF!)</f>
        <v>#REF!</v>
      </c>
      <c r="AC60" s="6"/>
      <c r="AD60" s="16" t="e">
        <f>(AE59+(Crescimento!#REF!-(AE59*0.64))/0.8)/1000</f>
        <v>#REF!</v>
      </c>
      <c r="AE60" s="17" t="e">
        <f>-53.07 + (304.89 * (AD60)) + (90.79 *Crescimento!#REF!) - (3.13 * Crescimento!#REF!*Crescimento!#REF!)</f>
        <v>#REF!</v>
      </c>
      <c r="AF60" s="17"/>
      <c r="AG60" s="16" t="e">
        <f>(AH59+(Crescimento!#REF!-(AH59*0.64))/0.8)/1000</f>
        <v>#REF!</v>
      </c>
      <c r="AH60" s="17" t="e">
        <f>-53.07 + (304.89 * (AG60)) + (90.79 *Crescimento!#REF!) - (3.13 * Crescimento!#REF!*Crescimento!#REF!)</f>
        <v>#REF!</v>
      </c>
      <c r="AJ60" s="16" t="e">
        <f>(AK59+(Crescimento!#REF!-(AK59*0.64))/0.8)/1000</f>
        <v>#REF!</v>
      </c>
      <c r="AK60" s="17" t="e">
        <f>-53.07 + (304.89 * (AJ60)) + (90.79 *Crescimento!#REF!) - (3.13 * Crescimento!#REF!*Crescimento!#REF!)</f>
        <v>#REF!</v>
      </c>
      <c r="AM60" s="16" t="e">
        <f>(AN59+(Crescimento!#REF!-(AN59*0.64))/0.8)/1000</f>
        <v>#REF!</v>
      </c>
      <c r="AN60" s="17" t="e">
        <f>-53.07 + (304.89 * (AM60)) + (90.79 *Crescimento!#REF!) - (3.13 * Crescimento!#REF!*Crescimento!#REF!)</f>
        <v>#REF!</v>
      </c>
      <c r="AP60" s="16" t="e">
        <f>(AQ59+(Crescimento!#REF!-(AQ59*0.64))/0.8)/1000</f>
        <v>#REF!</v>
      </c>
      <c r="AQ60" s="17" t="e">
        <f>-53.07 + (304.89 * (AP60)) + (90.79 *Crescimento!#REF!) - (3.13 * Crescimento!#REF!*Crescimento!#REF!)</f>
        <v>#REF!</v>
      </c>
      <c r="AS60" s="16" t="e">
        <f>(AT59+(Crescimento!#REF!-(AT59*0.64))/0.8)/1000</f>
        <v>#REF!</v>
      </c>
      <c r="AT60" s="17" t="e">
        <f>-53.07 + (304.89 * (AS60)) + (90.79 *Crescimento!#REF!) - (3.13 * Crescimento!#REF!*Crescimento!#REF!)</f>
        <v>#REF!</v>
      </c>
      <c r="AV60" s="16" t="e">
        <f>(AW59+(Crescimento!#REF!-(AW59*0.64))/0.8)/1000</f>
        <v>#REF!</v>
      </c>
      <c r="AW60" s="17" t="e">
        <f>-53.07 + (304.89 * (AV60)) + (90.79 *Crescimento!#REF!) - (3.13 * Crescimento!#REF!*Crescimento!#REF!)</f>
        <v>#REF!</v>
      </c>
      <c r="AY60" s="21" t="e">
        <f>((AZ59+(Crescimento!#REF!-(AZ59*0.64))/0.8)/1000)-Crescimento!#REF!</f>
        <v>#REF!</v>
      </c>
      <c r="AZ60" s="22" t="e">
        <f>-53.07 + (304.89 * (AY60)) + (90.79 *(Crescimento!#REF!-Crescimento!#REF!)) - (3.13 * (Crescimento!#REF!-Crescimento!#REF!)^2)</f>
        <v>#REF!</v>
      </c>
      <c r="BA60" s="23"/>
      <c r="BB60" s="21" t="e">
        <f>((BC59+(Crescimento!#REF!-(BC59*0.64))/0.8)/1000)-Crescimento!#REF!</f>
        <v>#REF!</v>
      </c>
      <c r="BC60" s="22" t="e">
        <f>-53.07 + (304.89 * (BB60)) + (90.79 *(Crescimento!#REF!-Crescimento!#REF!)) - (3.13 * (Crescimento!#REF!-Crescimento!#REF!)^2)</f>
        <v>#REF!</v>
      </c>
      <c r="BD60" s="23"/>
      <c r="BE60" s="21" t="e">
        <f>((BF59+(Crescimento!#REF!-(BF59*0.64))/0.8)/1000)-Crescimento!#REF!</f>
        <v>#REF!</v>
      </c>
      <c r="BF60" s="22" t="e">
        <f>-53.07 + (304.89 * (BE60)) + (90.79 *(Crescimento!#REF!-Crescimento!#REF!)) - (3.13 * (Crescimento!#REF!-Crescimento!#REF!)^2)</f>
        <v>#REF!</v>
      </c>
      <c r="BG60" s="23"/>
      <c r="BH60" s="21" t="e">
        <f>((BI59+(Crescimento!#REF!-(BI59*0.64))/0.8)/1000)-Crescimento!#REF!</f>
        <v>#REF!</v>
      </c>
      <c r="BI60" s="22" t="e">
        <f>-53.07 + (304.89 * (BH60)) + (90.79 *(Crescimento!#REF!-Crescimento!#REF!)) - (3.13 * (Crescimento!#REF!-Crescimento!#REF!)^2)</f>
        <v>#REF!</v>
      </c>
      <c r="BJ60" s="23"/>
      <c r="BK60" s="21" t="e">
        <f>((BL59+(Crescimento!#REF!-(BL59*0.64))/0.8)/1000)-Crescimento!#REF!</f>
        <v>#REF!</v>
      </c>
      <c r="BL60" s="22" t="e">
        <f>-53.07 + (304.89 * (BK60)) + (90.79 *(Crescimento!#REF!-Crescimento!#REF!)) - (3.13 * (Crescimento!#REF!-Crescimento!#REF!)^2)</f>
        <v>#REF!</v>
      </c>
      <c r="BM60" s="23"/>
      <c r="BN60" s="21" t="e">
        <f>((BO59+(Crescimento!#REF!-(BO59*0.64))/0.8)/1000)-Crescimento!#REF!</f>
        <v>#REF!</v>
      </c>
      <c r="BO60" s="22" t="e">
        <f>-53.07 + (304.89 * (BN60)) + (90.79 *(Crescimento!#REF!-Crescimento!#REF!)) - (3.13 * (Crescimento!#REF!-Crescimento!#REF!)^2)</f>
        <v>#REF!</v>
      </c>
      <c r="BP60" s="23"/>
      <c r="BQ60" s="21" t="e">
        <f>((BR59+(Crescimento!#REF!-(BR59*0.64))/0.8)/1000)-Crescimento!#REF!</f>
        <v>#REF!</v>
      </c>
      <c r="BR60" s="22" t="e">
        <f>-53.07 + (304.89 * (BQ60)) + (90.79 *(Crescimento!#REF!-Crescimento!#REF!)) - (3.13 * (Crescimento!#REF!-Crescimento!#REF!)^2)</f>
        <v>#REF!</v>
      </c>
      <c r="BS60" s="23"/>
      <c r="BT60" s="21" t="e">
        <f>((BU59+(Crescimento!#REF!-(BU59*0.64))/0.8)/1000)-Crescimento!#REF!</f>
        <v>#REF!</v>
      </c>
      <c r="BU60" s="22" t="e">
        <f>-53.07 + (304.89 * (BT60)) + (90.79 *(Crescimento!#REF!-Crescimento!#REF!)) - (3.13 * (Crescimento!#REF!-Crescimento!#REF!)^2)</f>
        <v>#REF!</v>
      </c>
      <c r="BV60" s="23"/>
      <c r="BW60" s="21" t="e">
        <f>((BX59+(Crescimento!#REF!-(BX59*0.64))/0.8)/1000)-Crescimento!#REF!</f>
        <v>#REF!</v>
      </c>
      <c r="BX60" s="22" t="e">
        <f>-53.07 + (304.89 * (BW60)) + (90.79 *(Crescimento!#REF!-Crescimento!#REF!)) - (3.13 * (Crescimento!#REF!-Crescimento!#REF!)^2)</f>
        <v>#REF!</v>
      </c>
      <c r="BY60" s="23"/>
      <c r="BZ60" s="21" t="e">
        <f>((CA59+(Crescimento!#REF!-(CA59*0.64))/0.8)/1000)-Crescimento!#REF!</f>
        <v>#REF!</v>
      </c>
      <c r="CA60" s="22" t="e">
        <f>-53.07 + (304.89 * (BZ60)) + (90.79 *(Crescimento!#REF!-Crescimento!#REF!)) - (3.13 * (Crescimento!#REF!-Crescimento!#REF!)^2)</f>
        <v>#REF!</v>
      </c>
      <c r="CB60" s="23"/>
      <c r="CC60" s="21" t="e">
        <f>((CD59+(Crescimento!#REF!-(CD59*0.64))/0.8)/1000)-Crescimento!#REF!</f>
        <v>#REF!</v>
      </c>
      <c r="CD60" s="22" t="e">
        <f>-53.07 + (304.89 * (CC60)) + (90.79 *(Crescimento!#REF!-Crescimento!#REF!)) - (3.13 * (Crescimento!#REF!-Crescimento!#REF!)^2)</f>
        <v>#REF!</v>
      </c>
      <c r="CE60" s="23"/>
      <c r="CF60" s="21" t="e">
        <f>((CG59+(Crescimento!#REF!-(CG59*0.64))/0.8)/1000)-Crescimento!#REF!</f>
        <v>#REF!</v>
      </c>
      <c r="CG60" s="22" t="e">
        <f>-53.07 + (304.89 * (CF60)) + (90.79 *(Crescimento!#REF!-Crescimento!#REF!)) - (3.13 * (Crescimento!#REF!-Crescimento!#REF!)^2)</f>
        <v>#REF!</v>
      </c>
      <c r="CH60" s="23"/>
      <c r="CI60" s="21" t="e">
        <f>((CJ59+(Crescimento!#REF!-(CJ59*0.64))/0.8)/1000)-Crescimento!#REF!</f>
        <v>#REF!</v>
      </c>
      <c r="CJ60" s="22" t="e">
        <f>-53.07 + (304.89 * (CI60)) + (90.79 *(Crescimento!#REF!-Crescimento!#REF!)) - (3.13 * (Crescimento!#REF!-Crescimento!#REF!)^2)</f>
        <v>#REF!</v>
      </c>
      <c r="CK60" s="23"/>
      <c r="CL60" s="21" t="e">
        <f>((CM59+(Crescimento!#REF!-(CM59*0.64))/0.8)/1000)-Crescimento!#REF!</f>
        <v>#REF!</v>
      </c>
      <c r="CM60" s="22" t="e">
        <f>-53.07 + (304.89 * (CL60)) + (90.79 *(Crescimento!#REF!-Crescimento!#REF!)) - (3.13 * (Crescimento!#REF!-Crescimento!#REF!)^2)</f>
        <v>#REF!</v>
      </c>
      <c r="CN60" s="23"/>
      <c r="CO60" s="21" t="e">
        <f>((CP59+(Crescimento!#REF!-(CP59*0.64))/0.8)/1000)-Crescimento!#REF!</f>
        <v>#REF!</v>
      </c>
      <c r="CP60" s="22" t="e">
        <f>-53.07 + (304.89 * (CO60)) + (90.79 *(Crescimento!#REF!-Crescimento!#REF!)) - (3.13 * (Crescimento!#REF!-Crescimento!#REF!)^2)</f>
        <v>#REF!</v>
      </c>
      <c r="CQ60" s="23"/>
      <c r="CR60" s="21" t="e">
        <f>((CS59+(Crescimento!#REF!-(CS59*0.64))/0.8)/1000)-Crescimento!#REF!</f>
        <v>#REF!</v>
      </c>
      <c r="CS60" s="22" t="e">
        <f>-53.07 + (304.89 * (CR60)) + (90.79 *(Crescimento!#REF!-Crescimento!#REF!)) - (3.13 * (Crescimento!#REF!-Crescimento!#REF!)^2)</f>
        <v>#REF!</v>
      </c>
      <c r="CX60" s="16" t="e">
        <f>((CY59+(Crescimento!#REF!-(CY59*0.64))/0.8)/1000)-Crescimento!#REF!</f>
        <v>#REF!</v>
      </c>
      <c r="CY60" s="17" t="e">
        <f>-53.07 + (304.89 * (CX60)) + (90.79 *(Crescimento!#REF!-Crescimento!#REF!)) - (3.13 * (Crescimento!#REF!-Crescimento!#REF!)^2)</f>
        <v>#REF!</v>
      </c>
      <c r="DA60" s="16" t="e">
        <f>((DB59+(Crescimento!#REF!-(DB59*0.64))/0.8)/1000)-Crescimento!#REF!</f>
        <v>#REF!</v>
      </c>
      <c r="DB60" s="17" t="e">
        <f>-53.07 + (304.89 * (DA60)) + (90.79 *(Crescimento!#REF!-Crescimento!#REF!)) - (3.13 * (Crescimento!#REF!-Crescimento!#REF!)^2)</f>
        <v>#REF!</v>
      </c>
      <c r="DD60" s="16" t="e">
        <f>(DE59+(Crescimento!#REF!-(DE59*0.64))/0.8)/1000</f>
        <v>#REF!</v>
      </c>
      <c r="DE60" s="17" t="e">
        <f>-53.07 + (304.89 * (DD60)) + (90.79 *Crescimento!#REF!) - (3.13 * Crescimento!#REF!*Crescimento!#REF!)</f>
        <v>#REF!</v>
      </c>
      <c r="DG60" s="16" t="e">
        <f>((DH59+(Crescimento!#REF!-(DH59*0.64))/0.8)/1000)-Crescimento!#REF!</f>
        <v>#REF!</v>
      </c>
      <c r="DH60" s="17" t="e">
        <f>-53.07 + (304.89 * (DG60)) + (90.79 *(Crescimento!#REF!-Crescimento!#REF!)) - (3.13 * (Crescimento!#REF!-Crescimento!#REF!)^2)</f>
        <v>#REF!</v>
      </c>
      <c r="DJ60" s="16" t="e">
        <f>((DK59+(Crescimento!#REF!-(DK59*0.64))/0.8)/1000)-Crescimento!#REF!</f>
        <v>#REF!</v>
      </c>
      <c r="DK60" s="17" t="e">
        <f>-53.07 + (304.89 * (DJ60)) + (90.79 *(Crescimento!#REF!-Crescimento!#REF!)) - (3.13 * (Crescimento!#REF!-Crescimento!#REF!)^2)</f>
        <v>#REF!</v>
      </c>
      <c r="DM60" s="16" t="e">
        <f>((DN59+(Crescimento!#REF!-(DN59*0.64))/0.8)/1000)-Crescimento!#REF!</f>
        <v>#REF!</v>
      </c>
      <c r="DN60" s="17" t="e">
        <f>-53.07 + (304.89 * (DM60)) + (90.79 *(Crescimento!#REF!-Crescimento!#REF!)) - (3.13 * (Crescimento!#REF!-Crescimento!#REF!)^2)</f>
        <v>#REF!</v>
      </c>
      <c r="DP60" s="16" t="e">
        <f>(DQ59+(Crescimento!#REF!-(DQ59*0.64))/0.8)/1000</f>
        <v>#REF!</v>
      </c>
      <c r="DQ60" s="17" t="e">
        <f>-53.07 + (304.89 * (DP60)) + (90.79 *(Crescimento!#REF!-Crescimento!#REF!)) - (3.13 * (Crescimento!#REF!-Crescimento!#REF!)^2)</f>
        <v>#REF!</v>
      </c>
      <c r="DS60" s="16" t="e">
        <f>((DT59+(Crescimento!#REF!-(DT59*0.64))/0.8)/1000)-Crescimento!#REF!</f>
        <v>#REF!</v>
      </c>
      <c r="DT60" s="17" t="e">
        <f>-53.07 + (304.89 * (DS60)) + (90.79 *(Crescimento!#REF!-Crescimento!#REF!)) - (3.13 * (Crescimento!#REF!-Crescimento!#REF!)^2)</f>
        <v>#REF!</v>
      </c>
      <c r="DV60" s="16" t="e">
        <f>((DW59+(Crescimento!#REF!-(DW59*0.64))/0.8)/1000)-Crescimento!#REF!</f>
        <v>#REF!</v>
      </c>
      <c r="DW60" s="17" t="e">
        <f>-53.07 + (304.89 * (DV60)) + (90.79 *(Crescimento!#REF!-Crescimento!#REF!)) - (3.13 * (Crescimento!#REF!-Crescimento!#REF!)^2)</f>
        <v>#REF!</v>
      </c>
      <c r="DY60" s="16" t="e">
        <f>((DZ59+(Crescimento!#REF!-(DZ59*0.64))/0.8)/1000)-Crescimento!#REF!</f>
        <v>#REF!</v>
      </c>
      <c r="DZ60" s="17" t="e">
        <f>-53.07 + (304.89 * (DY60)) + (90.79 *(Crescimento!#REF!-Crescimento!#REF!)) - (3.13 * (Crescimento!#REF!-Crescimento!#REF!)^2)</f>
        <v>#REF!</v>
      </c>
      <c r="EB60" s="16" t="e">
        <f>((EC59+(Crescimento!#REF!-(EC59*0.64))/0.8)/1000)-Crescimento!#REF!</f>
        <v>#REF!</v>
      </c>
      <c r="EC60" s="17" t="e">
        <f>-53.07 + (304.89 * (EB60)) + (90.79 *(Crescimento!#REF!-Crescimento!#REF!)) - (3.13 * (Crescimento!#REF!-Crescimento!#REF!)^2)</f>
        <v>#REF!</v>
      </c>
      <c r="EE60" s="16" t="e">
        <f>((EF59+(Crescimento!#REF!-(EF59*0.64))/0.8)/1000)-Crescimento!#REF!</f>
        <v>#REF!</v>
      </c>
      <c r="EF60" s="17" t="e">
        <f>-53.07 + (304.89 * (EE60)) + (90.79 *(Crescimento!#REF!-Crescimento!#REF!)) - (3.13 * (Crescimento!#REF!-Crescimento!#REF!)^2)</f>
        <v>#REF!</v>
      </c>
      <c r="EH60" s="16" t="e">
        <f>((EI59+(Crescimento!#REF!-(EI59*0.64))/0.8)/1000)-Crescimento!#REF!</f>
        <v>#REF!</v>
      </c>
      <c r="EI60" s="17" t="e">
        <f>-53.07 + (304.89 * (EH60)) + (90.79 *(Crescimento!#REF!-Crescimento!#REF!)) - (3.13 * (Crescimento!#REF!-Crescimento!#REF!)^2)</f>
        <v>#REF!</v>
      </c>
      <c r="EK60" s="16" t="e">
        <f>((EL59+(Crescimento!#REF!-(EL59*0.64))/0.8)/1000)-Crescimento!#REF!</f>
        <v>#REF!</v>
      </c>
      <c r="EL60" s="17" t="e">
        <f>-53.07 + (304.89 * (EK60)) + (90.79 *(Crescimento!#REF!-Crescimento!#REF!)) - (3.13 * (Crescimento!#REF!-Crescimento!#REF!)^2)</f>
        <v>#REF!</v>
      </c>
      <c r="EN60" s="16" t="e">
        <f>((EO59+(Crescimento!#REF!-(EO59*0.64))/0.8)/1000)-Crescimento!#REF!</f>
        <v>#REF!</v>
      </c>
      <c r="EO60" s="17" t="e">
        <f>-53.07 + (304.89 * (EN60)) + (90.79 *(Crescimento!#REF!-Crescimento!#REF!)) - (3.13 * (Crescimento!#REF!-Crescimento!#REF!)^2)</f>
        <v>#REF!</v>
      </c>
      <c r="EQ60" s="16" t="e">
        <f>((ER59+(Crescimento!#REF!-(ER59*0.64))/0.8)/1000)-Crescimento!#REF!</f>
        <v>#REF!</v>
      </c>
      <c r="ER60" s="17" t="e">
        <f>-53.07 + (304.89 * (EQ60)) + (90.79 *(Crescimento!#REF!-Crescimento!#REF!)) - (3.13 * (Crescimento!#REF!-Crescimento!#REF!)^2)</f>
        <v>#REF!</v>
      </c>
      <c r="ET60" s="16" t="e">
        <f>((EU59+(Crescimento!#REF!-(EU59*0.64))/0.8)/1000)-Crescimento!#REF!</f>
        <v>#REF!</v>
      </c>
      <c r="EU60" s="17" t="e">
        <f>-53.07 + (304.89 * (ET60)) + (90.79 *(Crescimento!#REF!-Crescimento!#REF!)) - (3.13 * (Crescimento!#REF!-Crescimento!#REF!)^2)</f>
        <v>#REF!</v>
      </c>
      <c r="EW60" s="16" t="e">
        <f>((EX59+('Vacas e Bezerros'!#REF!-(EX59*0.64))/0.8)/1000)-'Vacas e Bezerros'!#REF!</f>
        <v>#REF!</v>
      </c>
      <c r="EX60" s="17" t="e">
        <f>-53.07 + (304.89 * (EW60)) + (90.79 *('Vacas e Bezerros'!#REF!-'Vacas e Bezerros'!#REF!)) - (3.13 * ('Vacas e Bezerros'!#REF!-'Vacas e Bezerros'!#REF!)^2)</f>
        <v>#REF!</v>
      </c>
      <c r="EZ60" s="16" t="e">
        <f>((FA59+('Vacas e Bezerros'!#REF!-(FA59*0.64))/0.8)/1000)-'Vacas e Bezerros'!#REF!</f>
        <v>#REF!</v>
      </c>
      <c r="FA60" s="17" t="e">
        <f>-53.07 + (304.89 * (EZ60)) + (90.79 *('Vacas e Bezerros'!#REF!-'Vacas e Bezerros'!#REF!)) - (3.13 * ('Vacas e Bezerros'!#REF!-'Vacas e Bezerros'!#REF!)^2)</f>
        <v>#REF!</v>
      </c>
      <c r="FC60" s="16" t="e">
        <f>((FD59+('Vacas e Bezerros'!#REF!-(FD59*0.64))/0.8)/1000)-'Vacas e Bezerros'!#REF!</f>
        <v>#REF!</v>
      </c>
      <c r="FD60" s="17" t="e">
        <f>-53.07 + (304.89 * (FC60)) + (90.79 *('Vacas e Bezerros'!#REF!-'Vacas e Bezerros'!#REF!)) - (3.13 * ('Vacas e Bezerros'!#REF!-'Vacas e Bezerros'!#REF!)^2)</f>
        <v>#REF!</v>
      </c>
      <c r="FF60" s="16" t="e">
        <f>((FG59+('Vacas e Bezerros'!#REF!-(FG59*0.64))/0.8)/1000)-'Vacas e Bezerros'!#REF!</f>
        <v>#REF!</v>
      </c>
      <c r="FG60" s="17" t="e">
        <f>-53.07 + (304.89 * (FF60)) + (90.79 *('Vacas e Bezerros'!#REF!-'Vacas e Bezerros'!#REF!)) - (3.13 * ('Vacas e Bezerros'!#REF!-'Vacas e Bezerros'!#REF!)^2)</f>
        <v>#REF!</v>
      </c>
      <c r="FI60" s="16" t="e">
        <f>((FJ59+('Vacas e Bezerros'!#REF!-(FJ59*0.64))/0.8)/1000)-'Vacas e Bezerros'!#REF!</f>
        <v>#REF!</v>
      </c>
      <c r="FJ60" s="17" t="e">
        <f>-53.07 + (304.89 * (FI60)) + (90.79 *('Vacas e Bezerros'!#REF!-'Vacas e Bezerros'!#REF!)) - (3.13 * ('Vacas e Bezerros'!#REF!-'Vacas e Bezerros'!#REF!)^2)</f>
        <v>#REF!</v>
      </c>
      <c r="FL60" s="16" t="e">
        <f>((FM59+('Vacas e Bezerros'!#REF!-(FM59*0.64))/0.8)/1000)-'Vacas e Bezerros'!#REF!</f>
        <v>#REF!</v>
      </c>
      <c r="FM60" s="17" t="e">
        <f>-53.07 + (304.89 * (FL60)) + (90.79 *('Vacas e Bezerros'!#REF!-'Vacas e Bezerros'!#REF!)) - (3.13 * ('Vacas e Bezerros'!#REF!-'Vacas e Bezerros'!#REF!)^2)</f>
        <v>#REF!</v>
      </c>
      <c r="FO60" s="16" t="e">
        <f>((FP59+('Vacas e Bezerros'!#REF!-(FP59*0.64))/0.8)/1000)-'Vacas e Bezerros'!#REF!</f>
        <v>#REF!</v>
      </c>
      <c r="FP60" s="17" t="e">
        <f>-53.07 + (304.89 * (FO60)) + (90.79 *('Vacas e Bezerros'!#REF!-'Vacas e Bezerros'!#REF!)) - (3.13 * ('Vacas e Bezerros'!#REF!-'Vacas e Bezerros'!#REF!)^2)</f>
        <v>#REF!</v>
      </c>
      <c r="FR60" s="16" t="e">
        <f>((FS59+('Vacas e Bezerros'!#REF!-(FS59*0.64))/0.8)/1000)-'Vacas e Bezerros'!#REF!</f>
        <v>#REF!</v>
      </c>
      <c r="FS60" s="17" t="e">
        <f>-53.07 + (304.89 * (FR60)) + (90.79 *('Vacas e Bezerros'!#REF!-'Vacas e Bezerros'!#REF!)) - (3.13 * ('Vacas e Bezerros'!#REF!-'Vacas e Bezerros'!#REF!)^2)</f>
        <v>#REF!</v>
      </c>
      <c r="FU60" s="16" t="e">
        <f>((FV59+('Vacas e Bezerros'!#REF!-(FV59*0.64))/0.8)/1000)-'Vacas e Bezerros'!#REF!</f>
        <v>#REF!</v>
      </c>
      <c r="FV60" s="17" t="e">
        <f>-53.07 + (304.89 * (FU60)) + (90.79 *('Vacas e Bezerros'!#REF!-'Vacas e Bezerros'!#REF!)) - (3.13 * ('Vacas e Bezerros'!#REF!-'Vacas e Bezerros'!#REF!)^2)</f>
        <v>#REF!</v>
      </c>
      <c r="FX60" s="16" t="e">
        <f>((FY59+('Vacas e Bezerros'!#REF!-(FY59*0.64))/0.8)/1000)-'Vacas e Bezerros'!#REF!</f>
        <v>#REF!</v>
      </c>
      <c r="FY60" s="17" t="e">
        <f>-53.07 + (304.89 * (FX60)) + (90.79 *('Vacas e Bezerros'!#REF!-'Vacas e Bezerros'!#REF!)) - (3.13 * ('Vacas e Bezerros'!#REF!-'Vacas e Bezerros'!#REF!)^2)</f>
        <v>#REF!</v>
      </c>
      <c r="GA60" s="16" t="e">
        <f>((GB59+('Vacas e Bezerros'!#REF!-(GB59*0.64))/0.8)/1000)-'Vacas e Bezerros'!#REF!</f>
        <v>#REF!</v>
      </c>
      <c r="GB60" s="17" t="e">
        <f>-53.07 + (304.89 * (GA60)) + (90.79 *('Vacas e Bezerros'!#REF!-'Vacas e Bezerros'!#REF!)) - (3.13 * ('Vacas e Bezerros'!#REF!-'Vacas e Bezerros'!#REF!)^2)</f>
        <v>#REF!</v>
      </c>
      <c r="GD60" s="16" t="e">
        <f>((GE59+('Vacas e Bezerros'!#REF!-(GE59*0.64))/0.8)/1000)-'Vacas e Bezerros'!#REF!</f>
        <v>#REF!</v>
      </c>
      <c r="GE60" s="17" t="e">
        <f>-53.07 + (304.89 * (GD60)) + (90.79 *('Vacas e Bezerros'!#REF!-'Vacas e Bezerros'!#REF!)) - (3.13 * ('Vacas e Bezerros'!#REF!-'Vacas e Bezerros'!#REF!)^2)</f>
        <v>#REF!</v>
      </c>
      <c r="GG60" s="16" t="e">
        <f>((GH59+('Vacas e Bezerros'!#REF!-(GH59*0.64))/0.8)/1000)-'Vacas e Bezerros'!#REF!</f>
        <v>#REF!</v>
      </c>
      <c r="GH60" s="17" t="e">
        <f>-53.07 + (304.89 * (GG60)) + (90.79 *('Vacas e Bezerros'!#REF!-'Vacas e Bezerros'!#REF!)) - (3.13 * ('Vacas e Bezerros'!#REF!-'Vacas e Bezerros'!#REF!)^2)</f>
        <v>#REF!</v>
      </c>
      <c r="GJ60" s="16" t="e">
        <f>((GK59+('Vacas e Bezerros'!#REF!-(GK59*0.64))/0.8)/1000)-'Vacas e Bezerros'!#REF!</f>
        <v>#REF!</v>
      </c>
      <c r="GK60" s="17" t="e">
        <f>-53.07 + (304.89 * (GJ60)) + (90.79 *('Vacas e Bezerros'!#REF!-'Vacas e Bezerros'!#REF!)) - (3.13 * ('Vacas e Bezerros'!#REF!-'Vacas e Bezerros'!#REF!)^2)</f>
        <v>#REF!</v>
      </c>
      <c r="GM60" s="16" t="e">
        <f>((GN59+('Vacas e Bezerros'!#REF!-(GN59*0.64))/0.8)/1000)-'Vacas e Bezerros'!#REF!</f>
        <v>#REF!</v>
      </c>
      <c r="GN60" s="17" t="e">
        <f>-53.07 + (304.89 * (GM60)) + (90.79 *('Vacas e Bezerros'!#REF!-'Vacas e Bezerros'!#REF!)) - (3.13 * ('Vacas e Bezerros'!#REF!-'Vacas e Bezerros'!#REF!)^2)</f>
        <v>#REF!</v>
      </c>
    </row>
    <row r="61" spans="3:196" x14ac:dyDescent="0.25">
      <c r="C61" s="16">
        <f>(D60+('Vacas e Bezerros'!$AA$28-(D60*0.64))/0.8)/1000</f>
        <v>0.35719668016155687</v>
      </c>
      <c r="D61" s="17">
        <f>-53.07 + (304.89 * (C61-'Vacas e Bezerros'!$C$206)) + (90.79 *('Vacas e Bezerros'!$AA$22)) - (3.13 *('Vacas e Bezerros'!$AA$22)^2)</f>
        <v>165.01876457544017</v>
      </c>
      <c r="F61" s="16" t="e">
        <f>(G60+(Crescimento!#REF!-(G60*0.64))/0.8)/1000</f>
        <v>#REF!</v>
      </c>
      <c r="G61" s="17" t="e">
        <f>-53.07 + (304.89 * (F61)) + (90.79 *Crescimento!#REF!) - (3.13 * Crescimento!#REF!*Crescimento!#REF!)</f>
        <v>#REF!</v>
      </c>
      <c r="H61" s="1"/>
      <c r="I61" s="16" t="e">
        <f>(J60+(Crescimento!#REF!-(J60*0.64))/0.8)/1000</f>
        <v>#REF!</v>
      </c>
      <c r="J61" s="17" t="e">
        <f>-53.07 + (304.89 * (I61)) + (90.79 *Crescimento!#REF!) - (3.13 * Crescimento!#REF!*Crescimento!#REF!)</f>
        <v>#REF!</v>
      </c>
      <c r="L61" s="16" t="e">
        <f>(M60+(Crescimento!#REF!-(M60*0.64))/0.8)/1000</f>
        <v>#REF!</v>
      </c>
      <c r="M61" s="17" t="e">
        <f>-53.07 + (304.89 * (L61)) + (90.79 *Crescimento!#REF!) - (3.13 * Crescimento!#REF!*Crescimento!#REF!)</f>
        <v>#REF!</v>
      </c>
      <c r="O61" s="16" t="e">
        <f>(P60+(Crescimento!#REF!-(P60*0.64))/0.8)/1000</f>
        <v>#REF!</v>
      </c>
      <c r="P61" s="17" t="e">
        <f>-53.07 + (304.89 * (O61)) + (90.79 *Crescimento!#REF!) - (3.13 * Crescimento!#REF!*Crescimento!#REF!)</f>
        <v>#REF!</v>
      </c>
      <c r="R61" s="16" t="e">
        <f>(S60+(Crescimento!#REF!-(S60*0.64))/0.8)/1000</f>
        <v>#REF!</v>
      </c>
      <c r="S61" s="17" t="e">
        <f>-53.07 + (304.89 * (R61)) + (90.79 *Crescimento!#REF!) - (3.13 * Crescimento!#REF!*Crescimento!#REF!)</f>
        <v>#REF!</v>
      </c>
      <c r="U61" s="16" t="e">
        <f>(V60+(Crescimento!#REF!-(V60*0.64))/0.8)/1000</f>
        <v>#REF!</v>
      </c>
      <c r="V61" s="17" t="e">
        <f>-53.07 + (304.89 * (U61)) + (90.79 *Crescimento!#REF!) - (3.13 * Crescimento!#REF!*Crescimento!#REF!)</f>
        <v>#REF!</v>
      </c>
      <c r="X61" s="16" t="e">
        <f>(Y60+(Crescimento!#REF!-(Y60*0.64))/0.8)/1000</f>
        <v>#REF!</v>
      </c>
      <c r="Y61" s="17" t="e">
        <f>-53.07 + (304.89 * (X61)) + (90.79 *Crescimento!#REF!) - (3.13 * Crescimento!#REF!*Crescimento!#REF!)</f>
        <v>#REF!</v>
      </c>
      <c r="Z61" s="6"/>
      <c r="AA61" s="16" t="e">
        <f>(AB60+(Crescimento!#REF!-(AB60*0.64))/0.8)/1000</f>
        <v>#REF!</v>
      </c>
      <c r="AB61" s="17" t="e">
        <f>-53.07 + (304.89 * (AA61)) + (90.79 *Crescimento!#REF!) - (3.13 * Crescimento!#REF!*Crescimento!#REF!)</f>
        <v>#REF!</v>
      </c>
      <c r="AC61" s="6"/>
      <c r="AD61" s="16" t="e">
        <f>(AE60+(Crescimento!#REF!-(AE60*0.64))/0.8)/1000</f>
        <v>#REF!</v>
      </c>
      <c r="AE61" s="17" t="e">
        <f>-53.07 + (304.89 * (AD61)) + (90.79 *Crescimento!#REF!) - (3.13 * Crescimento!#REF!*Crescimento!#REF!)</f>
        <v>#REF!</v>
      </c>
      <c r="AF61" s="17"/>
      <c r="AG61" s="16" t="e">
        <f>(AH60+(Crescimento!#REF!-(AH60*0.64))/0.8)/1000</f>
        <v>#REF!</v>
      </c>
      <c r="AH61" s="17" t="e">
        <f>-53.07 + (304.89 * (AG61)) + (90.79 *Crescimento!#REF!) - (3.13 * Crescimento!#REF!*Crescimento!#REF!)</f>
        <v>#REF!</v>
      </c>
      <c r="AJ61" s="16" t="e">
        <f>(AK60+(Crescimento!#REF!-(AK60*0.64))/0.8)/1000</f>
        <v>#REF!</v>
      </c>
      <c r="AK61" s="17" t="e">
        <f>-53.07 + (304.89 * (AJ61)) + (90.79 *Crescimento!#REF!) - (3.13 * Crescimento!#REF!*Crescimento!#REF!)</f>
        <v>#REF!</v>
      </c>
      <c r="AM61" s="16" t="e">
        <f>(AN60+(Crescimento!#REF!-(AN60*0.64))/0.8)/1000</f>
        <v>#REF!</v>
      </c>
      <c r="AN61" s="17" t="e">
        <f>-53.07 + (304.89 * (AM61)) + (90.79 *Crescimento!#REF!) - (3.13 * Crescimento!#REF!*Crescimento!#REF!)</f>
        <v>#REF!</v>
      </c>
      <c r="AP61" s="16" t="e">
        <f>(AQ60+(Crescimento!#REF!-(AQ60*0.64))/0.8)/1000</f>
        <v>#REF!</v>
      </c>
      <c r="AQ61" s="17" t="e">
        <f>-53.07 + (304.89 * (AP61)) + (90.79 *Crescimento!#REF!) - (3.13 * Crescimento!#REF!*Crescimento!#REF!)</f>
        <v>#REF!</v>
      </c>
      <c r="AS61" s="16" t="e">
        <f>(AT60+(Crescimento!#REF!-(AT60*0.64))/0.8)/1000</f>
        <v>#REF!</v>
      </c>
      <c r="AT61" s="17" t="e">
        <f>-53.07 + (304.89 * (AS61)) + (90.79 *Crescimento!#REF!) - (3.13 * Crescimento!#REF!*Crescimento!#REF!)</f>
        <v>#REF!</v>
      </c>
      <c r="AV61" s="16" t="e">
        <f>(AW60+(Crescimento!#REF!-(AW60*0.64))/0.8)/1000</f>
        <v>#REF!</v>
      </c>
      <c r="AW61" s="17" t="e">
        <f>-53.07 + (304.89 * (AV61)) + (90.79 *Crescimento!#REF!) - (3.13 * Crescimento!#REF!*Crescimento!#REF!)</f>
        <v>#REF!</v>
      </c>
      <c r="AY61" s="21" t="e">
        <f>((AZ60+(Crescimento!#REF!-(AZ60*0.64))/0.8)/1000)-Crescimento!#REF!</f>
        <v>#REF!</v>
      </c>
      <c r="AZ61" s="22" t="e">
        <f>-53.07 + (304.89 * (AY61)) + (90.79 *(Crescimento!#REF!-Crescimento!#REF!)) - (3.13 * (Crescimento!#REF!-Crescimento!#REF!)^2)</f>
        <v>#REF!</v>
      </c>
      <c r="BA61" s="23"/>
      <c r="BB61" s="21" t="e">
        <f>((BC60+(Crescimento!#REF!-(BC60*0.64))/0.8)/1000)-Crescimento!#REF!</f>
        <v>#REF!</v>
      </c>
      <c r="BC61" s="22" t="e">
        <f>-53.07 + (304.89 * (BB61)) + (90.79 *(Crescimento!#REF!-Crescimento!#REF!)) - (3.13 * (Crescimento!#REF!-Crescimento!#REF!)^2)</f>
        <v>#REF!</v>
      </c>
      <c r="BD61" s="23"/>
      <c r="BE61" s="21" t="e">
        <f>((BF60+(Crescimento!#REF!-(BF60*0.64))/0.8)/1000)-Crescimento!#REF!</f>
        <v>#REF!</v>
      </c>
      <c r="BF61" s="22" t="e">
        <f>-53.07 + (304.89 * (BE61)) + (90.79 *(Crescimento!#REF!-Crescimento!#REF!)) - (3.13 * (Crescimento!#REF!-Crescimento!#REF!)^2)</f>
        <v>#REF!</v>
      </c>
      <c r="BG61" s="23"/>
      <c r="BH61" s="21" t="e">
        <f>((BI60+(Crescimento!#REF!-(BI60*0.64))/0.8)/1000)-Crescimento!#REF!</f>
        <v>#REF!</v>
      </c>
      <c r="BI61" s="22" t="e">
        <f>-53.07 + (304.89 * (BH61)) + (90.79 *(Crescimento!#REF!-Crescimento!#REF!)) - (3.13 * (Crescimento!#REF!-Crescimento!#REF!)^2)</f>
        <v>#REF!</v>
      </c>
      <c r="BJ61" s="23"/>
      <c r="BK61" s="21" t="e">
        <f>((BL60+(Crescimento!#REF!-(BL60*0.64))/0.8)/1000)-Crescimento!#REF!</f>
        <v>#REF!</v>
      </c>
      <c r="BL61" s="22" t="e">
        <f>-53.07 + (304.89 * (BK61)) + (90.79 *(Crescimento!#REF!-Crescimento!#REF!)) - (3.13 * (Crescimento!#REF!-Crescimento!#REF!)^2)</f>
        <v>#REF!</v>
      </c>
      <c r="BM61" s="23"/>
      <c r="BN61" s="21" t="e">
        <f>((BO60+(Crescimento!#REF!-(BO60*0.64))/0.8)/1000)-Crescimento!#REF!</f>
        <v>#REF!</v>
      </c>
      <c r="BO61" s="22" t="e">
        <f>-53.07 + (304.89 * (BN61)) + (90.79 *(Crescimento!#REF!-Crescimento!#REF!)) - (3.13 * (Crescimento!#REF!-Crescimento!#REF!)^2)</f>
        <v>#REF!</v>
      </c>
      <c r="BP61" s="23"/>
      <c r="BQ61" s="21" t="e">
        <f>((BR60+(Crescimento!#REF!-(BR60*0.64))/0.8)/1000)-Crescimento!#REF!</f>
        <v>#REF!</v>
      </c>
      <c r="BR61" s="22" t="e">
        <f>-53.07 + (304.89 * (BQ61)) + (90.79 *(Crescimento!#REF!-Crescimento!#REF!)) - (3.13 * (Crescimento!#REF!-Crescimento!#REF!)^2)</f>
        <v>#REF!</v>
      </c>
      <c r="BS61" s="23"/>
      <c r="BT61" s="21" t="e">
        <f>((BU60+(Crescimento!#REF!-(BU60*0.64))/0.8)/1000)-Crescimento!#REF!</f>
        <v>#REF!</v>
      </c>
      <c r="BU61" s="22" t="e">
        <f>-53.07 + (304.89 * (BT61)) + (90.79 *(Crescimento!#REF!-Crescimento!#REF!)) - (3.13 * (Crescimento!#REF!-Crescimento!#REF!)^2)</f>
        <v>#REF!</v>
      </c>
      <c r="BV61" s="23"/>
      <c r="BW61" s="21" t="e">
        <f>((BX60+(Crescimento!#REF!-(BX60*0.64))/0.8)/1000)-Crescimento!#REF!</f>
        <v>#REF!</v>
      </c>
      <c r="BX61" s="22" t="e">
        <f>-53.07 + (304.89 * (BW61)) + (90.79 *(Crescimento!#REF!-Crescimento!#REF!)) - (3.13 * (Crescimento!#REF!-Crescimento!#REF!)^2)</f>
        <v>#REF!</v>
      </c>
      <c r="BY61" s="23"/>
      <c r="BZ61" s="21" t="e">
        <f>((CA60+(Crescimento!#REF!-(CA60*0.64))/0.8)/1000)-Crescimento!#REF!</f>
        <v>#REF!</v>
      </c>
      <c r="CA61" s="22" t="e">
        <f>-53.07 + (304.89 * (BZ61)) + (90.79 *(Crescimento!#REF!-Crescimento!#REF!)) - (3.13 * (Crescimento!#REF!-Crescimento!#REF!)^2)</f>
        <v>#REF!</v>
      </c>
      <c r="CB61" s="23"/>
      <c r="CC61" s="21" t="e">
        <f>((CD60+(Crescimento!#REF!-(CD60*0.64))/0.8)/1000)-Crescimento!#REF!</f>
        <v>#REF!</v>
      </c>
      <c r="CD61" s="22" t="e">
        <f>-53.07 + (304.89 * (CC61)) + (90.79 *(Crescimento!#REF!-Crescimento!#REF!)) - (3.13 * (Crescimento!#REF!-Crescimento!#REF!)^2)</f>
        <v>#REF!</v>
      </c>
      <c r="CE61" s="23"/>
      <c r="CF61" s="21" t="e">
        <f>((CG60+(Crescimento!#REF!-(CG60*0.64))/0.8)/1000)-Crescimento!#REF!</f>
        <v>#REF!</v>
      </c>
      <c r="CG61" s="22" t="e">
        <f>-53.07 + (304.89 * (CF61)) + (90.79 *(Crescimento!#REF!-Crescimento!#REF!)) - (3.13 * (Crescimento!#REF!-Crescimento!#REF!)^2)</f>
        <v>#REF!</v>
      </c>
      <c r="CH61" s="23"/>
      <c r="CI61" s="21" t="e">
        <f>((CJ60+(Crescimento!#REF!-(CJ60*0.64))/0.8)/1000)-Crescimento!#REF!</f>
        <v>#REF!</v>
      </c>
      <c r="CJ61" s="22" t="e">
        <f>-53.07 + (304.89 * (CI61)) + (90.79 *(Crescimento!#REF!-Crescimento!#REF!)) - (3.13 * (Crescimento!#REF!-Crescimento!#REF!)^2)</f>
        <v>#REF!</v>
      </c>
      <c r="CK61" s="23"/>
      <c r="CL61" s="21" t="e">
        <f>((CM60+(Crescimento!#REF!-(CM60*0.64))/0.8)/1000)-Crescimento!#REF!</f>
        <v>#REF!</v>
      </c>
      <c r="CM61" s="22" t="e">
        <f>-53.07 + (304.89 * (CL61)) + (90.79 *(Crescimento!#REF!-Crescimento!#REF!)) - (3.13 * (Crescimento!#REF!-Crescimento!#REF!)^2)</f>
        <v>#REF!</v>
      </c>
      <c r="CN61" s="23"/>
      <c r="CO61" s="21" t="e">
        <f>((CP60+(Crescimento!#REF!-(CP60*0.64))/0.8)/1000)-Crescimento!#REF!</f>
        <v>#REF!</v>
      </c>
      <c r="CP61" s="22" t="e">
        <f>-53.07 + (304.89 * (CO61)) + (90.79 *(Crescimento!#REF!-Crescimento!#REF!)) - (3.13 * (Crescimento!#REF!-Crescimento!#REF!)^2)</f>
        <v>#REF!</v>
      </c>
      <c r="CQ61" s="23"/>
      <c r="CR61" s="21" t="e">
        <f>((CS60+(Crescimento!#REF!-(CS60*0.64))/0.8)/1000)-Crescimento!#REF!</f>
        <v>#REF!</v>
      </c>
      <c r="CS61" s="22" t="e">
        <f>-53.07 + (304.89 * (CR61)) + (90.79 *(Crescimento!#REF!-Crescimento!#REF!)) - (3.13 * (Crescimento!#REF!-Crescimento!#REF!)^2)</f>
        <v>#REF!</v>
      </c>
      <c r="CX61" s="16" t="e">
        <f>((CY60+(Crescimento!#REF!-(CY60*0.64))/0.8)/1000)-Crescimento!#REF!</f>
        <v>#REF!</v>
      </c>
      <c r="CY61" s="17" t="e">
        <f>-53.07 + (304.89 * (CX61)) + (90.79 *(Crescimento!#REF!-Crescimento!#REF!)) - (3.13 * (Crescimento!#REF!-Crescimento!#REF!)^2)</f>
        <v>#REF!</v>
      </c>
      <c r="DA61" s="16" t="e">
        <f>((DB60+(Crescimento!#REF!-(DB60*0.64))/0.8)/1000)-Crescimento!#REF!</f>
        <v>#REF!</v>
      </c>
      <c r="DB61" s="17" t="e">
        <f>-53.07 + (304.89 * (DA61)) + (90.79 *(Crescimento!#REF!-Crescimento!#REF!)) - (3.13 * (Crescimento!#REF!-Crescimento!#REF!)^2)</f>
        <v>#REF!</v>
      </c>
      <c r="DD61" s="16" t="e">
        <f>(DE60+(Crescimento!#REF!-(DE60*0.64))/0.8)/1000</f>
        <v>#REF!</v>
      </c>
      <c r="DE61" s="17" t="e">
        <f>-53.07 + (304.89 * (DD61)) + (90.79 *Crescimento!#REF!) - (3.13 * Crescimento!#REF!*Crescimento!#REF!)</f>
        <v>#REF!</v>
      </c>
      <c r="DG61" s="16" t="e">
        <f>((DH60+(Crescimento!#REF!-(DH60*0.64))/0.8)/1000)-Crescimento!#REF!</f>
        <v>#REF!</v>
      </c>
      <c r="DH61" s="17" t="e">
        <f>-53.07 + (304.89 * (DG61)) + (90.79 *(Crescimento!#REF!-Crescimento!#REF!)) - (3.13 * (Crescimento!#REF!-Crescimento!#REF!)^2)</f>
        <v>#REF!</v>
      </c>
      <c r="DJ61" s="16" t="e">
        <f>((DK60+(Crescimento!#REF!-(DK60*0.64))/0.8)/1000)-Crescimento!#REF!</f>
        <v>#REF!</v>
      </c>
      <c r="DK61" s="17" t="e">
        <f>-53.07 + (304.89 * (DJ61)) + (90.79 *(Crescimento!#REF!-Crescimento!#REF!)) - (3.13 * (Crescimento!#REF!-Crescimento!#REF!)^2)</f>
        <v>#REF!</v>
      </c>
      <c r="DM61" s="16" t="e">
        <f>((DN60+(Crescimento!#REF!-(DN60*0.64))/0.8)/1000)-Crescimento!#REF!</f>
        <v>#REF!</v>
      </c>
      <c r="DN61" s="17" t="e">
        <f>-53.07 + (304.89 * (DM61)) + (90.79 *(Crescimento!#REF!-Crescimento!#REF!)) - (3.13 * (Crescimento!#REF!-Crescimento!#REF!)^2)</f>
        <v>#REF!</v>
      </c>
      <c r="DP61" s="16" t="e">
        <f>(DQ60+(Crescimento!#REF!-(DQ60*0.64))/0.8)/1000</f>
        <v>#REF!</v>
      </c>
      <c r="DQ61" s="17" t="e">
        <f>-53.07 + (304.89 * (DP61)) + (90.79 *(Crescimento!#REF!-Crescimento!#REF!)) - (3.13 * (Crescimento!#REF!-Crescimento!#REF!)^2)</f>
        <v>#REF!</v>
      </c>
      <c r="DS61" s="16" t="e">
        <f>((DT60+(Crescimento!#REF!-(DT60*0.64))/0.8)/1000)-Crescimento!#REF!</f>
        <v>#REF!</v>
      </c>
      <c r="DT61" s="17" t="e">
        <f>-53.07 + (304.89 * (DS61)) + (90.79 *(Crescimento!#REF!-Crescimento!#REF!)) - (3.13 * (Crescimento!#REF!-Crescimento!#REF!)^2)</f>
        <v>#REF!</v>
      </c>
      <c r="DV61" s="16" t="e">
        <f>((DW60+(Crescimento!#REF!-(DW60*0.64))/0.8)/1000)-Crescimento!#REF!</f>
        <v>#REF!</v>
      </c>
      <c r="DW61" s="17" t="e">
        <f>-53.07 + (304.89 * (DV61)) + (90.79 *(Crescimento!#REF!-Crescimento!#REF!)) - (3.13 * (Crescimento!#REF!-Crescimento!#REF!)^2)</f>
        <v>#REF!</v>
      </c>
      <c r="DY61" s="16" t="e">
        <f>((DZ60+(Crescimento!#REF!-(DZ60*0.64))/0.8)/1000)-Crescimento!#REF!</f>
        <v>#REF!</v>
      </c>
      <c r="DZ61" s="17" t="e">
        <f>-53.07 + (304.89 * (DY61)) + (90.79 *(Crescimento!#REF!-Crescimento!#REF!)) - (3.13 * (Crescimento!#REF!-Crescimento!#REF!)^2)</f>
        <v>#REF!</v>
      </c>
      <c r="EB61" s="16" t="e">
        <f>((EC60+(Crescimento!#REF!-(EC60*0.64))/0.8)/1000)-Crescimento!#REF!</f>
        <v>#REF!</v>
      </c>
      <c r="EC61" s="17" t="e">
        <f>-53.07 + (304.89 * (EB61)) + (90.79 *(Crescimento!#REF!-Crescimento!#REF!)) - (3.13 * (Crescimento!#REF!-Crescimento!#REF!)^2)</f>
        <v>#REF!</v>
      </c>
      <c r="EE61" s="16" t="e">
        <f>((EF60+(Crescimento!#REF!-(EF60*0.64))/0.8)/1000)-Crescimento!#REF!</f>
        <v>#REF!</v>
      </c>
      <c r="EF61" s="17" t="e">
        <f>-53.07 + (304.89 * (EE61)) + (90.79 *(Crescimento!#REF!-Crescimento!#REF!)) - (3.13 * (Crescimento!#REF!-Crescimento!#REF!)^2)</f>
        <v>#REF!</v>
      </c>
      <c r="EH61" s="16" t="e">
        <f>((EI60+(Crescimento!#REF!-(EI60*0.64))/0.8)/1000)-Crescimento!#REF!</f>
        <v>#REF!</v>
      </c>
      <c r="EI61" s="17" t="e">
        <f>-53.07 + (304.89 * (EH61)) + (90.79 *(Crescimento!#REF!-Crescimento!#REF!)) - (3.13 * (Crescimento!#REF!-Crescimento!#REF!)^2)</f>
        <v>#REF!</v>
      </c>
      <c r="EK61" s="16" t="e">
        <f>((EL60+(Crescimento!#REF!-(EL60*0.64))/0.8)/1000)-Crescimento!#REF!</f>
        <v>#REF!</v>
      </c>
      <c r="EL61" s="17" t="e">
        <f>-53.07 + (304.89 * (EK61)) + (90.79 *(Crescimento!#REF!-Crescimento!#REF!)) - (3.13 * (Crescimento!#REF!-Crescimento!#REF!)^2)</f>
        <v>#REF!</v>
      </c>
      <c r="EN61" s="16" t="e">
        <f>((EO60+(Crescimento!#REF!-(EO60*0.64))/0.8)/1000)-Crescimento!#REF!</f>
        <v>#REF!</v>
      </c>
      <c r="EO61" s="17" t="e">
        <f>-53.07 + (304.89 * (EN61)) + (90.79 *(Crescimento!#REF!-Crescimento!#REF!)) - (3.13 * (Crescimento!#REF!-Crescimento!#REF!)^2)</f>
        <v>#REF!</v>
      </c>
      <c r="EQ61" s="16" t="e">
        <f>((ER60+(Crescimento!#REF!-(ER60*0.64))/0.8)/1000)-Crescimento!#REF!</f>
        <v>#REF!</v>
      </c>
      <c r="ER61" s="17" t="e">
        <f>-53.07 + (304.89 * (EQ61)) + (90.79 *(Crescimento!#REF!-Crescimento!#REF!)) - (3.13 * (Crescimento!#REF!-Crescimento!#REF!)^2)</f>
        <v>#REF!</v>
      </c>
      <c r="ET61" s="16" t="e">
        <f>((EU60+(Crescimento!#REF!-(EU60*0.64))/0.8)/1000)-Crescimento!#REF!</f>
        <v>#REF!</v>
      </c>
      <c r="EU61" s="17" t="e">
        <f>-53.07 + (304.89 * (ET61)) + (90.79 *(Crescimento!#REF!-Crescimento!#REF!)) - (3.13 * (Crescimento!#REF!-Crescimento!#REF!)^2)</f>
        <v>#REF!</v>
      </c>
      <c r="EW61" s="16" t="e">
        <f>((EX60+('Vacas e Bezerros'!#REF!-(EX60*0.64))/0.8)/1000)-'Vacas e Bezerros'!#REF!</f>
        <v>#REF!</v>
      </c>
      <c r="EX61" s="17" t="e">
        <f>-53.07 + (304.89 * (EW61)) + (90.79 *('Vacas e Bezerros'!#REF!-'Vacas e Bezerros'!#REF!)) - (3.13 * ('Vacas e Bezerros'!#REF!-'Vacas e Bezerros'!#REF!)^2)</f>
        <v>#REF!</v>
      </c>
      <c r="EZ61" s="16" t="e">
        <f>((FA60+('Vacas e Bezerros'!#REF!-(FA60*0.64))/0.8)/1000)-'Vacas e Bezerros'!#REF!</f>
        <v>#REF!</v>
      </c>
      <c r="FA61" s="17" t="e">
        <f>-53.07 + (304.89 * (EZ61)) + (90.79 *('Vacas e Bezerros'!#REF!-'Vacas e Bezerros'!#REF!)) - (3.13 * ('Vacas e Bezerros'!#REF!-'Vacas e Bezerros'!#REF!)^2)</f>
        <v>#REF!</v>
      </c>
      <c r="FC61" s="16" t="e">
        <f>((FD60+('Vacas e Bezerros'!#REF!-(FD60*0.64))/0.8)/1000)-'Vacas e Bezerros'!#REF!</f>
        <v>#REF!</v>
      </c>
      <c r="FD61" s="17" t="e">
        <f>-53.07 + (304.89 * (FC61)) + (90.79 *('Vacas e Bezerros'!#REF!-'Vacas e Bezerros'!#REF!)) - (3.13 * ('Vacas e Bezerros'!#REF!-'Vacas e Bezerros'!#REF!)^2)</f>
        <v>#REF!</v>
      </c>
      <c r="FF61" s="16" t="e">
        <f>((FG60+('Vacas e Bezerros'!#REF!-(FG60*0.64))/0.8)/1000)-'Vacas e Bezerros'!#REF!</f>
        <v>#REF!</v>
      </c>
      <c r="FG61" s="17" t="e">
        <f>-53.07 + (304.89 * (FF61)) + (90.79 *('Vacas e Bezerros'!#REF!-'Vacas e Bezerros'!#REF!)) - (3.13 * ('Vacas e Bezerros'!#REF!-'Vacas e Bezerros'!#REF!)^2)</f>
        <v>#REF!</v>
      </c>
      <c r="FI61" s="16" t="e">
        <f>((FJ60+('Vacas e Bezerros'!#REF!-(FJ60*0.64))/0.8)/1000)-'Vacas e Bezerros'!#REF!</f>
        <v>#REF!</v>
      </c>
      <c r="FJ61" s="17" t="e">
        <f>-53.07 + (304.89 * (FI61)) + (90.79 *('Vacas e Bezerros'!#REF!-'Vacas e Bezerros'!#REF!)) - (3.13 * ('Vacas e Bezerros'!#REF!-'Vacas e Bezerros'!#REF!)^2)</f>
        <v>#REF!</v>
      </c>
      <c r="FL61" s="16" t="e">
        <f>((FM60+('Vacas e Bezerros'!#REF!-(FM60*0.64))/0.8)/1000)-'Vacas e Bezerros'!#REF!</f>
        <v>#REF!</v>
      </c>
      <c r="FM61" s="17" t="e">
        <f>-53.07 + (304.89 * (FL61)) + (90.79 *('Vacas e Bezerros'!#REF!-'Vacas e Bezerros'!#REF!)) - (3.13 * ('Vacas e Bezerros'!#REF!-'Vacas e Bezerros'!#REF!)^2)</f>
        <v>#REF!</v>
      </c>
      <c r="FO61" s="16" t="e">
        <f>((FP60+('Vacas e Bezerros'!#REF!-(FP60*0.64))/0.8)/1000)-'Vacas e Bezerros'!#REF!</f>
        <v>#REF!</v>
      </c>
      <c r="FP61" s="17" t="e">
        <f>-53.07 + (304.89 * (FO61)) + (90.79 *('Vacas e Bezerros'!#REF!-'Vacas e Bezerros'!#REF!)) - (3.13 * ('Vacas e Bezerros'!#REF!-'Vacas e Bezerros'!#REF!)^2)</f>
        <v>#REF!</v>
      </c>
      <c r="FR61" s="16" t="e">
        <f>((FS60+('Vacas e Bezerros'!#REF!-(FS60*0.64))/0.8)/1000)-'Vacas e Bezerros'!#REF!</f>
        <v>#REF!</v>
      </c>
      <c r="FS61" s="17" t="e">
        <f>-53.07 + (304.89 * (FR61)) + (90.79 *('Vacas e Bezerros'!#REF!-'Vacas e Bezerros'!#REF!)) - (3.13 * ('Vacas e Bezerros'!#REF!-'Vacas e Bezerros'!#REF!)^2)</f>
        <v>#REF!</v>
      </c>
      <c r="FU61" s="16" t="e">
        <f>((FV60+('Vacas e Bezerros'!#REF!-(FV60*0.64))/0.8)/1000)-'Vacas e Bezerros'!#REF!</f>
        <v>#REF!</v>
      </c>
      <c r="FV61" s="17" t="e">
        <f>-53.07 + (304.89 * (FU61)) + (90.79 *('Vacas e Bezerros'!#REF!-'Vacas e Bezerros'!#REF!)) - (3.13 * ('Vacas e Bezerros'!#REF!-'Vacas e Bezerros'!#REF!)^2)</f>
        <v>#REF!</v>
      </c>
      <c r="FX61" s="16" t="e">
        <f>((FY60+('Vacas e Bezerros'!#REF!-(FY60*0.64))/0.8)/1000)-'Vacas e Bezerros'!#REF!</f>
        <v>#REF!</v>
      </c>
      <c r="FY61" s="17" t="e">
        <f>-53.07 + (304.89 * (FX61)) + (90.79 *('Vacas e Bezerros'!#REF!-'Vacas e Bezerros'!#REF!)) - (3.13 * ('Vacas e Bezerros'!#REF!-'Vacas e Bezerros'!#REF!)^2)</f>
        <v>#REF!</v>
      </c>
      <c r="GA61" s="16" t="e">
        <f>((GB60+('Vacas e Bezerros'!#REF!-(GB60*0.64))/0.8)/1000)-'Vacas e Bezerros'!#REF!</f>
        <v>#REF!</v>
      </c>
      <c r="GB61" s="17" t="e">
        <f>-53.07 + (304.89 * (GA61)) + (90.79 *('Vacas e Bezerros'!#REF!-'Vacas e Bezerros'!#REF!)) - (3.13 * ('Vacas e Bezerros'!#REF!-'Vacas e Bezerros'!#REF!)^2)</f>
        <v>#REF!</v>
      </c>
      <c r="GD61" s="16" t="e">
        <f>((GE60+('Vacas e Bezerros'!#REF!-(GE60*0.64))/0.8)/1000)-'Vacas e Bezerros'!#REF!</f>
        <v>#REF!</v>
      </c>
      <c r="GE61" s="17" t="e">
        <f>-53.07 + (304.89 * (GD61)) + (90.79 *('Vacas e Bezerros'!#REF!-'Vacas e Bezerros'!#REF!)) - (3.13 * ('Vacas e Bezerros'!#REF!-'Vacas e Bezerros'!#REF!)^2)</f>
        <v>#REF!</v>
      </c>
      <c r="GG61" s="16" t="e">
        <f>((GH60+('Vacas e Bezerros'!#REF!-(GH60*0.64))/0.8)/1000)-'Vacas e Bezerros'!#REF!</f>
        <v>#REF!</v>
      </c>
      <c r="GH61" s="17" t="e">
        <f>-53.07 + (304.89 * (GG61)) + (90.79 *('Vacas e Bezerros'!#REF!-'Vacas e Bezerros'!#REF!)) - (3.13 * ('Vacas e Bezerros'!#REF!-'Vacas e Bezerros'!#REF!)^2)</f>
        <v>#REF!</v>
      </c>
      <c r="GJ61" s="16" t="e">
        <f>((GK60+('Vacas e Bezerros'!#REF!-(GK60*0.64))/0.8)/1000)-'Vacas e Bezerros'!#REF!</f>
        <v>#REF!</v>
      </c>
      <c r="GK61" s="17" t="e">
        <f>-53.07 + (304.89 * (GJ61)) + (90.79 *('Vacas e Bezerros'!#REF!-'Vacas e Bezerros'!#REF!)) - (3.13 * ('Vacas e Bezerros'!#REF!-'Vacas e Bezerros'!#REF!)^2)</f>
        <v>#REF!</v>
      </c>
      <c r="GM61" s="16" t="e">
        <f>((GN60+('Vacas e Bezerros'!#REF!-(GN60*0.64))/0.8)/1000)-'Vacas e Bezerros'!#REF!</f>
        <v>#REF!</v>
      </c>
      <c r="GN61" s="17" t="e">
        <f>-53.07 + (304.89 * (GM61)) + (90.79 *('Vacas e Bezerros'!#REF!-'Vacas e Bezerros'!#REF!)) - (3.13 * ('Vacas e Bezerros'!#REF!-'Vacas e Bezerros'!#REF!)^2)</f>
        <v>#REF!</v>
      </c>
    </row>
    <row r="62" spans="3:196" x14ac:dyDescent="0.25">
      <c r="C62" s="16">
        <f>(D61+('Vacas e Bezerros'!$AA$28-(D61*0.64))/0.8)/1000</f>
        <v>0.35719668016155687</v>
      </c>
      <c r="D62" s="17">
        <f>-53.07 + (304.89 * (C62-'Vacas e Bezerros'!$C$206)) + (90.79 *('Vacas e Bezerros'!$AA$22)) - (3.13 *('Vacas e Bezerros'!$AA$22)^2)</f>
        <v>165.01876457544017</v>
      </c>
      <c r="F62" s="16" t="e">
        <f>(G61+(Crescimento!#REF!-(G61*0.64))/0.8)/1000</f>
        <v>#REF!</v>
      </c>
      <c r="G62" s="17" t="e">
        <f>-53.07 + (304.89 * (F62)) + (90.79 *Crescimento!#REF!) - (3.13 * Crescimento!#REF!*Crescimento!#REF!)</f>
        <v>#REF!</v>
      </c>
      <c r="H62" s="1"/>
      <c r="I62" s="16" t="e">
        <f>(J61+(Crescimento!#REF!-(J61*0.64))/0.8)/1000</f>
        <v>#REF!</v>
      </c>
      <c r="J62" s="17" t="e">
        <f>-53.07 + (304.89 * (I62)) + (90.79 *Crescimento!#REF!) - (3.13 * Crescimento!#REF!*Crescimento!#REF!)</f>
        <v>#REF!</v>
      </c>
      <c r="L62" s="16" t="e">
        <f>(M61+(Crescimento!#REF!-(M61*0.64))/0.8)/1000</f>
        <v>#REF!</v>
      </c>
      <c r="M62" s="17" t="e">
        <f>-53.07 + (304.89 * (L62)) + (90.79 *Crescimento!#REF!) - (3.13 * Crescimento!#REF!*Crescimento!#REF!)</f>
        <v>#REF!</v>
      </c>
      <c r="O62" s="16" t="e">
        <f>(P61+(Crescimento!#REF!-(P61*0.64))/0.8)/1000</f>
        <v>#REF!</v>
      </c>
      <c r="P62" s="17" t="e">
        <f>-53.07 + (304.89 * (O62)) + (90.79 *Crescimento!#REF!) - (3.13 * Crescimento!#REF!*Crescimento!#REF!)</f>
        <v>#REF!</v>
      </c>
      <c r="R62" s="16" t="e">
        <f>(S61+(Crescimento!#REF!-(S61*0.64))/0.8)/1000</f>
        <v>#REF!</v>
      </c>
      <c r="S62" s="17" t="e">
        <f>-53.07 + (304.89 * (R62)) + (90.79 *Crescimento!#REF!) - (3.13 * Crescimento!#REF!*Crescimento!#REF!)</f>
        <v>#REF!</v>
      </c>
      <c r="U62" s="16" t="e">
        <f>(V61+(Crescimento!#REF!-(V61*0.64))/0.8)/1000</f>
        <v>#REF!</v>
      </c>
      <c r="V62" s="17" t="e">
        <f>-53.07 + (304.89 * (U62)) + (90.79 *Crescimento!#REF!) - (3.13 * Crescimento!#REF!*Crescimento!#REF!)</f>
        <v>#REF!</v>
      </c>
      <c r="X62" s="16" t="e">
        <f>(Y61+(Crescimento!#REF!-(Y61*0.64))/0.8)/1000</f>
        <v>#REF!</v>
      </c>
      <c r="Y62" s="17" t="e">
        <f>-53.07 + (304.89 * (X62)) + (90.79 *Crescimento!#REF!) - (3.13 * Crescimento!#REF!*Crescimento!#REF!)</f>
        <v>#REF!</v>
      </c>
      <c r="Z62" s="6"/>
      <c r="AA62" s="16" t="e">
        <f>(AB61+(Crescimento!#REF!-(AB61*0.64))/0.8)/1000</f>
        <v>#REF!</v>
      </c>
      <c r="AB62" s="17" t="e">
        <f>-53.07 + (304.89 * (AA62)) + (90.79 *Crescimento!#REF!) - (3.13 * Crescimento!#REF!*Crescimento!#REF!)</f>
        <v>#REF!</v>
      </c>
      <c r="AC62" s="6"/>
      <c r="AD62" s="16" t="e">
        <f>(AE61+(Crescimento!#REF!-(AE61*0.64))/0.8)/1000</f>
        <v>#REF!</v>
      </c>
      <c r="AE62" s="17" t="e">
        <f>-53.07 + (304.89 * (AD62)) + (90.79 *Crescimento!#REF!) - (3.13 * Crescimento!#REF!*Crescimento!#REF!)</f>
        <v>#REF!</v>
      </c>
      <c r="AF62" s="17"/>
      <c r="AG62" s="16" t="e">
        <f>(AH61+(Crescimento!#REF!-(AH61*0.64))/0.8)/1000</f>
        <v>#REF!</v>
      </c>
      <c r="AH62" s="17" t="e">
        <f>-53.07 + (304.89 * (AG62)) + (90.79 *Crescimento!#REF!) - (3.13 * Crescimento!#REF!*Crescimento!#REF!)</f>
        <v>#REF!</v>
      </c>
      <c r="AJ62" s="16" t="e">
        <f>(AK61+(Crescimento!#REF!-(AK61*0.64))/0.8)/1000</f>
        <v>#REF!</v>
      </c>
      <c r="AK62" s="17" t="e">
        <f>-53.07 + (304.89 * (AJ62)) + (90.79 *Crescimento!#REF!) - (3.13 * Crescimento!#REF!*Crescimento!#REF!)</f>
        <v>#REF!</v>
      </c>
      <c r="AM62" s="16" t="e">
        <f>(AN61+(Crescimento!#REF!-(AN61*0.64))/0.8)/1000</f>
        <v>#REF!</v>
      </c>
      <c r="AN62" s="17" t="e">
        <f>-53.07 + (304.89 * (AM62)) + (90.79 *Crescimento!#REF!) - (3.13 * Crescimento!#REF!*Crescimento!#REF!)</f>
        <v>#REF!</v>
      </c>
      <c r="AP62" s="16" t="e">
        <f>(AQ61+(Crescimento!#REF!-(AQ61*0.64))/0.8)/1000</f>
        <v>#REF!</v>
      </c>
      <c r="AQ62" s="17" t="e">
        <f>-53.07 + (304.89 * (AP62)) + (90.79 *Crescimento!#REF!) - (3.13 * Crescimento!#REF!*Crescimento!#REF!)</f>
        <v>#REF!</v>
      </c>
      <c r="AS62" s="16" t="e">
        <f>(AT61+(Crescimento!#REF!-(AT61*0.64))/0.8)/1000</f>
        <v>#REF!</v>
      </c>
      <c r="AT62" s="17" t="e">
        <f>-53.07 + (304.89 * (AS62)) + (90.79 *Crescimento!#REF!) - (3.13 * Crescimento!#REF!*Crescimento!#REF!)</f>
        <v>#REF!</v>
      </c>
      <c r="AV62" s="16" t="e">
        <f>(AW61+(Crescimento!#REF!-(AW61*0.64))/0.8)/1000</f>
        <v>#REF!</v>
      </c>
      <c r="AW62" s="17" t="e">
        <f>-53.07 + (304.89 * (AV62)) + (90.79 *Crescimento!#REF!) - (3.13 * Crescimento!#REF!*Crescimento!#REF!)</f>
        <v>#REF!</v>
      </c>
      <c r="AY62" s="21" t="e">
        <f>((AZ61+(Crescimento!#REF!-(AZ61*0.64))/0.8)/1000)-Crescimento!#REF!</f>
        <v>#REF!</v>
      </c>
      <c r="AZ62" s="22" t="e">
        <f>-53.07 + (304.89 * (AY62)) + (90.79 *(Crescimento!#REF!-Crescimento!#REF!)) - (3.13 * (Crescimento!#REF!-Crescimento!#REF!)^2)</f>
        <v>#REF!</v>
      </c>
      <c r="BA62" s="23"/>
      <c r="BB62" s="21" t="e">
        <f>((BC61+(Crescimento!#REF!-(BC61*0.64))/0.8)/1000)-Crescimento!#REF!</f>
        <v>#REF!</v>
      </c>
      <c r="BC62" s="22" t="e">
        <f>-53.07 + (304.89 * (BB62)) + (90.79 *(Crescimento!#REF!-Crescimento!#REF!)) - (3.13 * (Crescimento!#REF!-Crescimento!#REF!)^2)</f>
        <v>#REF!</v>
      </c>
      <c r="BD62" s="23"/>
      <c r="BE62" s="21" t="e">
        <f>((BF61+(Crescimento!#REF!-(BF61*0.64))/0.8)/1000)-Crescimento!#REF!</f>
        <v>#REF!</v>
      </c>
      <c r="BF62" s="22" t="e">
        <f>-53.07 + (304.89 * (BE62)) + (90.79 *(Crescimento!#REF!-Crescimento!#REF!)) - (3.13 * (Crescimento!#REF!-Crescimento!#REF!)^2)</f>
        <v>#REF!</v>
      </c>
      <c r="BG62" s="23"/>
      <c r="BH62" s="21" t="e">
        <f>((BI61+(Crescimento!#REF!-(BI61*0.64))/0.8)/1000)-Crescimento!#REF!</f>
        <v>#REF!</v>
      </c>
      <c r="BI62" s="22" t="e">
        <f>-53.07 + (304.89 * (BH62)) + (90.79 *(Crescimento!#REF!-Crescimento!#REF!)) - (3.13 * (Crescimento!#REF!-Crescimento!#REF!)^2)</f>
        <v>#REF!</v>
      </c>
      <c r="BJ62" s="23"/>
      <c r="BK62" s="21" t="e">
        <f>((BL61+(Crescimento!#REF!-(BL61*0.64))/0.8)/1000)-Crescimento!#REF!</f>
        <v>#REF!</v>
      </c>
      <c r="BL62" s="22" t="e">
        <f>-53.07 + (304.89 * (BK62)) + (90.79 *(Crescimento!#REF!-Crescimento!#REF!)) - (3.13 * (Crescimento!#REF!-Crescimento!#REF!)^2)</f>
        <v>#REF!</v>
      </c>
      <c r="BM62" s="23"/>
      <c r="BN62" s="21" t="e">
        <f>((BO61+(Crescimento!#REF!-(BO61*0.64))/0.8)/1000)-Crescimento!#REF!</f>
        <v>#REF!</v>
      </c>
      <c r="BO62" s="22" t="e">
        <f>-53.07 + (304.89 * (BN62)) + (90.79 *(Crescimento!#REF!-Crescimento!#REF!)) - (3.13 * (Crescimento!#REF!-Crescimento!#REF!)^2)</f>
        <v>#REF!</v>
      </c>
      <c r="BP62" s="23"/>
      <c r="BQ62" s="21" t="e">
        <f>((BR61+(Crescimento!#REF!-(BR61*0.64))/0.8)/1000)-Crescimento!#REF!</f>
        <v>#REF!</v>
      </c>
      <c r="BR62" s="22" t="e">
        <f>-53.07 + (304.89 * (BQ62)) + (90.79 *(Crescimento!#REF!-Crescimento!#REF!)) - (3.13 * (Crescimento!#REF!-Crescimento!#REF!)^2)</f>
        <v>#REF!</v>
      </c>
      <c r="BS62" s="23"/>
      <c r="BT62" s="21" t="e">
        <f>((BU61+(Crescimento!#REF!-(BU61*0.64))/0.8)/1000)-Crescimento!#REF!</f>
        <v>#REF!</v>
      </c>
      <c r="BU62" s="22" t="e">
        <f>-53.07 + (304.89 * (BT62)) + (90.79 *(Crescimento!#REF!-Crescimento!#REF!)) - (3.13 * (Crescimento!#REF!-Crescimento!#REF!)^2)</f>
        <v>#REF!</v>
      </c>
      <c r="BV62" s="23"/>
      <c r="BW62" s="21" t="e">
        <f>((BX61+(Crescimento!#REF!-(BX61*0.64))/0.8)/1000)-Crescimento!#REF!</f>
        <v>#REF!</v>
      </c>
      <c r="BX62" s="22" t="e">
        <f>-53.07 + (304.89 * (BW62)) + (90.79 *(Crescimento!#REF!-Crescimento!#REF!)) - (3.13 * (Crescimento!#REF!-Crescimento!#REF!)^2)</f>
        <v>#REF!</v>
      </c>
      <c r="BY62" s="23"/>
      <c r="BZ62" s="21" t="e">
        <f>((CA61+(Crescimento!#REF!-(CA61*0.64))/0.8)/1000)-Crescimento!#REF!</f>
        <v>#REF!</v>
      </c>
      <c r="CA62" s="22" t="e">
        <f>-53.07 + (304.89 * (BZ62)) + (90.79 *(Crescimento!#REF!-Crescimento!#REF!)) - (3.13 * (Crescimento!#REF!-Crescimento!#REF!)^2)</f>
        <v>#REF!</v>
      </c>
      <c r="CB62" s="23"/>
      <c r="CC62" s="21" t="e">
        <f>((CD61+(Crescimento!#REF!-(CD61*0.64))/0.8)/1000)-Crescimento!#REF!</f>
        <v>#REF!</v>
      </c>
      <c r="CD62" s="22" t="e">
        <f>-53.07 + (304.89 * (CC62)) + (90.79 *(Crescimento!#REF!-Crescimento!#REF!)) - (3.13 * (Crescimento!#REF!-Crescimento!#REF!)^2)</f>
        <v>#REF!</v>
      </c>
      <c r="CE62" s="23"/>
      <c r="CF62" s="21" t="e">
        <f>((CG61+(Crescimento!#REF!-(CG61*0.64))/0.8)/1000)-Crescimento!#REF!</f>
        <v>#REF!</v>
      </c>
      <c r="CG62" s="22" t="e">
        <f>-53.07 + (304.89 * (CF62)) + (90.79 *(Crescimento!#REF!-Crescimento!#REF!)) - (3.13 * (Crescimento!#REF!-Crescimento!#REF!)^2)</f>
        <v>#REF!</v>
      </c>
      <c r="CH62" s="23"/>
      <c r="CI62" s="21" t="e">
        <f>((CJ61+(Crescimento!#REF!-(CJ61*0.64))/0.8)/1000)-Crescimento!#REF!</f>
        <v>#REF!</v>
      </c>
      <c r="CJ62" s="22" t="e">
        <f>-53.07 + (304.89 * (CI62)) + (90.79 *(Crescimento!#REF!-Crescimento!#REF!)) - (3.13 * (Crescimento!#REF!-Crescimento!#REF!)^2)</f>
        <v>#REF!</v>
      </c>
      <c r="CK62" s="23"/>
      <c r="CL62" s="21" t="e">
        <f>((CM61+(Crescimento!#REF!-(CM61*0.64))/0.8)/1000)-Crescimento!#REF!</f>
        <v>#REF!</v>
      </c>
      <c r="CM62" s="22" t="e">
        <f>-53.07 + (304.89 * (CL62)) + (90.79 *(Crescimento!#REF!-Crescimento!#REF!)) - (3.13 * (Crescimento!#REF!-Crescimento!#REF!)^2)</f>
        <v>#REF!</v>
      </c>
      <c r="CN62" s="23"/>
      <c r="CO62" s="21" t="e">
        <f>((CP61+(Crescimento!#REF!-(CP61*0.64))/0.8)/1000)-Crescimento!#REF!</f>
        <v>#REF!</v>
      </c>
      <c r="CP62" s="22" t="e">
        <f>-53.07 + (304.89 * (CO62)) + (90.79 *(Crescimento!#REF!-Crescimento!#REF!)) - (3.13 * (Crescimento!#REF!-Crescimento!#REF!)^2)</f>
        <v>#REF!</v>
      </c>
      <c r="CQ62" s="23"/>
      <c r="CR62" s="21" t="e">
        <f>((CS61+(Crescimento!#REF!-(CS61*0.64))/0.8)/1000)-Crescimento!#REF!</f>
        <v>#REF!</v>
      </c>
      <c r="CS62" s="22" t="e">
        <f>-53.07 + (304.89 * (CR62)) + (90.79 *(Crescimento!#REF!-Crescimento!#REF!)) - (3.13 * (Crescimento!#REF!-Crescimento!#REF!)^2)</f>
        <v>#REF!</v>
      </c>
      <c r="CX62" s="16" t="e">
        <f>((CY61+(Crescimento!#REF!-(CY61*0.64))/0.8)/1000)-Crescimento!#REF!</f>
        <v>#REF!</v>
      </c>
      <c r="CY62" s="17" t="e">
        <f>-53.07 + (304.89 * (CX62)) + (90.79 *(Crescimento!#REF!-Crescimento!#REF!)) - (3.13 * (Crescimento!#REF!-Crescimento!#REF!)^2)</f>
        <v>#REF!</v>
      </c>
      <c r="DA62" s="16" t="e">
        <f>((DB61+(Crescimento!#REF!-(DB61*0.64))/0.8)/1000)-Crescimento!#REF!</f>
        <v>#REF!</v>
      </c>
      <c r="DB62" s="17" t="e">
        <f>-53.07 + (304.89 * (DA62)) + (90.79 *(Crescimento!#REF!-Crescimento!#REF!)) - (3.13 * (Crescimento!#REF!-Crescimento!#REF!)^2)</f>
        <v>#REF!</v>
      </c>
      <c r="DD62" s="16" t="e">
        <f>(DE61+(Crescimento!#REF!-(DE61*0.64))/0.8)/1000</f>
        <v>#REF!</v>
      </c>
      <c r="DE62" s="17" t="e">
        <f>-53.07 + (304.89 * (DD62)) + (90.79 *Crescimento!#REF!) - (3.13 * Crescimento!#REF!*Crescimento!#REF!)</f>
        <v>#REF!</v>
      </c>
      <c r="DG62" s="16" t="e">
        <f>((DH61+(Crescimento!#REF!-(DH61*0.64))/0.8)/1000)-Crescimento!#REF!</f>
        <v>#REF!</v>
      </c>
      <c r="DH62" s="17" t="e">
        <f>-53.07 + (304.89 * (DG62)) + (90.79 *(Crescimento!#REF!-Crescimento!#REF!)) - (3.13 * (Crescimento!#REF!-Crescimento!#REF!)^2)</f>
        <v>#REF!</v>
      </c>
      <c r="DJ62" s="16" t="e">
        <f>((DK61+(Crescimento!#REF!-(DK61*0.64))/0.8)/1000)-Crescimento!#REF!</f>
        <v>#REF!</v>
      </c>
      <c r="DK62" s="17" t="e">
        <f>-53.07 + (304.89 * (DJ62)) + (90.79 *(Crescimento!#REF!-Crescimento!#REF!)) - (3.13 * (Crescimento!#REF!-Crescimento!#REF!)^2)</f>
        <v>#REF!</v>
      </c>
      <c r="DM62" s="16" t="e">
        <f>((DN61+(Crescimento!#REF!-(DN61*0.64))/0.8)/1000)-Crescimento!#REF!</f>
        <v>#REF!</v>
      </c>
      <c r="DN62" s="17" t="e">
        <f>-53.07 + (304.89 * (DM62)) + (90.79 *(Crescimento!#REF!-Crescimento!#REF!)) - (3.13 * (Crescimento!#REF!-Crescimento!#REF!)^2)</f>
        <v>#REF!</v>
      </c>
      <c r="DP62" s="16" t="e">
        <f>(DQ61+(Crescimento!#REF!-(DQ61*0.64))/0.8)/1000</f>
        <v>#REF!</v>
      </c>
      <c r="DQ62" s="17" t="e">
        <f>-53.07 + (304.89 * (DP62)) + (90.79 *(Crescimento!#REF!-Crescimento!#REF!)) - (3.13 * (Crescimento!#REF!-Crescimento!#REF!)^2)</f>
        <v>#REF!</v>
      </c>
      <c r="DS62" s="16" t="e">
        <f>((DT61+(Crescimento!#REF!-(DT61*0.64))/0.8)/1000)-Crescimento!#REF!</f>
        <v>#REF!</v>
      </c>
      <c r="DT62" s="17" t="e">
        <f>-53.07 + (304.89 * (DS62)) + (90.79 *(Crescimento!#REF!-Crescimento!#REF!)) - (3.13 * (Crescimento!#REF!-Crescimento!#REF!)^2)</f>
        <v>#REF!</v>
      </c>
      <c r="DV62" s="16" t="e">
        <f>((DW61+(Crescimento!#REF!-(DW61*0.64))/0.8)/1000)-Crescimento!#REF!</f>
        <v>#REF!</v>
      </c>
      <c r="DW62" s="17" t="e">
        <f>-53.07 + (304.89 * (DV62)) + (90.79 *(Crescimento!#REF!-Crescimento!#REF!)) - (3.13 * (Crescimento!#REF!-Crescimento!#REF!)^2)</f>
        <v>#REF!</v>
      </c>
      <c r="DY62" s="16" t="e">
        <f>((DZ61+(Crescimento!#REF!-(DZ61*0.64))/0.8)/1000)-Crescimento!#REF!</f>
        <v>#REF!</v>
      </c>
      <c r="DZ62" s="17" t="e">
        <f>-53.07 + (304.89 * (DY62)) + (90.79 *(Crescimento!#REF!-Crescimento!#REF!)) - (3.13 * (Crescimento!#REF!-Crescimento!#REF!)^2)</f>
        <v>#REF!</v>
      </c>
      <c r="EB62" s="16" t="e">
        <f>((EC61+(Crescimento!#REF!-(EC61*0.64))/0.8)/1000)-Crescimento!#REF!</f>
        <v>#REF!</v>
      </c>
      <c r="EC62" s="17" t="e">
        <f>-53.07 + (304.89 * (EB62)) + (90.79 *(Crescimento!#REF!-Crescimento!#REF!)) - (3.13 * (Crescimento!#REF!-Crescimento!#REF!)^2)</f>
        <v>#REF!</v>
      </c>
      <c r="EE62" s="16" t="e">
        <f>((EF61+(Crescimento!#REF!-(EF61*0.64))/0.8)/1000)-Crescimento!#REF!</f>
        <v>#REF!</v>
      </c>
      <c r="EF62" s="17" t="e">
        <f>-53.07 + (304.89 * (EE62)) + (90.79 *(Crescimento!#REF!-Crescimento!#REF!)) - (3.13 * (Crescimento!#REF!-Crescimento!#REF!)^2)</f>
        <v>#REF!</v>
      </c>
      <c r="EH62" s="16" t="e">
        <f>((EI61+(Crescimento!#REF!-(EI61*0.64))/0.8)/1000)-Crescimento!#REF!</f>
        <v>#REF!</v>
      </c>
      <c r="EI62" s="17" t="e">
        <f>-53.07 + (304.89 * (EH62)) + (90.79 *(Crescimento!#REF!-Crescimento!#REF!)) - (3.13 * (Crescimento!#REF!-Crescimento!#REF!)^2)</f>
        <v>#REF!</v>
      </c>
      <c r="EK62" s="16" t="e">
        <f>((EL61+(Crescimento!#REF!-(EL61*0.64))/0.8)/1000)-Crescimento!#REF!</f>
        <v>#REF!</v>
      </c>
      <c r="EL62" s="17" t="e">
        <f>-53.07 + (304.89 * (EK62)) + (90.79 *(Crescimento!#REF!-Crescimento!#REF!)) - (3.13 * (Crescimento!#REF!-Crescimento!#REF!)^2)</f>
        <v>#REF!</v>
      </c>
      <c r="EN62" s="16" t="e">
        <f>((EO61+(Crescimento!#REF!-(EO61*0.64))/0.8)/1000)-Crescimento!#REF!</f>
        <v>#REF!</v>
      </c>
      <c r="EO62" s="17" t="e">
        <f>-53.07 + (304.89 * (EN62)) + (90.79 *(Crescimento!#REF!-Crescimento!#REF!)) - (3.13 * (Crescimento!#REF!-Crescimento!#REF!)^2)</f>
        <v>#REF!</v>
      </c>
      <c r="EQ62" s="16" t="e">
        <f>((ER61+(Crescimento!#REF!-(ER61*0.64))/0.8)/1000)-Crescimento!#REF!</f>
        <v>#REF!</v>
      </c>
      <c r="ER62" s="17" t="e">
        <f>-53.07 + (304.89 * (EQ62)) + (90.79 *(Crescimento!#REF!-Crescimento!#REF!)) - (3.13 * (Crescimento!#REF!-Crescimento!#REF!)^2)</f>
        <v>#REF!</v>
      </c>
      <c r="ET62" s="16" t="e">
        <f>((EU61+(Crescimento!#REF!-(EU61*0.64))/0.8)/1000)-Crescimento!#REF!</f>
        <v>#REF!</v>
      </c>
      <c r="EU62" s="17" t="e">
        <f>-53.07 + (304.89 * (ET62)) + (90.79 *(Crescimento!#REF!-Crescimento!#REF!)) - (3.13 * (Crescimento!#REF!-Crescimento!#REF!)^2)</f>
        <v>#REF!</v>
      </c>
      <c r="EW62" s="16" t="e">
        <f>((EX61+('Vacas e Bezerros'!#REF!-(EX61*0.64))/0.8)/1000)-'Vacas e Bezerros'!#REF!</f>
        <v>#REF!</v>
      </c>
      <c r="EX62" s="17" t="e">
        <f>-53.07 + (304.89 * (EW62)) + (90.79 *('Vacas e Bezerros'!#REF!-'Vacas e Bezerros'!#REF!)) - (3.13 * ('Vacas e Bezerros'!#REF!-'Vacas e Bezerros'!#REF!)^2)</f>
        <v>#REF!</v>
      </c>
      <c r="EZ62" s="16" t="e">
        <f>((FA61+('Vacas e Bezerros'!#REF!-(FA61*0.64))/0.8)/1000)-'Vacas e Bezerros'!#REF!</f>
        <v>#REF!</v>
      </c>
      <c r="FA62" s="17" t="e">
        <f>-53.07 + (304.89 * (EZ62)) + (90.79 *('Vacas e Bezerros'!#REF!-'Vacas e Bezerros'!#REF!)) - (3.13 * ('Vacas e Bezerros'!#REF!-'Vacas e Bezerros'!#REF!)^2)</f>
        <v>#REF!</v>
      </c>
      <c r="FC62" s="16" t="e">
        <f>((FD61+('Vacas e Bezerros'!#REF!-(FD61*0.64))/0.8)/1000)-'Vacas e Bezerros'!#REF!</f>
        <v>#REF!</v>
      </c>
      <c r="FD62" s="17" t="e">
        <f>-53.07 + (304.89 * (FC62)) + (90.79 *('Vacas e Bezerros'!#REF!-'Vacas e Bezerros'!#REF!)) - (3.13 * ('Vacas e Bezerros'!#REF!-'Vacas e Bezerros'!#REF!)^2)</f>
        <v>#REF!</v>
      </c>
      <c r="FF62" s="16" t="e">
        <f>((FG61+('Vacas e Bezerros'!#REF!-(FG61*0.64))/0.8)/1000)-'Vacas e Bezerros'!#REF!</f>
        <v>#REF!</v>
      </c>
      <c r="FG62" s="17" t="e">
        <f>-53.07 + (304.89 * (FF62)) + (90.79 *('Vacas e Bezerros'!#REF!-'Vacas e Bezerros'!#REF!)) - (3.13 * ('Vacas e Bezerros'!#REF!-'Vacas e Bezerros'!#REF!)^2)</f>
        <v>#REF!</v>
      </c>
      <c r="FI62" s="16" t="e">
        <f>((FJ61+('Vacas e Bezerros'!#REF!-(FJ61*0.64))/0.8)/1000)-'Vacas e Bezerros'!#REF!</f>
        <v>#REF!</v>
      </c>
      <c r="FJ62" s="17" t="e">
        <f>-53.07 + (304.89 * (FI62)) + (90.79 *('Vacas e Bezerros'!#REF!-'Vacas e Bezerros'!#REF!)) - (3.13 * ('Vacas e Bezerros'!#REF!-'Vacas e Bezerros'!#REF!)^2)</f>
        <v>#REF!</v>
      </c>
      <c r="FL62" s="16" t="e">
        <f>((FM61+('Vacas e Bezerros'!#REF!-(FM61*0.64))/0.8)/1000)-'Vacas e Bezerros'!#REF!</f>
        <v>#REF!</v>
      </c>
      <c r="FM62" s="17" t="e">
        <f>-53.07 + (304.89 * (FL62)) + (90.79 *('Vacas e Bezerros'!#REF!-'Vacas e Bezerros'!#REF!)) - (3.13 * ('Vacas e Bezerros'!#REF!-'Vacas e Bezerros'!#REF!)^2)</f>
        <v>#REF!</v>
      </c>
      <c r="FO62" s="16" t="e">
        <f>((FP61+('Vacas e Bezerros'!#REF!-(FP61*0.64))/0.8)/1000)-'Vacas e Bezerros'!#REF!</f>
        <v>#REF!</v>
      </c>
      <c r="FP62" s="17" t="e">
        <f>-53.07 + (304.89 * (FO62)) + (90.79 *('Vacas e Bezerros'!#REF!-'Vacas e Bezerros'!#REF!)) - (3.13 * ('Vacas e Bezerros'!#REF!-'Vacas e Bezerros'!#REF!)^2)</f>
        <v>#REF!</v>
      </c>
      <c r="FR62" s="16" t="e">
        <f>((FS61+('Vacas e Bezerros'!#REF!-(FS61*0.64))/0.8)/1000)-'Vacas e Bezerros'!#REF!</f>
        <v>#REF!</v>
      </c>
      <c r="FS62" s="17" t="e">
        <f>-53.07 + (304.89 * (FR62)) + (90.79 *('Vacas e Bezerros'!#REF!-'Vacas e Bezerros'!#REF!)) - (3.13 * ('Vacas e Bezerros'!#REF!-'Vacas e Bezerros'!#REF!)^2)</f>
        <v>#REF!</v>
      </c>
      <c r="FU62" s="16" t="e">
        <f>((FV61+('Vacas e Bezerros'!#REF!-(FV61*0.64))/0.8)/1000)-'Vacas e Bezerros'!#REF!</f>
        <v>#REF!</v>
      </c>
      <c r="FV62" s="17" t="e">
        <f>-53.07 + (304.89 * (FU62)) + (90.79 *('Vacas e Bezerros'!#REF!-'Vacas e Bezerros'!#REF!)) - (3.13 * ('Vacas e Bezerros'!#REF!-'Vacas e Bezerros'!#REF!)^2)</f>
        <v>#REF!</v>
      </c>
      <c r="FX62" s="16" t="e">
        <f>((FY61+('Vacas e Bezerros'!#REF!-(FY61*0.64))/0.8)/1000)-'Vacas e Bezerros'!#REF!</f>
        <v>#REF!</v>
      </c>
      <c r="FY62" s="17" t="e">
        <f>-53.07 + (304.89 * (FX62)) + (90.79 *('Vacas e Bezerros'!#REF!-'Vacas e Bezerros'!#REF!)) - (3.13 * ('Vacas e Bezerros'!#REF!-'Vacas e Bezerros'!#REF!)^2)</f>
        <v>#REF!</v>
      </c>
      <c r="GA62" s="16" t="e">
        <f>((GB61+('Vacas e Bezerros'!#REF!-(GB61*0.64))/0.8)/1000)-'Vacas e Bezerros'!#REF!</f>
        <v>#REF!</v>
      </c>
      <c r="GB62" s="17" t="e">
        <f>-53.07 + (304.89 * (GA62)) + (90.79 *('Vacas e Bezerros'!#REF!-'Vacas e Bezerros'!#REF!)) - (3.13 * ('Vacas e Bezerros'!#REF!-'Vacas e Bezerros'!#REF!)^2)</f>
        <v>#REF!</v>
      </c>
      <c r="GD62" s="16" t="e">
        <f>((GE61+('Vacas e Bezerros'!#REF!-(GE61*0.64))/0.8)/1000)-'Vacas e Bezerros'!#REF!</f>
        <v>#REF!</v>
      </c>
      <c r="GE62" s="17" t="e">
        <f>-53.07 + (304.89 * (GD62)) + (90.79 *('Vacas e Bezerros'!#REF!-'Vacas e Bezerros'!#REF!)) - (3.13 * ('Vacas e Bezerros'!#REF!-'Vacas e Bezerros'!#REF!)^2)</f>
        <v>#REF!</v>
      </c>
      <c r="GG62" s="16" t="e">
        <f>((GH61+('Vacas e Bezerros'!#REF!-(GH61*0.64))/0.8)/1000)-'Vacas e Bezerros'!#REF!</f>
        <v>#REF!</v>
      </c>
      <c r="GH62" s="17" t="e">
        <f>-53.07 + (304.89 * (GG62)) + (90.79 *('Vacas e Bezerros'!#REF!-'Vacas e Bezerros'!#REF!)) - (3.13 * ('Vacas e Bezerros'!#REF!-'Vacas e Bezerros'!#REF!)^2)</f>
        <v>#REF!</v>
      </c>
      <c r="GJ62" s="16" t="e">
        <f>((GK61+('Vacas e Bezerros'!#REF!-(GK61*0.64))/0.8)/1000)-'Vacas e Bezerros'!#REF!</f>
        <v>#REF!</v>
      </c>
      <c r="GK62" s="17" t="e">
        <f>-53.07 + (304.89 * (GJ62)) + (90.79 *('Vacas e Bezerros'!#REF!-'Vacas e Bezerros'!#REF!)) - (3.13 * ('Vacas e Bezerros'!#REF!-'Vacas e Bezerros'!#REF!)^2)</f>
        <v>#REF!</v>
      </c>
      <c r="GM62" s="16" t="e">
        <f>((GN61+('Vacas e Bezerros'!#REF!-(GN61*0.64))/0.8)/1000)-'Vacas e Bezerros'!#REF!</f>
        <v>#REF!</v>
      </c>
      <c r="GN62" s="17" t="e">
        <f>-53.07 + (304.89 * (GM62)) + (90.79 *('Vacas e Bezerros'!#REF!-'Vacas e Bezerros'!#REF!)) - (3.13 * ('Vacas e Bezerros'!#REF!-'Vacas e Bezerros'!#REF!)^2)</f>
        <v>#REF!</v>
      </c>
    </row>
    <row r="63" spans="3:196" x14ac:dyDescent="0.25">
      <c r="C63" s="16">
        <f>(D62+('Vacas e Bezerros'!$AA$28-(D62*0.64))/0.8)/1000</f>
        <v>0.35719668016155687</v>
      </c>
      <c r="D63" s="17">
        <f>-53.07 + (304.89 * (C63-'Vacas e Bezerros'!$C$206)) + (90.79 *('Vacas e Bezerros'!$AA$22)) - (3.13 *('Vacas e Bezerros'!$AA$22)^2)</f>
        <v>165.01876457544017</v>
      </c>
      <c r="F63" s="16" t="e">
        <f>(G62+(Crescimento!#REF!-(G62*0.64))/0.8)/1000</f>
        <v>#REF!</v>
      </c>
      <c r="G63" s="17" t="e">
        <f>-53.07 + (304.89 * (F63)) + (90.79 *Crescimento!#REF!) - (3.13 * Crescimento!#REF!*Crescimento!#REF!)</f>
        <v>#REF!</v>
      </c>
      <c r="H63" s="1"/>
      <c r="I63" s="16" t="e">
        <f>(J62+(Crescimento!#REF!-(J62*0.64))/0.8)/1000</f>
        <v>#REF!</v>
      </c>
      <c r="J63" s="17" t="e">
        <f>-53.07 + (304.89 * (I63)) + (90.79 *Crescimento!#REF!) - (3.13 * Crescimento!#REF!*Crescimento!#REF!)</f>
        <v>#REF!</v>
      </c>
      <c r="L63" s="16" t="e">
        <f>(M62+(Crescimento!#REF!-(M62*0.64))/0.8)/1000</f>
        <v>#REF!</v>
      </c>
      <c r="M63" s="17" t="e">
        <f>-53.07 + (304.89 * (L63)) + (90.79 *Crescimento!#REF!) - (3.13 * Crescimento!#REF!*Crescimento!#REF!)</f>
        <v>#REF!</v>
      </c>
      <c r="O63" s="16" t="e">
        <f>(P62+(Crescimento!#REF!-(P62*0.64))/0.8)/1000</f>
        <v>#REF!</v>
      </c>
      <c r="P63" s="17" t="e">
        <f>-53.07 + (304.89 * (O63)) + (90.79 *Crescimento!#REF!) - (3.13 * Crescimento!#REF!*Crescimento!#REF!)</f>
        <v>#REF!</v>
      </c>
      <c r="R63" s="16" t="e">
        <f>(S62+(Crescimento!#REF!-(S62*0.64))/0.8)/1000</f>
        <v>#REF!</v>
      </c>
      <c r="S63" s="17" t="e">
        <f>-53.07 + (304.89 * (R63)) + (90.79 *Crescimento!#REF!) - (3.13 * Crescimento!#REF!*Crescimento!#REF!)</f>
        <v>#REF!</v>
      </c>
      <c r="U63" s="16" t="e">
        <f>(V62+(Crescimento!#REF!-(V62*0.64))/0.8)/1000</f>
        <v>#REF!</v>
      </c>
      <c r="V63" s="17" t="e">
        <f>-53.07 + (304.89 * (U63)) + (90.79 *Crescimento!#REF!) - (3.13 * Crescimento!#REF!*Crescimento!#REF!)</f>
        <v>#REF!</v>
      </c>
      <c r="X63" s="16" t="e">
        <f>(Y62+(Crescimento!#REF!-(Y62*0.64))/0.8)/1000</f>
        <v>#REF!</v>
      </c>
      <c r="Y63" s="17" t="e">
        <f>-53.07 + (304.89 * (X63)) + (90.79 *Crescimento!#REF!) - (3.13 * Crescimento!#REF!*Crescimento!#REF!)</f>
        <v>#REF!</v>
      </c>
      <c r="Z63" s="6"/>
      <c r="AA63" s="16" t="e">
        <f>(AB62+(Crescimento!#REF!-(AB62*0.64))/0.8)/1000</f>
        <v>#REF!</v>
      </c>
      <c r="AB63" s="17" t="e">
        <f>-53.07 + (304.89 * (AA63)) + (90.79 *Crescimento!#REF!) - (3.13 * Crescimento!#REF!*Crescimento!#REF!)</f>
        <v>#REF!</v>
      </c>
      <c r="AC63" s="6"/>
      <c r="AD63" s="16" t="e">
        <f>(AE62+(Crescimento!#REF!-(AE62*0.64))/0.8)/1000</f>
        <v>#REF!</v>
      </c>
      <c r="AE63" s="17" t="e">
        <f>-53.07 + (304.89 * (AD63)) + (90.79 *Crescimento!#REF!) - (3.13 * Crescimento!#REF!*Crescimento!#REF!)</f>
        <v>#REF!</v>
      </c>
      <c r="AF63" s="17"/>
      <c r="AG63" s="16" t="e">
        <f>(AH62+(Crescimento!#REF!-(AH62*0.64))/0.8)/1000</f>
        <v>#REF!</v>
      </c>
      <c r="AH63" s="17" t="e">
        <f>-53.07 + (304.89 * (AG63)) + (90.79 *Crescimento!#REF!) - (3.13 * Crescimento!#REF!*Crescimento!#REF!)</f>
        <v>#REF!</v>
      </c>
      <c r="AJ63" s="16" t="e">
        <f>(AK62+(Crescimento!#REF!-(AK62*0.64))/0.8)/1000</f>
        <v>#REF!</v>
      </c>
      <c r="AK63" s="17" t="e">
        <f>-53.07 + (304.89 * (AJ63)) + (90.79 *Crescimento!#REF!) - (3.13 * Crescimento!#REF!*Crescimento!#REF!)</f>
        <v>#REF!</v>
      </c>
      <c r="AM63" s="16" t="e">
        <f>(AN62+(Crescimento!#REF!-(AN62*0.64))/0.8)/1000</f>
        <v>#REF!</v>
      </c>
      <c r="AN63" s="17" t="e">
        <f>-53.07 + (304.89 * (AM63)) + (90.79 *Crescimento!#REF!) - (3.13 * Crescimento!#REF!*Crescimento!#REF!)</f>
        <v>#REF!</v>
      </c>
      <c r="AP63" s="16" t="e">
        <f>(AQ62+(Crescimento!#REF!-(AQ62*0.64))/0.8)/1000</f>
        <v>#REF!</v>
      </c>
      <c r="AQ63" s="17" t="e">
        <f>-53.07 + (304.89 * (AP63)) + (90.79 *Crescimento!#REF!) - (3.13 * Crescimento!#REF!*Crescimento!#REF!)</f>
        <v>#REF!</v>
      </c>
      <c r="AS63" s="16" t="e">
        <f>(AT62+(Crescimento!#REF!-(AT62*0.64))/0.8)/1000</f>
        <v>#REF!</v>
      </c>
      <c r="AT63" s="17" t="e">
        <f>-53.07 + (304.89 * (AS63)) + (90.79 *Crescimento!#REF!) - (3.13 * Crescimento!#REF!*Crescimento!#REF!)</f>
        <v>#REF!</v>
      </c>
      <c r="AV63" s="16" t="e">
        <f>(AW62+(Crescimento!#REF!-(AW62*0.64))/0.8)/1000</f>
        <v>#REF!</v>
      </c>
      <c r="AW63" s="17" t="e">
        <f>-53.07 + (304.89 * (AV63)) + (90.79 *Crescimento!#REF!) - (3.13 * Crescimento!#REF!*Crescimento!#REF!)</f>
        <v>#REF!</v>
      </c>
      <c r="AY63" s="21" t="e">
        <f>((AZ62+(Crescimento!#REF!-(AZ62*0.64))/0.8)/1000)-Crescimento!#REF!</f>
        <v>#REF!</v>
      </c>
      <c r="AZ63" s="22" t="e">
        <f>-53.07 + (304.89 * (AY63)) + (90.79 *(Crescimento!#REF!-Crescimento!#REF!)) - (3.13 * (Crescimento!#REF!-Crescimento!#REF!)^2)</f>
        <v>#REF!</v>
      </c>
      <c r="BA63" s="23"/>
      <c r="BB63" s="21" t="e">
        <f>((BC62+(Crescimento!#REF!-(BC62*0.64))/0.8)/1000)-Crescimento!#REF!</f>
        <v>#REF!</v>
      </c>
      <c r="BC63" s="22" t="e">
        <f>-53.07 + (304.89 * (BB63)) + (90.79 *(Crescimento!#REF!-Crescimento!#REF!)) - (3.13 * (Crescimento!#REF!-Crescimento!#REF!)^2)</f>
        <v>#REF!</v>
      </c>
      <c r="BD63" s="23"/>
      <c r="BE63" s="21" t="e">
        <f>((BF62+(Crescimento!#REF!-(BF62*0.64))/0.8)/1000)-Crescimento!#REF!</f>
        <v>#REF!</v>
      </c>
      <c r="BF63" s="22" t="e">
        <f>-53.07 + (304.89 * (BE63)) + (90.79 *(Crescimento!#REF!-Crescimento!#REF!)) - (3.13 * (Crescimento!#REF!-Crescimento!#REF!)^2)</f>
        <v>#REF!</v>
      </c>
      <c r="BG63" s="23"/>
      <c r="BH63" s="21" t="e">
        <f>((BI62+(Crescimento!#REF!-(BI62*0.64))/0.8)/1000)-Crescimento!#REF!</f>
        <v>#REF!</v>
      </c>
      <c r="BI63" s="22" t="e">
        <f>-53.07 + (304.89 * (BH63)) + (90.79 *(Crescimento!#REF!-Crescimento!#REF!)) - (3.13 * (Crescimento!#REF!-Crescimento!#REF!)^2)</f>
        <v>#REF!</v>
      </c>
      <c r="BJ63" s="23"/>
      <c r="BK63" s="21" t="e">
        <f>((BL62+(Crescimento!#REF!-(BL62*0.64))/0.8)/1000)-Crescimento!#REF!</f>
        <v>#REF!</v>
      </c>
      <c r="BL63" s="22" t="e">
        <f>-53.07 + (304.89 * (BK63)) + (90.79 *(Crescimento!#REF!-Crescimento!#REF!)) - (3.13 * (Crescimento!#REF!-Crescimento!#REF!)^2)</f>
        <v>#REF!</v>
      </c>
      <c r="BM63" s="23"/>
      <c r="BN63" s="21" t="e">
        <f>((BO62+(Crescimento!#REF!-(BO62*0.64))/0.8)/1000)-Crescimento!#REF!</f>
        <v>#REF!</v>
      </c>
      <c r="BO63" s="22" t="e">
        <f>-53.07 + (304.89 * (BN63)) + (90.79 *(Crescimento!#REF!-Crescimento!#REF!)) - (3.13 * (Crescimento!#REF!-Crescimento!#REF!)^2)</f>
        <v>#REF!</v>
      </c>
      <c r="BP63" s="23"/>
      <c r="BQ63" s="21" t="e">
        <f>((BR62+(Crescimento!#REF!-(BR62*0.64))/0.8)/1000)-Crescimento!#REF!</f>
        <v>#REF!</v>
      </c>
      <c r="BR63" s="22" t="e">
        <f>-53.07 + (304.89 * (BQ63)) + (90.79 *(Crescimento!#REF!-Crescimento!#REF!)) - (3.13 * (Crescimento!#REF!-Crescimento!#REF!)^2)</f>
        <v>#REF!</v>
      </c>
      <c r="BS63" s="23"/>
      <c r="BT63" s="21" t="e">
        <f>((BU62+(Crescimento!#REF!-(BU62*0.64))/0.8)/1000)-Crescimento!#REF!</f>
        <v>#REF!</v>
      </c>
      <c r="BU63" s="22" t="e">
        <f>-53.07 + (304.89 * (BT63)) + (90.79 *(Crescimento!#REF!-Crescimento!#REF!)) - (3.13 * (Crescimento!#REF!-Crescimento!#REF!)^2)</f>
        <v>#REF!</v>
      </c>
      <c r="BV63" s="23"/>
      <c r="BW63" s="21" t="e">
        <f>((BX62+(Crescimento!#REF!-(BX62*0.64))/0.8)/1000)-Crescimento!#REF!</f>
        <v>#REF!</v>
      </c>
      <c r="BX63" s="22" t="e">
        <f>-53.07 + (304.89 * (BW63)) + (90.79 *(Crescimento!#REF!-Crescimento!#REF!)) - (3.13 * (Crescimento!#REF!-Crescimento!#REF!)^2)</f>
        <v>#REF!</v>
      </c>
      <c r="BY63" s="23"/>
      <c r="BZ63" s="21" t="e">
        <f>((CA62+(Crescimento!#REF!-(CA62*0.64))/0.8)/1000)-Crescimento!#REF!</f>
        <v>#REF!</v>
      </c>
      <c r="CA63" s="22" t="e">
        <f>-53.07 + (304.89 * (BZ63)) + (90.79 *(Crescimento!#REF!-Crescimento!#REF!)) - (3.13 * (Crescimento!#REF!-Crescimento!#REF!)^2)</f>
        <v>#REF!</v>
      </c>
      <c r="CB63" s="23"/>
      <c r="CC63" s="21" t="e">
        <f>((CD62+(Crescimento!#REF!-(CD62*0.64))/0.8)/1000)-Crescimento!#REF!</f>
        <v>#REF!</v>
      </c>
      <c r="CD63" s="22" t="e">
        <f>-53.07 + (304.89 * (CC63)) + (90.79 *(Crescimento!#REF!-Crescimento!#REF!)) - (3.13 * (Crescimento!#REF!-Crescimento!#REF!)^2)</f>
        <v>#REF!</v>
      </c>
      <c r="CE63" s="23"/>
      <c r="CF63" s="21" t="e">
        <f>((CG62+(Crescimento!#REF!-(CG62*0.64))/0.8)/1000)-Crescimento!#REF!</f>
        <v>#REF!</v>
      </c>
      <c r="CG63" s="22" t="e">
        <f>-53.07 + (304.89 * (CF63)) + (90.79 *(Crescimento!#REF!-Crescimento!#REF!)) - (3.13 * (Crescimento!#REF!-Crescimento!#REF!)^2)</f>
        <v>#REF!</v>
      </c>
      <c r="CH63" s="23"/>
      <c r="CI63" s="21" t="e">
        <f>((CJ62+(Crescimento!#REF!-(CJ62*0.64))/0.8)/1000)-Crescimento!#REF!</f>
        <v>#REF!</v>
      </c>
      <c r="CJ63" s="22" t="e">
        <f>-53.07 + (304.89 * (CI63)) + (90.79 *(Crescimento!#REF!-Crescimento!#REF!)) - (3.13 * (Crescimento!#REF!-Crescimento!#REF!)^2)</f>
        <v>#REF!</v>
      </c>
      <c r="CK63" s="23"/>
      <c r="CL63" s="21" t="e">
        <f>((CM62+(Crescimento!#REF!-(CM62*0.64))/0.8)/1000)-Crescimento!#REF!</f>
        <v>#REF!</v>
      </c>
      <c r="CM63" s="22" t="e">
        <f>-53.07 + (304.89 * (CL63)) + (90.79 *(Crescimento!#REF!-Crescimento!#REF!)) - (3.13 * (Crescimento!#REF!-Crescimento!#REF!)^2)</f>
        <v>#REF!</v>
      </c>
      <c r="CN63" s="23"/>
      <c r="CO63" s="21" t="e">
        <f>((CP62+(Crescimento!#REF!-(CP62*0.64))/0.8)/1000)-Crescimento!#REF!</f>
        <v>#REF!</v>
      </c>
      <c r="CP63" s="22" t="e">
        <f>-53.07 + (304.89 * (CO63)) + (90.79 *(Crescimento!#REF!-Crescimento!#REF!)) - (3.13 * (Crescimento!#REF!-Crescimento!#REF!)^2)</f>
        <v>#REF!</v>
      </c>
      <c r="CQ63" s="23"/>
      <c r="CR63" s="21" t="e">
        <f>((CS62+(Crescimento!#REF!-(CS62*0.64))/0.8)/1000)-Crescimento!#REF!</f>
        <v>#REF!</v>
      </c>
      <c r="CS63" s="22" t="e">
        <f>-53.07 + (304.89 * (CR63)) + (90.79 *(Crescimento!#REF!-Crescimento!#REF!)) - (3.13 * (Crescimento!#REF!-Crescimento!#REF!)^2)</f>
        <v>#REF!</v>
      </c>
      <c r="CX63" s="16" t="e">
        <f>((CY62+(Crescimento!#REF!-(CY62*0.64))/0.8)/1000)-Crescimento!#REF!</f>
        <v>#REF!</v>
      </c>
      <c r="CY63" s="17" t="e">
        <f>-53.07 + (304.89 * (CX63)) + (90.79 *(Crescimento!#REF!-Crescimento!#REF!)) - (3.13 * (Crescimento!#REF!-Crescimento!#REF!)^2)</f>
        <v>#REF!</v>
      </c>
      <c r="DA63" s="16" t="e">
        <f>((DB62+(Crescimento!#REF!-(DB62*0.64))/0.8)/1000)-Crescimento!#REF!</f>
        <v>#REF!</v>
      </c>
      <c r="DB63" s="17" t="e">
        <f>-53.07 + (304.89 * (DA63)) + (90.79 *(Crescimento!#REF!-Crescimento!#REF!)) - (3.13 * (Crescimento!#REF!-Crescimento!#REF!)^2)</f>
        <v>#REF!</v>
      </c>
      <c r="DD63" s="16" t="e">
        <f>(DE62+(Crescimento!#REF!-(DE62*0.64))/0.8)/1000</f>
        <v>#REF!</v>
      </c>
      <c r="DE63" s="17" t="e">
        <f>-53.07 + (304.89 * (DD63)) + (90.79 *Crescimento!#REF!) - (3.13 * Crescimento!#REF!*Crescimento!#REF!)</f>
        <v>#REF!</v>
      </c>
      <c r="DG63" s="16" t="e">
        <f>((DH62+(Crescimento!#REF!-(DH62*0.64))/0.8)/1000)-Crescimento!#REF!</f>
        <v>#REF!</v>
      </c>
      <c r="DH63" s="17" t="e">
        <f>-53.07 + (304.89 * (DG63)) + (90.79 *(Crescimento!#REF!-Crescimento!#REF!)) - (3.13 * (Crescimento!#REF!-Crescimento!#REF!)^2)</f>
        <v>#REF!</v>
      </c>
      <c r="DJ63" s="16" t="e">
        <f>((DK62+(Crescimento!#REF!-(DK62*0.64))/0.8)/1000)-Crescimento!#REF!</f>
        <v>#REF!</v>
      </c>
      <c r="DK63" s="17" t="e">
        <f>-53.07 + (304.89 * (DJ63)) + (90.79 *(Crescimento!#REF!-Crescimento!#REF!)) - (3.13 * (Crescimento!#REF!-Crescimento!#REF!)^2)</f>
        <v>#REF!</v>
      </c>
      <c r="DM63" s="16" t="e">
        <f>((DN62+(Crescimento!#REF!-(DN62*0.64))/0.8)/1000)-Crescimento!#REF!</f>
        <v>#REF!</v>
      </c>
      <c r="DN63" s="17" t="e">
        <f>-53.07 + (304.89 * (DM63)) + (90.79 *(Crescimento!#REF!-Crescimento!#REF!)) - (3.13 * (Crescimento!#REF!-Crescimento!#REF!)^2)</f>
        <v>#REF!</v>
      </c>
      <c r="DP63" s="16" t="e">
        <f>(DQ62+(Crescimento!#REF!-(DQ62*0.64))/0.8)/1000</f>
        <v>#REF!</v>
      </c>
      <c r="DQ63" s="17" t="e">
        <f>-53.07 + (304.89 * (DP63)) + (90.79 *(Crescimento!#REF!-Crescimento!#REF!)) - (3.13 * (Crescimento!#REF!-Crescimento!#REF!)^2)</f>
        <v>#REF!</v>
      </c>
      <c r="DS63" s="16" t="e">
        <f>((DT62+(Crescimento!#REF!-(DT62*0.64))/0.8)/1000)-Crescimento!#REF!</f>
        <v>#REF!</v>
      </c>
      <c r="DT63" s="17" t="e">
        <f>-53.07 + (304.89 * (DS63)) + (90.79 *(Crescimento!#REF!-Crescimento!#REF!)) - (3.13 * (Crescimento!#REF!-Crescimento!#REF!)^2)</f>
        <v>#REF!</v>
      </c>
      <c r="DV63" s="16" t="e">
        <f>((DW62+(Crescimento!#REF!-(DW62*0.64))/0.8)/1000)-Crescimento!#REF!</f>
        <v>#REF!</v>
      </c>
      <c r="DW63" s="17" t="e">
        <f>-53.07 + (304.89 * (DV63)) + (90.79 *(Crescimento!#REF!-Crescimento!#REF!)) - (3.13 * (Crescimento!#REF!-Crescimento!#REF!)^2)</f>
        <v>#REF!</v>
      </c>
      <c r="DY63" s="16" t="e">
        <f>((DZ62+(Crescimento!#REF!-(DZ62*0.64))/0.8)/1000)-Crescimento!#REF!</f>
        <v>#REF!</v>
      </c>
      <c r="DZ63" s="17" t="e">
        <f>-53.07 + (304.89 * (DY63)) + (90.79 *(Crescimento!#REF!-Crescimento!#REF!)) - (3.13 * (Crescimento!#REF!-Crescimento!#REF!)^2)</f>
        <v>#REF!</v>
      </c>
      <c r="EB63" s="16" t="e">
        <f>((EC62+(Crescimento!#REF!-(EC62*0.64))/0.8)/1000)-Crescimento!#REF!</f>
        <v>#REF!</v>
      </c>
      <c r="EC63" s="17" t="e">
        <f>-53.07 + (304.89 * (EB63)) + (90.79 *(Crescimento!#REF!-Crescimento!#REF!)) - (3.13 * (Crescimento!#REF!-Crescimento!#REF!)^2)</f>
        <v>#REF!</v>
      </c>
      <c r="EE63" s="16" t="e">
        <f>((EF62+(Crescimento!#REF!-(EF62*0.64))/0.8)/1000)-Crescimento!#REF!</f>
        <v>#REF!</v>
      </c>
      <c r="EF63" s="17" t="e">
        <f>-53.07 + (304.89 * (EE63)) + (90.79 *(Crescimento!#REF!-Crescimento!#REF!)) - (3.13 * (Crescimento!#REF!-Crescimento!#REF!)^2)</f>
        <v>#REF!</v>
      </c>
      <c r="EH63" s="16" t="e">
        <f>((EI62+(Crescimento!#REF!-(EI62*0.64))/0.8)/1000)-Crescimento!#REF!</f>
        <v>#REF!</v>
      </c>
      <c r="EI63" s="17" t="e">
        <f>-53.07 + (304.89 * (EH63)) + (90.79 *(Crescimento!#REF!-Crescimento!#REF!)) - (3.13 * (Crescimento!#REF!-Crescimento!#REF!)^2)</f>
        <v>#REF!</v>
      </c>
      <c r="EK63" s="16" t="e">
        <f>((EL62+(Crescimento!#REF!-(EL62*0.64))/0.8)/1000)-Crescimento!#REF!</f>
        <v>#REF!</v>
      </c>
      <c r="EL63" s="17" t="e">
        <f>-53.07 + (304.89 * (EK63)) + (90.79 *(Crescimento!#REF!-Crescimento!#REF!)) - (3.13 * (Crescimento!#REF!-Crescimento!#REF!)^2)</f>
        <v>#REF!</v>
      </c>
      <c r="EN63" s="16" t="e">
        <f>((EO62+(Crescimento!#REF!-(EO62*0.64))/0.8)/1000)-Crescimento!#REF!</f>
        <v>#REF!</v>
      </c>
      <c r="EO63" s="17" t="e">
        <f>-53.07 + (304.89 * (EN63)) + (90.79 *(Crescimento!#REF!-Crescimento!#REF!)) - (3.13 * (Crescimento!#REF!-Crescimento!#REF!)^2)</f>
        <v>#REF!</v>
      </c>
      <c r="EQ63" s="16" t="e">
        <f>((ER62+(Crescimento!#REF!-(ER62*0.64))/0.8)/1000)-Crescimento!#REF!</f>
        <v>#REF!</v>
      </c>
      <c r="ER63" s="17" t="e">
        <f>-53.07 + (304.89 * (EQ63)) + (90.79 *(Crescimento!#REF!-Crescimento!#REF!)) - (3.13 * (Crescimento!#REF!-Crescimento!#REF!)^2)</f>
        <v>#REF!</v>
      </c>
      <c r="ET63" s="16" t="e">
        <f>((EU62+(Crescimento!#REF!-(EU62*0.64))/0.8)/1000)-Crescimento!#REF!</f>
        <v>#REF!</v>
      </c>
      <c r="EU63" s="17" t="e">
        <f>-53.07 + (304.89 * (ET63)) + (90.79 *(Crescimento!#REF!-Crescimento!#REF!)) - (3.13 * (Crescimento!#REF!-Crescimento!#REF!)^2)</f>
        <v>#REF!</v>
      </c>
      <c r="EW63" s="16" t="e">
        <f>((EX62+('Vacas e Bezerros'!#REF!-(EX62*0.64))/0.8)/1000)-'Vacas e Bezerros'!#REF!</f>
        <v>#REF!</v>
      </c>
      <c r="EX63" s="17" t="e">
        <f>-53.07 + (304.89 * (EW63)) + (90.79 *('Vacas e Bezerros'!#REF!-'Vacas e Bezerros'!#REF!)) - (3.13 * ('Vacas e Bezerros'!#REF!-'Vacas e Bezerros'!#REF!)^2)</f>
        <v>#REF!</v>
      </c>
      <c r="EZ63" s="16" t="e">
        <f>((FA62+('Vacas e Bezerros'!#REF!-(FA62*0.64))/0.8)/1000)-'Vacas e Bezerros'!#REF!</f>
        <v>#REF!</v>
      </c>
      <c r="FA63" s="17" t="e">
        <f>-53.07 + (304.89 * (EZ63)) + (90.79 *('Vacas e Bezerros'!#REF!-'Vacas e Bezerros'!#REF!)) - (3.13 * ('Vacas e Bezerros'!#REF!-'Vacas e Bezerros'!#REF!)^2)</f>
        <v>#REF!</v>
      </c>
      <c r="FC63" s="16" t="e">
        <f>((FD62+('Vacas e Bezerros'!#REF!-(FD62*0.64))/0.8)/1000)-'Vacas e Bezerros'!#REF!</f>
        <v>#REF!</v>
      </c>
      <c r="FD63" s="17" t="e">
        <f>-53.07 + (304.89 * (FC63)) + (90.79 *('Vacas e Bezerros'!#REF!-'Vacas e Bezerros'!#REF!)) - (3.13 * ('Vacas e Bezerros'!#REF!-'Vacas e Bezerros'!#REF!)^2)</f>
        <v>#REF!</v>
      </c>
      <c r="FF63" s="16" t="e">
        <f>((FG62+('Vacas e Bezerros'!#REF!-(FG62*0.64))/0.8)/1000)-'Vacas e Bezerros'!#REF!</f>
        <v>#REF!</v>
      </c>
      <c r="FG63" s="17" t="e">
        <f>-53.07 + (304.89 * (FF63)) + (90.79 *('Vacas e Bezerros'!#REF!-'Vacas e Bezerros'!#REF!)) - (3.13 * ('Vacas e Bezerros'!#REF!-'Vacas e Bezerros'!#REF!)^2)</f>
        <v>#REF!</v>
      </c>
      <c r="FI63" s="16" t="e">
        <f>((FJ62+('Vacas e Bezerros'!#REF!-(FJ62*0.64))/0.8)/1000)-'Vacas e Bezerros'!#REF!</f>
        <v>#REF!</v>
      </c>
      <c r="FJ63" s="17" t="e">
        <f>-53.07 + (304.89 * (FI63)) + (90.79 *('Vacas e Bezerros'!#REF!-'Vacas e Bezerros'!#REF!)) - (3.13 * ('Vacas e Bezerros'!#REF!-'Vacas e Bezerros'!#REF!)^2)</f>
        <v>#REF!</v>
      </c>
      <c r="FL63" s="16" t="e">
        <f>((FM62+('Vacas e Bezerros'!#REF!-(FM62*0.64))/0.8)/1000)-'Vacas e Bezerros'!#REF!</f>
        <v>#REF!</v>
      </c>
      <c r="FM63" s="17" t="e">
        <f>-53.07 + (304.89 * (FL63)) + (90.79 *('Vacas e Bezerros'!#REF!-'Vacas e Bezerros'!#REF!)) - (3.13 * ('Vacas e Bezerros'!#REF!-'Vacas e Bezerros'!#REF!)^2)</f>
        <v>#REF!</v>
      </c>
      <c r="FO63" s="16" t="e">
        <f>((FP62+('Vacas e Bezerros'!#REF!-(FP62*0.64))/0.8)/1000)-'Vacas e Bezerros'!#REF!</f>
        <v>#REF!</v>
      </c>
      <c r="FP63" s="17" t="e">
        <f>-53.07 + (304.89 * (FO63)) + (90.79 *('Vacas e Bezerros'!#REF!-'Vacas e Bezerros'!#REF!)) - (3.13 * ('Vacas e Bezerros'!#REF!-'Vacas e Bezerros'!#REF!)^2)</f>
        <v>#REF!</v>
      </c>
      <c r="FR63" s="16" t="e">
        <f>((FS62+('Vacas e Bezerros'!#REF!-(FS62*0.64))/0.8)/1000)-'Vacas e Bezerros'!#REF!</f>
        <v>#REF!</v>
      </c>
      <c r="FS63" s="17" t="e">
        <f>-53.07 + (304.89 * (FR63)) + (90.79 *('Vacas e Bezerros'!#REF!-'Vacas e Bezerros'!#REF!)) - (3.13 * ('Vacas e Bezerros'!#REF!-'Vacas e Bezerros'!#REF!)^2)</f>
        <v>#REF!</v>
      </c>
      <c r="FU63" s="16" t="e">
        <f>((FV62+('Vacas e Bezerros'!#REF!-(FV62*0.64))/0.8)/1000)-'Vacas e Bezerros'!#REF!</f>
        <v>#REF!</v>
      </c>
      <c r="FV63" s="17" t="e">
        <f>-53.07 + (304.89 * (FU63)) + (90.79 *('Vacas e Bezerros'!#REF!-'Vacas e Bezerros'!#REF!)) - (3.13 * ('Vacas e Bezerros'!#REF!-'Vacas e Bezerros'!#REF!)^2)</f>
        <v>#REF!</v>
      </c>
      <c r="FX63" s="16" t="e">
        <f>((FY62+('Vacas e Bezerros'!#REF!-(FY62*0.64))/0.8)/1000)-'Vacas e Bezerros'!#REF!</f>
        <v>#REF!</v>
      </c>
      <c r="FY63" s="17" t="e">
        <f>-53.07 + (304.89 * (FX63)) + (90.79 *('Vacas e Bezerros'!#REF!-'Vacas e Bezerros'!#REF!)) - (3.13 * ('Vacas e Bezerros'!#REF!-'Vacas e Bezerros'!#REF!)^2)</f>
        <v>#REF!</v>
      </c>
      <c r="GA63" s="16" t="e">
        <f>((GB62+('Vacas e Bezerros'!#REF!-(GB62*0.64))/0.8)/1000)-'Vacas e Bezerros'!#REF!</f>
        <v>#REF!</v>
      </c>
      <c r="GB63" s="17" t="e">
        <f>-53.07 + (304.89 * (GA63)) + (90.79 *('Vacas e Bezerros'!#REF!-'Vacas e Bezerros'!#REF!)) - (3.13 * ('Vacas e Bezerros'!#REF!-'Vacas e Bezerros'!#REF!)^2)</f>
        <v>#REF!</v>
      </c>
      <c r="GD63" s="16" t="e">
        <f>((GE62+('Vacas e Bezerros'!#REF!-(GE62*0.64))/0.8)/1000)-'Vacas e Bezerros'!#REF!</f>
        <v>#REF!</v>
      </c>
      <c r="GE63" s="17" t="e">
        <f>-53.07 + (304.89 * (GD63)) + (90.79 *('Vacas e Bezerros'!#REF!-'Vacas e Bezerros'!#REF!)) - (3.13 * ('Vacas e Bezerros'!#REF!-'Vacas e Bezerros'!#REF!)^2)</f>
        <v>#REF!</v>
      </c>
      <c r="GG63" s="16" t="e">
        <f>((GH62+('Vacas e Bezerros'!#REF!-(GH62*0.64))/0.8)/1000)-'Vacas e Bezerros'!#REF!</f>
        <v>#REF!</v>
      </c>
      <c r="GH63" s="17" t="e">
        <f>-53.07 + (304.89 * (GG63)) + (90.79 *('Vacas e Bezerros'!#REF!-'Vacas e Bezerros'!#REF!)) - (3.13 * ('Vacas e Bezerros'!#REF!-'Vacas e Bezerros'!#REF!)^2)</f>
        <v>#REF!</v>
      </c>
      <c r="GJ63" s="16" t="e">
        <f>((GK62+('Vacas e Bezerros'!#REF!-(GK62*0.64))/0.8)/1000)-'Vacas e Bezerros'!#REF!</f>
        <v>#REF!</v>
      </c>
      <c r="GK63" s="17" t="e">
        <f>-53.07 + (304.89 * (GJ63)) + (90.79 *('Vacas e Bezerros'!#REF!-'Vacas e Bezerros'!#REF!)) - (3.13 * ('Vacas e Bezerros'!#REF!-'Vacas e Bezerros'!#REF!)^2)</f>
        <v>#REF!</v>
      </c>
      <c r="GM63" s="16" t="e">
        <f>((GN62+('Vacas e Bezerros'!#REF!-(GN62*0.64))/0.8)/1000)-'Vacas e Bezerros'!#REF!</f>
        <v>#REF!</v>
      </c>
      <c r="GN63" s="17" t="e">
        <f>-53.07 + (304.89 * (GM63)) + (90.79 *('Vacas e Bezerros'!#REF!-'Vacas e Bezerros'!#REF!)) - (3.13 * ('Vacas e Bezerros'!#REF!-'Vacas e Bezerros'!#REF!)^2)</f>
        <v>#REF!</v>
      </c>
    </row>
    <row r="64" spans="3:196" x14ac:dyDescent="0.25">
      <c r="C64" s="16">
        <f>(D63+('Vacas e Bezerros'!$AA$28-(D63*0.64))/0.8)/1000</f>
        <v>0.35719668016155687</v>
      </c>
      <c r="D64" s="17">
        <f>-53.07 + (304.89 * (C64-'Vacas e Bezerros'!$C$206)) + (90.79 *('Vacas e Bezerros'!$AA$22)) - (3.13 *('Vacas e Bezerros'!$AA$22)^2)</f>
        <v>165.01876457544017</v>
      </c>
      <c r="F64" s="16" t="e">
        <f>(G63+(Crescimento!#REF!-(G63*0.64))/0.8)/1000</f>
        <v>#REF!</v>
      </c>
      <c r="G64" s="17" t="e">
        <f>-53.07 + (304.89 * (F64)) + (90.79 *Crescimento!#REF!) - (3.13 * Crescimento!#REF!*Crescimento!#REF!)</f>
        <v>#REF!</v>
      </c>
      <c r="H64" s="1"/>
      <c r="I64" s="16" t="e">
        <f>(J63+(Crescimento!#REF!-(J63*0.64))/0.8)/1000</f>
        <v>#REF!</v>
      </c>
      <c r="J64" s="17" t="e">
        <f>-53.07 + (304.89 * (I64)) + (90.79 *Crescimento!#REF!) - (3.13 * Crescimento!#REF!*Crescimento!#REF!)</f>
        <v>#REF!</v>
      </c>
      <c r="L64" s="16" t="e">
        <f>(M63+(Crescimento!#REF!-(M63*0.64))/0.8)/1000</f>
        <v>#REF!</v>
      </c>
      <c r="M64" s="17" t="e">
        <f>-53.07 + (304.89 * (L64)) + (90.79 *Crescimento!#REF!) - (3.13 * Crescimento!#REF!*Crescimento!#REF!)</f>
        <v>#REF!</v>
      </c>
      <c r="O64" s="16" t="e">
        <f>(P63+(Crescimento!#REF!-(P63*0.64))/0.8)/1000</f>
        <v>#REF!</v>
      </c>
      <c r="P64" s="17" t="e">
        <f>-53.07 + (304.89 * (O64)) + (90.79 *Crescimento!#REF!) - (3.13 * Crescimento!#REF!*Crescimento!#REF!)</f>
        <v>#REF!</v>
      </c>
      <c r="R64" s="16" t="e">
        <f>(S63+(Crescimento!#REF!-(S63*0.64))/0.8)/1000</f>
        <v>#REF!</v>
      </c>
      <c r="S64" s="17" t="e">
        <f>-53.07 + (304.89 * (R64)) + (90.79 *Crescimento!#REF!) - (3.13 * Crescimento!#REF!*Crescimento!#REF!)</f>
        <v>#REF!</v>
      </c>
      <c r="U64" s="16" t="e">
        <f>(V63+(Crescimento!#REF!-(V63*0.64))/0.8)/1000</f>
        <v>#REF!</v>
      </c>
      <c r="V64" s="17" t="e">
        <f>-53.07 + (304.89 * (U64)) + (90.79 *Crescimento!#REF!) - (3.13 * Crescimento!#REF!*Crescimento!#REF!)</f>
        <v>#REF!</v>
      </c>
      <c r="X64" s="16" t="e">
        <f>(Y63+(Crescimento!#REF!-(Y63*0.64))/0.8)/1000</f>
        <v>#REF!</v>
      </c>
      <c r="Y64" s="17" t="e">
        <f>-53.07 + (304.89 * (X64)) + (90.79 *Crescimento!#REF!) - (3.13 * Crescimento!#REF!*Crescimento!#REF!)</f>
        <v>#REF!</v>
      </c>
      <c r="Z64" s="6"/>
      <c r="AA64" s="16" t="e">
        <f>(AB63+(Crescimento!#REF!-(AB63*0.64))/0.8)/1000</f>
        <v>#REF!</v>
      </c>
      <c r="AB64" s="17" t="e">
        <f>-53.07 + (304.89 * (AA64)) + (90.79 *Crescimento!#REF!) - (3.13 * Crescimento!#REF!*Crescimento!#REF!)</f>
        <v>#REF!</v>
      </c>
      <c r="AC64" s="6"/>
      <c r="AD64" s="16" t="e">
        <f>(AE63+(Crescimento!#REF!-(AE63*0.64))/0.8)/1000</f>
        <v>#REF!</v>
      </c>
      <c r="AE64" s="17" t="e">
        <f>-53.07 + (304.89 * (AD64)) + (90.79 *Crescimento!#REF!) - (3.13 * Crescimento!#REF!*Crescimento!#REF!)</f>
        <v>#REF!</v>
      </c>
      <c r="AF64" s="17"/>
      <c r="AG64" s="16" t="e">
        <f>(AH63+(Crescimento!#REF!-(AH63*0.64))/0.8)/1000</f>
        <v>#REF!</v>
      </c>
      <c r="AH64" s="17" t="e">
        <f>-53.07 + (304.89 * (AG64)) + (90.79 *Crescimento!#REF!) - (3.13 * Crescimento!#REF!*Crescimento!#REF!)</f>
        <v>#REF!</v>
      </c>
      <c r="AJ64" s="16" t="e">
        <f>(AK63+(Crescimento!#REF!-(AK63*0.64))/0.8)/1000</f>
        <v>#REF!</v>
      </c>
      <c r="AK64" s="17" t="e">
        <f>-53.07 + (304.89 * (AJ64)) + (90.79 *Crescimento!#REF!) - (3.13 * Crescimento!#REF!*Crescimento!#REF!)</f>
        <v>#REF!</v>
      </c>
      <c r="AM64" s="16" t="e">
        <f>(AN63+(Crescimento!#REF!-(AN63*0.64))/0.8)/1000</f>
        <v>#REF!</v>
      </c>
      <c r="AN64" s="17" t="e">
        <f>-53.07 + (304.89 * (AM64)) + (90.79 *Crescimento!#REF!) - (3.13 * Crescimento!#REF!*Crescimento!#REF!)</f>
        <v>#REF!</v>
      </c>
      <c r="AP64" s="16" t="e">
        <f>(AQ63+(Crescimento!#REF!-(AQ63*0.64))/0.8)/1000</f>
        <v>#REF!</v>
      </c>
      <c r="AQ64" s="17" t="e">
        <f>-53.07 + (304.89 * (AP64)) + (90.79 *Crescimento!#REF!) - (3.13 * Crescimento!#REF!*Crescimento!#REF!)</f>
        <v>#REF!</v>
      </c>
      <c r="AS64" s="16" t="e">
        <f>(AT63+(Crescimento!#REF!-(AT63*0.64))/0.8)/1000</f>
        <v>#REF!</v>
      </c>
      <c r="AT64" s="17" t="e">
        <f>-53.07 + (304.89 * (AS64)) + (90.79 *Crescimento!#REF!) - (3.13 * Crescimento!#REF!*Crescimento!#REF!)</f>
        <v>#REF!</v>
      </c>
      <c r="AV64" s="16" t="e">
        <f>(AW63+(Crescimento!#REF!-(AW63*0.64))/0.8)/1000</f>
        <v>#REF!</v>
      </c>
      <c r="AW64" s="17" t="e">
        <f>-53.07 + (304.89 * (AV64)) + (90.79 *Crescimento!#REF!) - (3.13 * Crescimento!#REF!*Crescimento!#REF!)</f>
        <v>#REF!</v>
      </c>
      <c r="AY64" s="21" t="e">
        <f>((AZ63+(Crescimento!#REF!-(AZ63*0.64))/0.8)/1000)-Crescimento!#REF!</f>
        <v>#REF!</v>
      </c>
      <c r="AZ64" s="22" t="e">
        <f>-53.07 + (304.89 * (AY64)) + (90.79 *(Crescimento!#REF!-Crescimento!#REF!)) - (3.13 * (Crescimento!#REF!-Crescimento!#REF!)^2)</f>
        <v>#REF!</v>
      </c>
      <c r="BA64" s="23"/>
      <c r="BB64" s="21" t="e">
        <f>((BC63+(Crescimento!#REF!-(BC63*0.64))/0.8)/1000)-Crescimento!#REF!</f>
        <v>#REF!</v>
      </c>
      <c r="BC64" s="22" t="e">
        <f>-53.07 + (304.89 * (BB64)) + (90.79 *(Crescimento!#REF!-Crescimento!#REF!)) - (3.13 * (Crescimento!#REF!-Crescimento!#REF!)^2)</f>
        <v>#REF!</v>
      </c>
      <c r="BD64" s="23"/>
      <c r="BE64" s="21" t="e">
        <f>((BF63+(Crescimento!#REF!-(BF63*0.64))/0.8)/1000)-Crescimento!#REF!</f>
        <v>#REF!</v>
      </c>
      <c r="BF64" s="22" t="e">
        <f>-53.07 + (304.89 * (BE64)) + (90.79 *(Crescimento!#REF!-Crescimento!#REF!)) - (3.13 * (Crescimento!#REF!-Crescimento!#REF!)^2)</f>
        <v>#REF!</v>
      </c>
      <c r="BG64" s="23"/>
      <c r="BH64" s="21" t="e">
        <f>((BI63+(Crescimento!#REF!-(BI63*0.64))/0.8)/1000)-Crescimento!#REF!</f>
        <v>#REF!</v>
      </c>
      <c r="BI64" s="22" t="e">
        <f>-53.07 + (304.89 * (BH64)) + (90.79 *(Crescimento!#REF!-Crescimento!#REF!)) - (3.13 * (Crescimento!#REF!-Crescimento!#REF!)^2)</f>
        <v>#REF!</v>
      </c>
      <c r="BJ64" s="23"/>
      <c r="BK64" s="21" t="e">
        <f>((BL63+(Crescimento!#REF!-(BL63*0.64))/0.8)/1000)-Crescimento!#REF!</f>
        <v>#REF!</v>
      </c>
      <c r="BL64" s="22" t="e">
        <f>-53.07 + (304.89 * (BK64)) + (90.79 *(Crescimento!#REF!-Crescimento!#REF!)) - (3.13 * (Crescimento!#REF!-Crescimento!#REF!)^2)</f>
        <v>#REF!</v>
      </c>
      <c r="BM64" s="23"/>
      <c r="BN64" s="21" t="e">
        <f>((BO63+(Crescimento!#REF!-(BO63*0.64))/0.8)/1000)-Crescimento!#REF!</f>
        <v>#REF!</v>
      </c>
      <c r="BO64" s="22" t="e">
        <f>-53.07 + (304.89 * (BN64)) + (90.79 *(Crescimento!#REF!-Crescimento!#REF!)) - (3.13 * (Crescimento!#REF!-Crescimento!#REF!)^2)</f>
        <v>#REF!</v>
      </c>
      <c r="BP64" s="23"/>
      <c r="BQ64" s="21" t="e">
        <f>((BR63+(Crescimento!#REF!-(BR63*0.64))/0.8)/1000)-Crescimento!#REF!</f>
        <v>#REF!</v>
      </c>
      <c r="BR64" s="22" t="e">
        <f>-53.07 + (304.89 * (BQ64)) + (90.79 *(Crescimento!#REF!-Crescimento!#REF!)) - (3.13 * (Crescimento!#REF!-Crescimento!#REF!)^2)</f>
        <v>#REF!</v>
      </c>
      <c r="BS64" s="23"/>
      <c r="BT64" s="21" t="e">
        <f>((BU63+(Crescimento!#REF!-(BU63*0.64))/0.8)/1000)-Crescimento!#REF!</f>
        <v>#REF!</v>
      </c>
      <c r="BU64" s="22" t="e">
        <f>-53.07 + (304.89 * (BT64)) + (90.79 *(Crescimento!#REF!-Crescimento!#REF!)) - (3.13 * (Crescimento!#REF!-Crescimento!#REF!)^2)</f>
        <v>#REF!</v>
      </c>
      <c r="BV64" s="23"/>
      <c r="BW64" s="21" t="e">
        <f>((BX63+(Crescimento!#REF!-(BX63*0.64))/0.8)/1000)-Crescimento!#REF!</f>
        <v>#REF!</v>
      </c>
      <c r="BX64" s="22" t="e">
        <f>-53.07 + (304.89 * (BW64)) + (90.79 *(Crescimento!#REF!-Crescimento!#REF!)) - (3.13 * (Crescimento!#REF!-Crescimento!#REF!)^2)</f>
        <v>#REF!</v>
      </c>
      <c r="BY64" s="23"/>
      <c r="BZ64" s="21" t="e">
        <f>((CA63+(Crescimento!#REF!-(CA63*0.64))/0.8)/1000)-Crescimento!#REF!</f>
        <v>#REF!</v>
      </c>
      <c r="CA64" s="22" t="e">
        <f>-53.07 + (304.89 * (BZ64)) + (90.79 *(Crescimento!#REF!-Crescimento!#REF!)) - (3.13 * (Crescimento!#REF!-Crescimento!#REF!)^2)</f>
        <v>#REF!</v>
      </c>
      <c r="CB64" s="23"/>
      <c r="CC64" s="21" t="e">
        <f>((CD63+(Crescimento!#REF!-(CD63*0.64))/0.8)/1000)-Crescimento!#REF!</f>
        <v>#REF!</v>
      </c>
      <c r="CD64" s="22" t="e">
        <f>-53.07 + (304.89 * (CC64)) + (90.79 *(Crescimento!#REF!-Crescimento!#REF!)) - (3.13 * (Crescimento!#REF!-Crescimento!#REF!)^2)</f>
        <v>#REF!</v>
      </c>
      <c r="CE64" s="23"/>
      <c r="CF64" s="21" t="e">
        <f>((CG63+(Crescimento!#REF!-(CG63*0.64))/0.8)/1000)-Crescimento!#REF!</f>
        <v>#REF!</v>
      </c>
      <c r="CG64" s="22" t="e">
        <f>-53.07 + (304.89 * (CF64)) + (90.79 *(Crescimento!#REF!-Crescimento!#REF!)) - (3.13 * (Crescimento!#REF!-Crescimento!#REF!)^2)</f>
        <v>#REF!</v>
      </c>
      <c r="CH64" s="23"/>
      <c r="CI64" s="21" t="e">
        <f>((CJ63+(Crescimento!#REF!-(CJ63*0.64))/0.8)/1000)-Crescimento!#REF!</f>
        <v>#REF!</v>
      </c>
      <c r="CJ64" s="22" t="e">
        <f>-53.07 + (304.89 * (CI64)) + (90.79 *(Crescimento!#REF!-Crescimento!#REF!)) - (3.13 * (Crescimento!#REF!-Crescimento!#REF!)^2)</f>
        <v>#REF!</v>
      </c>
      <c r="CK64" s="23"/>
      <c r="CL64" s="21" t="e">
        <f>((CM63+(Crescimento!#REF!-(CM63*0.64))/0.8)/1000)-Crescimento!#REF!</f>
        <v>#REF!</v>
      </c>
      <c r="CM64" s="22" t="e">
        <f>-53.07 + (304.89 * (CL64)) + (90.79 *(Crescimento!#REF!-Crescimento!#REF!)) - (3.13 * (Crescimento!#REF!-Crescimento!#REF!)^2)</f>
        <v>#REF!</v>
      </c>
      <c r="CN64" s="23"/>
      <c r="CO64" s="21" t="e">
        <f>((CP63+(Crescimento!#REF!-(CP63*0.64))/0.8)/1000)-Crescimento!#REF!</f>
        <v>#REF!</v>
      </c>
      <c r="CP64" s="22" t="e">
        <f>-53.07 + (304.89 * (CO64)) + (90.79 *(Crescimento!#REF!-Crescimento!#REF!)) - (3.13 * (Crescimento!#REF!-Crescimento!#REF!)^2)</f>
        <v>#REF!</v>
      </c>
      <c r="CQ64" s="23"/>
      <c r="CR64" s="21" t="e">
        <f>((CS63+(Crescimento!#REF!-(CS63*0.64))/0.8)/1000)-Crescimento!#REF!</f>
        <v>#REF!</v>
      </c>
      <c r="CS64" s="22" t="e">
        <f>-53.07 + (304.89 * (CR64)) + (90.79 *(Crescimento!#REF!-Crescimento!#REF!)) - (3.13 * (Crescimento!#REF!-Crescimento!#REF!)^2)</f>
        <v>#REF!</v>
      </c>
      <c r="CX64" s="16" t="e">
        <f>((CY63+(Crescimento!#REF!-(CY63*0.64))/0.8)/1000)-Crescimento!#REF!</f>
        <v>#REF!</v>
      </c>
      <c r="CY64" s="17" t="e">
        <f>-53.07 + (304.89 * (CX64)) + (90.79 *(Crescimento!#REF!-Crescimento!#REF!)) - (3.13 * (Crescimento!#REF!-Crescimento!#REF!)^2)</f>
        <v>#REF!</v>
      </c>
      <c r="DA64" s="16" t="e">
        <f>((DB63+(Crescimento!#REF!-(DB63*0.64))/0.8)/1000)-Crescimento!#REF!</f>
        <v>#REF!</v>
      </c>
      <c r="DB64" s="17" t="e">
        <f>-53.07 + (304.89 * (DA64)) + (90.79 *(Crescimento!#REF!-Crescimento!#REF!)) - (3.13 * (Crescimento!#REF!-Crescimento!#REF!)^2)</f>
        <v>#REF!</v>
      </c>
      <c r="DD64" s="16" t="e">
        <f>(DE63+(Crescimento!#REF!-(DE63*0.64))/0.8)/1000</f>
        <v>#REF!</v>
      </c>
      <c r="DE64" s="17" t="e">
        <f>-53.07 + (304.89 * (DD64)) + (90.79 *Crescimento!#REF!) - (3.13 * Crescimento!#REF!*Crescimento!#REF!)</f>
        <v>#REF!</v>
      </c>
      <c r="DG64" s="16" t="e">
        <f>((DH63+(Crescimento!#REF!-(DH63*0.64))/0.8)/1000)-Crescimento!#REF!</f>
        <v>#REF!</v>
      </c>
      <c r="DH64" s="17" t="e">
        <f>-53.07 + (304.89 * (DG64)) + (90.79 *(Crescimento!#REF!-Crescimento!#REF!)) - (3.13 * (Crescimento!#REF!-Crescimento!#REF!)^2)</f>
        <v>#REF!</v>
      </c>
      <c r="DJ64" s="16" t="e">
        <f>((DK63+(Crescimento!#REF!-(DK63*0.64))/0.8)/1000)-Crescimento!#REF!</f>
        <v>#REF!</v>
      </c>
      <c r="DK64" s="17" t="e">
        <f>-53.07 + (304.89 * (DJ64)) + (90.79 *(Crescimento!#REF!-Crescimento!#REF!)) - (3.13 * (Crescimento!#REF!-Crescimento!#REF!)^2)</f>
        <v>#REF!</v>
      </c>
      <c r="DM64" s="16" t="e">
        <f>((DN63+(Crescimento!#REF!-(DN63*0.64))/0.8)/1000)-Crescimento!#REF!</f>
        <v>#REF!</v>
      </c>
      <c r="DN64" s="17" t="e">
        <f>-53.07 + (304.89 * (DM64)) + (90.79 *(Crescimento!#REF!-Crescimento!#REF!)) - (3.13 * (Crescimento!#REF!-Crescimento!#REF!)^2)</f>
        <v>#REF!</v>
      </c>
      <c r="DP64" s="16" t="e">
        <f>(DQ63+(Crescimento!#REF!-(DQ63*0.64))/0.8)/1000</f>
        <v>#REF!</v>
      </c>
      <c r="DQ64" s="17" t="e">
        <f>-53.07 + (304.89 * (DP64)) + (90.79 *(Crescimento!#REF!-Crescimento!#REF!)) - (3.13 * (Crescimento!#REF!-Crescimento!#REF!)^2)</f>
        <v>#REF!</v>
      </c>
      <c r="DS64" s="16" t="e">
        <f>((DT63+(Crescimento!#REF!-(DT63*0.64))/0.8)/1000)-Crescimento!#REF!</f>
        <v>#REF!</v>
      </c>
      <c r="DT64" s="17" t="e">
        <f>-53.07 + (304.89 * (DS64)) + (90.79 *(Crescimento!#REF!-Crescimento!#REF!)) - (3.13 * (Crescimento!#REF!-Crescimento!#REF!)^2)</f>
        <v>#REF!</v>
      </c>
      <c r="DV64" s="16" t="e">
        <f>((DW63+(Crescimento!#REF!-(DW63*0.64))/0.8)/1000)-Crescimento!#REF!</f>
        <v>#REF!</v>
      </c>
      <c r="DW64" s="17" t="e">
        <f>-53.07 + (304.89 * (DV64)) + (90.79 *(Crescimento!#REF!-Crescimento!#REF!)) - (3.13 * (Crescimento!#REF!-Crescimento!#REF!)^2)</f>
        <v>#REF!</v>
      </c>
      <c r="DY64" s="16" t="e">
        <f>((DZ63+(Crescimento!#REF!-(DZ63*0.64))/0.8)/1000)-Crescimento!#REF!</f>
        <v>#REF!</v>
      </c>
      <c r="DZ64" s="17" t="e">
        <f>-53.07 + (304.89 * (DY64)) + (90.79 *(Crescimento!#REF!-Crescimento!#REF!)) - (3.13 * (Crescimento!#REF!-Crescimento!#REF!)^2)</f>
        <v>#REF!</v>
      </c>
      <c r="EB64" s="16" t="e">
        <f>((EC63+(Crescimento!#REF!-(EC63*0.64))/0.8)/1000)-Crescimento!#REF!</f>
        <v>#REF!</v>
      </c>
      <c r="EC64" s="17" t="e">
        <f>-53.07 + (304.89 * (EB64)) + (90.79 *(Crescimento!#REF!-Crescimento!#REF!)) - (3.13 * (Crescimento!#REF!-Crescimento!#REF!)^2)</f>
        <v>#REF!</v>
      </c>
      <c r="EE64" s="16" t="e">
        <f>((EF63+(Crescimento!#REF!-(EF63*0.64))/0.8)/1000)-Crescimento!#REF!</f>
        <v>#REF!</v>
      </c>
      <c r="EF64" s="17" t="e">
        <f>-53.07 + (304.89 * (EE64)) + (90.79 *(Crescimento!#REF!-Crescimento!#REF!)) - (3.13 * (Crescimento!#REF!-Crescimento!#REF!)^2)</f>
        <v>#REF!</v>
      </c>
      <c r="EH64" s="16" t="e">
        <f>((EI63+(Crescimento!#REF!-(EI63*0.64))/0.8)/1000)-Crescimento!#REF!</f>
        <v>#REF!</v>
      </c>
      <c r="EI64" s="17" t="e">
        <f>-53.07 + (304.89 * (EH64)) + (90.79 *(Crescimento!#REF!-Crescimento!#REF!)) - (3.13 * (Crescimento!#REF!-Crescimento!#REF!)^2)</f>
        <v>#REF!</v>
      </c>
      <c r="EK64" s="16" t="e">
        <f>((EL63+(Crescimento!#REF!-(EL63*0.64))/0.8)/1000)-Crescimento!#REF!</f>
        <v>#REF!</v>
      </c>
      <c r="EL64" s="17" t="e">
        <f>-53.07 + (304.89 * (EK64)) + (90.79 *(Crescimento!#REF!-Crescimento!#REF!)) - (3.13 * (Crescimento!#REF!-Crescimento!#REF!)^2)</f>
        <v>#REF!</v>
      </c>
      <c r="EN64" s="16" t="e">
        <f>((EO63+(Crescimento!#REF!-(EO63*0.64))/0.8)/1000)-Crescimento!#REF!</f>
        <v>#REF!</v>
      </c>
      <c r="EO64" s="17" t="e">
        <f>-53.07 + (304.89 * (EN64)) + (90.79 *(Crescimento!#REF!-Crescimento!#REF!)) - (3.13 * (Crescimento!#REF!-Crescimento!#REF!)^2)</f>
        <v>#REF!</v>
      </c>
      <c r="EQ64" s="16" t="e">
        <f>((ER63+(Crescimento!#REF!-(ER63*0.64))/0.8)/1000)-Crescimento!#REF!</f>
        <v>#REF!</v>
      </c>
      <c r="ER64" s="17" t="e">
        <f>-53.07 + (304.89 * (EQ64)) + (90.79 *(Crescimento!#REF!-Crescimento!#REF!)) - (3.13 * (Crescimento!#REF!-Crescimento!#REF!)^2)</f>
        <v>#REF!</v>
      </c>
      <c r="ET64" s="16" t="e">
        <f>((EU63+(Crescimento!#REF!-(EU63*0.64))/0.8)/1000)-Crescimento!#REF!</f>
        <v>#REF!</v>
      </c>
      <c r="EU64" s="17" t="e">
        <f>-53.07 + (304.89 * (ET64)) + (90.79 *(Crescimento!#REF!-Crescimento!#REF!)) - (3.13 * (Crescimento!#REF!-Crescimento!#REF!)^2)</f>
        <v>#REF!</v>
      </c>
      <c r="EW64" s="16" t="e">
        <f>((EX63+('Vacas e Bezerros'!#REF!-(EX63*0.64))/0.8)/1000)-'Vacas e Bezerros'!#REF!</f>
        <v>#REF!</v>
      </c>
      <c r="EX64" s="17" t="e">
        <f>-53.07 + (304.89 * (EW64)) + (90.79 *('Vacas e Bezerros'!#REF!-'Vacas e Bezerros'!#REF!)) - (3.13 * ('Vacas e Bezerros'!#REF!-'Vacas e Bezerros'!#REF!)^2)</f>
        <v>#REF!</v>
      </c>
      <c r="EZ64" s="16" t="e">
        <f>((FA63+('Vacas e Bezerros'!#REF!-(FA63*0.64))/0.8)/1000)-'Vacas e Bezerros'!#REF!</f>
        <v>#REF!</v>
      </c>
      <c r="FA64" s="17" t="e">
        <f>-53.07 + (304.89 * (EZ64)) + (90.79 *('Vacas e Bezerros'!#REF!-'Vacas e Bezerros'!#REF!)) - (3.13 * ('Vacas e Bezerros'!#REF!-'Vacas e Bezerros'!#REF!)^2)</f>
        <v>#REF!</v>
      </c>
      <c r="FC64" s="16" t="e">
        <f>((FD63+('Vacas e Bezerros'!#REF!-(FD63*0.64))/0.8)/1000)-'Vacas e Bezerros'!#REF!</f>
        <v>#REF!</v>
      </c>
      <c r="FD64" s="17" t="e">
        <f>-53.07 + (304.89 * (FC64)) + (90.79 *('Vacas e Bezerros'!#REF!-'Vacas e Bezerros'!#REF!)) - (3.13 * ('Vacas e Bezerros'!#REF!-'Vacas e Bezerros'!#REF!)^2)</f>
        <v>#REF!</v>
      </c>
      <c r="FF64" s="16" t="e">
        <f>((FG63+('Vacas e Bezerros'!#REF!-(FG63*0.64))/0.8)/1000)-'Vacas e Bezerros'!#REF!</f>
        <v>#REF!</v>
      </c>
      <c r="FG64" s="17" t="e">
        <f>-53.07 + (304.89 * (FF64)) + (90.79 *('Vacas e Bezerros'!#REF!-'Vacas e Bezerros'!#REF!)) - (3.13 * ('Vacas e Bezerros'!#REF!-'Vacas e Bezerros'!#REF!)^2)</f>
        <v>#REF!</v>
      </c>
      <c r="FI64" s="16" t="e">
        <f>((FJ63+('Vacas e Bezerros'!#REF!-(FJ63*0.64))/0.8)/1000)-'Vacas e Bezerros'!#REF!</f>
        <v>#REF!</v>
      </c>
      <c r="FJ64" s="17" t="e">
        <f>-53.07 + (304.89 * (FI64)) + (90.79 *('Vacas e Bezerros'!#REF!-'Vacas e Bezerros'!#REF!)) - (3.13 * ('Vacas e Bezerros'!#REF!-'Vacas e Bezerros'!#REF!)^2)</f>
        <v>#REF!</v>
      </c>
      <c r="FL64" s="16" t="e">
        <f>((FM63+('Vacas e Bezerros'!#REF!-(FM63*0.64))/0.8)/1000)-'Vacas e Bezerros'!#REF!</f>
        <v>#REF!</v>
      </c>
      <c r="FM64" s="17" t="e">
        <f>-53.07 + (304.89 * (FL64)) + (90.79 *('Vacas e Bezerros'!#REF!-'Vacas e Bezerros'!#REF!)) - (3.13 * ('Vacas e Bezerros'!#REF!-'Vacas e Bezerros'!#REF!)^2)</f>
        <v>#REF!</v>
      </c>
      <c r="FO64" s="16" t="e">
        <f>((FP63+('Vacas e Bezerros'!#REF!-(FP63*0.64))/0.8)/1000)-'Vacas e Bezerros'!#REF!</f>
        <v>#REF!</v>
      </c>
      <c r="FP64" s="17" t="e">
        <f>-53.07 + (304.89 * (FO64)) + (90.79 *('Vacas e Bezerros'!#REF!-'Vacas e Bezerros'!#REF!)) - (3.13 * ('Vacas e Bezerros'!#REF!-'Vacas e Bezerros'!#REF!)^2)</f>
        <v>#REF!</v>
      </c>
      <c r="FR64" s="16" t="e">
        <f>((FS63+('Vacas e Bezerros'!#REF!-(FS63*0.64))/0.8)/1000)-'Vacas e Bezerros'!#REF!</f>
        <v>#REF!</v>
      </c>
      <c r="FS64" s="17" t="e">
        <f>-53.07 + (304.89 * (FR64)) + (90.79 *('Vacas e Bezerros'!#REF!-'Vacas e Bezerros'!#REF!)) - (3.13 * ('Vacas e Bezerros'!#REF!-'Vacas e Bezerros'!#REF!)^2)</f>
        <v>#REF!</v>
      </c>
      <c r="FU64" s="16" t="e">
        <f>((FV63+('Vacas e Bezerros'!#REF!-(FV63*0.64))/0.8)/1000)-'Vacas e Bezerros'!#REF!</f>
        <v>#REF!</v>
      </c>
      <c r="FV64" s="17" t="e">
        <f>-53.07 + (304.89 * (FU64)) + (90.79 *('Vacas e Bezerros'!#REF!-'Vacas e Bezerros'!#REF!)) - (3.13 * ('Vacas e Bezerros'!#REF!-'Vacas e Bezerros'!#REF!)^2)</f>
        <v>#REF!</v>
      </c>
      <c r="FX64" s="16" t="e">
        <f>((FY63+('Vacas e Bezerros'!#REF!-(FY63*0.64))/0.8)/1000)-'Vacas e Bezerros'!#REF!</f>
        <v>#REF!</v>
      </c>
      <c r="FY64" s="17" t="e">
        <f>-53.07 + (304.89 * (FX64)) + (90.79 *('Vacas e Bezerros'!#REF!-'Vacas e Bezerros'!#REF!)) - (3.13 * ('Vacas e Bezerros'!#REF!-'Vacas e Bezerros'!#REF!)^2)</f>
        <v>#REF!</v>
      </c>
      <c r="GA64" s="16" t="e">
        <f>((GB63+('Vacas e Bezerros'!#REF!-(GB63*0.64))/0.8)/1000)-'Vacas e Bezerros'!#REF!</f>
        <v>#REF!</v>
      </c>
      <c r="GB64" s="17" t="e">
        <f>-53.07 + (304.89 * (GA64)) + (90.79 *('Vacas e Bezerros'!#REF!-'Vacas e Bezerros'!#REF!)) - (3.13 * ('Vacas e Bezerros'!#REF!-'Vacas e Bezerros'!#REF!)^2)</f>
        <v>#REF!</v>
      </c>
      <c r="GD64" s="16" t="e">
        <f>((GE63+('Vacas e Bezerros'!#REF!-(GE63*0.64))/0.8)/1000)-'Vacas e Bezerros'!#REF!</f>
        <v>#REF!</v>
      </c>
      <c r="GE64" s="17" t="e">
        <f>-53.07 + (304.89 * (GD64)) + (90.79 *('Vacas e Bezerros'!#REF!-'Vacas e Bezerros'!#REF!)) - (3.13 * ('Vacas e Bezerros'!#REF!-'Vacas e Bezerros'!#REF!)^2)</f>
        <v>#REF!</v>
      </c>
      <c r="GG64" s="16" t="e">
        <f>((GH63+('Vacas e Bezerros'!#REF!-(GH63*0.64))/0.8)/1000)-'Vacas e Bezerros'!#REF!</f>
        <v>#REF!</v>
      </c>
      <c r="GH64" s="17" t="e">
        <f>-53.07 + (304.89 * (GG64)) + (90.79 *('Vacas e Bezerros'!#REF!-'Vacas e Bezerros'!#REF!)) - (3.13 * ('Vacas e Bezerros'!#REF!-'Vacas e Bezerros'!#REF!)^2)</f>
        <v>#REF!</v>
      </c>
      <c r="GJ64" s="16" t="e">
        <f>((GK63+('Vacas e Bezerros'!#REF!-(GK63*0.64))/0.8)/1000)-'Vacas e Bezerros'!#REF!</f>
        <v>#REF!</v>
      </c>
      <c r="GK64" s="17" t="e">
        <f>-53.07 + (304.89 * (GJ64)) + (90.79 *('Vacas e Bezerros'!#REF!-'Vacas e Bezerros'!#REF!)) - (3.13 * ('Vacas e Bezerros'!#REF!-'Vacas e Bezerros'!#REF!)^2)</f>
        <v>#REF!</v>
      </c>
      <c r="GM64" s="16" t="e">
        <f>((GN63+('Vacas e Bezerros'!#REF!-(GN63*0.64))/0.8)/1000)-'Vacas e Bezerros'!#REF!</f>
        <v>#REF!</v>
      </c>
      <c r="GN64" s="17" t="e">
        <f>-53.07 + (304.89 * (GM64)) + (90.79 *('Vacas e Bezerros'!#REF!-'Vacas e Bezerros'!#REF!)) - (3.13 * ('Vacas e Bezerros'!#REF!-'Vacas e Bezerros'!#REF!)^2)</f>
        <v>#REF!</v>
      </c>
    </row>
    <row r="65" spans="3:196" x14ac:dyDescent="0.25">
      <c r="C65" s="16">
        <f>(D64+('Vacas e Bezerros'!$AA$28-(D64*0.64))/0.8)/1000</f>
        <v>0.35719668016155687</v>
      </c>
      <c r="D65" s="17">
        <f>-53.07 + (304.89 * (C65-'Vacas e Bezerros'!$C$206)) + (90.79 *('Vacas e Bezerros'!$AA$22)) - (3.13 *('Vacas e Bezerros'!$AA$22)^2)</f>
        <v>165.01876457544017</v>
      </c>
      <c r="F65" s="16" t="e">
        <f>(G64+(Crescimento!#REF!-(G64*0.64))/0.8)/1000</f>
        <v>#REF!</v>
      </c>
      <c r="G65" s="17" t="e">
        <f>-53.07 + (304.89 * (F65)) + (90.79 *Crescimento!#REF!) - (3.13 * Crescimento!#REF!*Crescimento!#REF!)</f>
        <v>#REF!</v>
      </c>
      <c r="H65" s="1"/>
      <c r="I65" s="16" t="e">
        <f>(J64+(Crescimento!#REF!-(J64*0.64))/0.8)/1000</f>
        <v>#REF!</v>
      </c>
      <c r="J65" s="17" t="e">
        <f>-53.07 + (304.89 * (I65)) + (90.79 *Crescimento!#REF!) - (3.13 * Crescimento!#REF!*Crescimento!#REF!)</f>
        <v>#REF!</v>
      </c>
      <c r="L65" s="16" t="e">
        <f>(M64+(Crescimento!#REF!-(M64*0.64))/0.8)/1000</f>
        <v>#REF!</v>
      </c>
      <c r="M65" s="17" t="e">
        <f>-53.07 + (304.89 * (L65)) + (90.79 *Crescimento!#REF!) - (3.13 * Crescimento!#REF!*Crescimento!#REF!)</f>
        <v>#REF!</v>
      </c>
      <c r="O65" s="16" t="e">
        <f>(P64+(Crescimento!#REF!-(P64*0.64))/0.8)/1000</f>
        <v>#REF!</v>
      </c>
      <c r="P65" s="17" t="e">
        <f>-53.07 + (304.89 * (O65)) + (90.79 *Crescimento!#REF!) - (3.13 * Crescimento!#REF!*Crescimento!#REF!)</f>
        <v>#REF!</v>
      </c>
      <c r="R65" s="16" t="e">
        <f>(S64+(Crescimento!#REF!-(S64*0.64))/0.8)/1000</f>
        <v>#REF!</v>
      </c>
      <c r="S65" s="17" t="e">
        <f>-53.07 + (304.89 * (R65)) + (90.79 *Crescimento!#REF!) - (3.13 * Crescimento!#REF!*Crescimento!#REF!)</f>
        <v>#REF!</v>
      </c>
      <c r="U65" s="16" t="e">
        <f>(V64+(Crescimento!#REF!-(V64*0.64))/0.8)/1000</f>
        <v>#REF!</v>
      </c>
      <c r="V65" s="17" t="e">
        <f>-53.07 + (304.89 * (U65)) + (90.79 *Crescimento!#REF!) - (3.13 * Crescimento!#REF!*Crescimento!#REF!)</f>
        <v>#REF!</v>
      </c>
      <c r="X65" s="16" t="e">
        <f>(Y64+(Crescimento!#REF!-(Y64*0.64))/0.8)/1000</f>
        <v>#REF!</v>
      </c>
      <c r="Y65" s="17" t="e">
        <f>-53.07 + (304.89 * (X65)) + (90.79 *Crescimento!#REF!) - (3.13 * Crescimento!#REF!*Crescimento!#REF!)</f>
        <v>#REF!</v>
      </c>
      <c r="Z65" s="6"/>
      <c r="AA65" s="16" t="e">
        <f>(AB64+(Crescimento!#REF!-(AB64*0.64))/0.8)/1000</f>
        <v>#REF!</v>
      </c>
      <c r="AB65" s="17" t="e">
        <f>-53.07 + (304.89 * (AA65)) + (90.79 *Crescimento!#REF!) - (3.13 * Crescimento!#REF!*Crescimento!#REF!)</f>
        <v>#REF!</v>
      </c>
      <c r="AC65" s="6"/>
      <c r="AD65" s="16" t="e">
        <f>(AE64+(Crescimento!#REF!-(AE64*0.64))/0.8)/1000</f>
        <v>#REF!</v>
      </c>
      <c r="AE65" s="17" t="e">
        <f>-53.07 + (304.89 * (AD65)) + (90.79 *Crescimento!#REF!) - (3.13 * Crescimento!#REF!*Crescimento!#REF!)</f>
        <v>#REF!</v>
      </c>
      <c r="AF65" s="17"/>
      <c r="AG65" s="16" t="e">
        <f>(AH64+(Crescimento!#REF!-(AH64*0.64))/0.8)/1000</f>
        <v>#REF!</v>
      </c>
      <c r="AH65" s="17" t="e">
        <f>-53.07 + (304.89 * (AG65)) + (90.79 *Crescimento!#REF!) - (3.13 * Crescimento!#REF!*Crescimento!#REF!)</f>
        <v>#REF!</v>
      </c>
      <c r="AJ65" s="16" t="e">
        <f>(AK64+(Crescimento!#REF!-(AK64*0.64))/0.8)/1000</f>
        <v>#REF!</v>
      </c>
      <c r="AK65" s="17" t="e">
        <f>-53.07 + (304.89 * (AJ65)) + (90.79 *Crescimento!#REF!) - (3.13 * Crescimento!#REF!*Crescimento!#REF!)</f>
        <v>#REF!</v>
      </c>
      <c r="AM65" s="16" t="e">
        <f>(AN64+(Crescimento!#REF!-(AN64*0.64))/0.8)/1000</f>
        <v>#REF!</v>
      </c>
      <c r="AN65" s="17" t="e">
        <f>-53.07 + (304.89 * (AM65)) + (90.79 *Crescimento!#REF!) - (3.13 * Crescimento!#REF!*Crescimento!#REF!)</f>
        <v>#REF!</v>
      </c>
      <c r="AP65" s="16" t="e">
        <f>(AQ64+(Crescimento!#REF!-(AQ64*0.64))/0.8)/1000</f>
        <v>#REF!</v>
      </c>
      <c r="AQ65" s="17" t="e">
        <f>-53.07 + (304.89 * (AP65)) + (90.79 *Crescimento!#REF!) - (3.13 * Crescimento!#REF!*Crescimento!#REF!)</f>
        <v>#REF!</v>
      </c>
      <c r="AS65" s="16" t="e">
        <f>(AT64+(Crescimento!#REF!-(AT64*0.64))/0.8)/1000</f>
        <v>#REF!</v>
      </c>
      <c r="AT65" s="17" t="e">
        <f>-53.07 + (304.89 * (AS65)) + (90.79 *Crescimento!#REF!) - (3.13 * Crescimento!#REF!*Crescimento!#REF!)</f>
        <v>#REF!</v>
      </c>
      <c r="AV65" s="16" t="e">
        <f>(AW64+(Crescimento!#REF!-(AW64*0.64))/0.8)/1000</f>
        <v>#REF!</v>
      </c>
      <c r="AW65" s="17" t="e">
        <f>-53.07 + (304.89 * (AV65)) + (90.79 *Crescimento!#REF!) - (3.13 * Crescimento!#REF!*Crescimento!#REF!)</f>
        <v>#REF!</v>
      </c>
      <c r="AY65" s="21" t="e">
        <f>((AZ64+(Crescimento!#REF!-(AZ64*0.64))/0.8)/1000)-Crescimento!#REF!</f>
        <v>#REF!</v>
      </c>
      <c r="AZ65" s="22" t="e">
        <f>-53.07 + (304.89 * (AY65)) + (90.79 *(Crescimento!#REF!-Crescimento!#REF!)) - (3.13 * (Crescimento!#REF!-Crescimento!#REF!)^2)</f>
        <v>#REF!</v>
      </c>
      <c r="BA65" s="23"/>
      <c r="BB65" s="21" t="e">
        <f>((BC64+(Crescimento!#REF!-(BC64*0.64))/0.8)/1000)-Crescimento!#REF!</f>
        <v>#REF!</v>
      </c>
      <c r="BC65" s="22" t="e">
        <f>-53.07 + (304.89 * (BB65)) + (90.79 *(Crescimento!#REF!-Crescimento!#REF!)) - (3.13 * (Crescimento!#REF!-Crescimento!#REF!)^2)</f>
        <v>#REF!</v>
      </c>
      <c r="BD65" s="23"/>
      <c r="BE65" s="21" t="e">
        <f>((BF64+(Crescimento!#REF!-(BF64*0.64))/0.8)/1000)-Crescimento!#REF!</f>
        <v>#REF!</v>
      </c>
      <c r="BF65" s="22" t="e">
        <f>-53.07 + (304.89 * (BE65)) + (90.79 *(Crescimento!#REF!-Crescimento!#REF!)) - (3.13 * (Crescimento!#REF!-Crescimento!#REF!)^2)</f>
        <v>#REF!</v>
      </c>
      <c r="BG65" s="23"/>
      <c r="BH65" s="21" t="e">
        <f>((BI64+(Crescimento!#REF!-(BI64*0.64))/0.8)/1000)-Crescimento!#REF!</f>
        <v>#REF!</v>
      </c>
      <c r="BI65" s="22" t="e">
        <f>-53.07 + (304.89 * (BH65)) + (90.79 *(Crescimento!#REF!-Crescimento!#REF!)) - (3.13 * (Crescimento!#REF!-Crescimento!#REF!)^2)</f>
        <v>#REF!</v>
      </c>
      <c r="BJ65" s="23"/>
      <c r="BK65" s="21" t="e">
        <f>((BL64+(Crescimento!#REF!-(BL64*0.64))/0.8)/1000)-Crescimento!#REF!</f>
        <v>#REF!</v>
      </c>
      <c r="BL65" s="22" t="e">
        <f>-53.07 + (304.89 * (BK65)) + (90.79 *(Crescimento!#REF!-Crescimento!#REF!)) - (3.13 * (Crescimento!#REF!-Crescimento!#REF!)^2)</f>
        <v>#REF!</v>
      </c>
      <c r="BM65" s="23"/>
      <c r="BN65" s="21" t="e">
        <f>((BO64+(Crescimento!#REF!-(BO64*0.64))/0.8)/1000)-Crescimento!#REF!</f>
        <v>#REF!</v>
      </c>
      <c r="BO65" s="22" t="e">
        <f>-53.07 + (304.89 * (BN65)) + (90.79 *(Crescimento!#REF!-Crescimento!#REF!)) - (3.13 * (Crescimento!#REF!-Crescimento!#REF!)^2)</f>
        <v>#REF!</v>
      </c>
      <c r="BP65" s="23"/>
      <c r="BQ65" s="21" t="e">
        <f>((BR64+(Crescimento!#REF!-(BR64*0.64))/0.8)/1000)-Crescimento!#REF!</f>
        <v>#REF!</v>
      </c>
      <c r="BR65" s="22" t="e">
        <f>-53.07 + (304.89 * (BQ65)) + (90.79 *(Crescimento!#REF!-Crescimento!#REF!)) - (3.13 * (Crescimento!#REF!-Crescimento!#REF!)^2)</f>
        <v>#REF!</v>
      </c>
      <c r="BS65" s="23"/>
      <c r="BT65" s="21" t="e">
        <f>((BU64+(Crescimento!#REF!-(BU64*0.64))/0.8)/1000)-Crescimento!#REF!</f>
        <v>#REF!</v>
      </c>
      <c r="BU65" s="22" t="e">
        <f>-53.07 + (304.89 * (BT65)) + (90.79 *(Crescimento!#REF!-Crescimento!#REF!)) - (3.13 * (Crescimento!#REF!-Crescimento!#REF!)^2)</f>
        <v>#REF!</v>
      </c>
      <c r="BV65" s="23"/>
      <c r="BW65" s="21" t="e">
        <f>((BX64+(Crescimento!#REF!-(BX64*0.64))/0.8)/1000)-Crescimento!#REF!</f>
        <v>#REF!</v>
      </c>
      <c r="BX65" s="22" t="e">
        <f>-53.07 + (304.89 * (BW65)) + (90.79 *(Crescimento!#REF!-Crescimento!#REF!)) - (3.13 * (Crescimento!#REF!-Crescimento!#REF!)^2)</f>
        <v>#REF!</v>
      </c>
      <c r="BY65" s="23"/>
      <c r="BZ65" s="21" t="e">
        <f>((CA64+(Crescimento!#REF!-(CA64*0.64))/0.8)/1000)-Crescimento!#REF!</f>
        <v>#REF!</v>
      </c>
      <c r="CA65" s="22" t="e">
        <f>-53.07 + (304.89 * (BZ65)) + (90.79 *(Crescimento!#REF!-Crescimento!#REF!)) - (3.13 * (Crescimento!#REF!-Crescimento!#REF!)^2)</f>
        <v>#REF!</v>
      </c>
      <c r="CB65" s="23"/>
      <c r="CC65" s="21" t="e">
        <f>((CD64+(Crescimento!#REF!-(CD64*0.64))/0.8)/1000)-Crescimento!#REF!</f>
        <v>#REF!</v>
      </c>
      <c r="CD65" s="22" t="e">
        <f>-53.07 + (304.89 * (CC65)) + (90.79 *(Crescimento!#REF!-Crescimento!#REF!)) - (3.13 * (Crescimento!#REF!-Crescimento!#REF!)^2)</f>
        <v>#REF!</v>
      </c>
      <c r="CE65" s="23"/>
      <c r="CF65" s="21" t="e">
        <f>((CG64+(Crescimento!#REF!-(CG64*0.64))/0.8)/1000)-Crescimento!#REF!</f>
        <v>#REF!</v>
      </c>
      <c r="CG65" s="22" t="e">
        <f>-53.07 + (304.89 * (CF65)) + (90.79 *(Crescimento!#REF!-Crescimento!#REF!)) - (3.13 * (Crescimento!#REF!-Crescimento!#REF!)^2)</f>
        <v>#REF!</v>
      </c>
      <c r="CH65" s="23"/>
      <c r="CI65" s="21" t="e">
        <f>((CJ64+(Crescimento!#REF!-(CJ64*0.64))/0.8)/1000)-Crescimento!#REF!</f>
        <v>#REF!</v>
      </c>
      <c r="CJ65" s="22" t="e">
        <f>-53.07 + (304.89 * (CI65)) + (90.79 *(Crescimento!#REF!-Crescimento!#REF!)) - (3.13 * (Crescimento!#REF!-Crescimento!#REF!)^2)</f>
        <v>#REF!</v>
      </c>
      <c r="CK65" s="23"/>
      <c r="CL65" s="21" t="e">
        <f>((CM64+(Crescimento!#REF!-(CM64*0.64))/0.8)/1000)-Crescimento!#REF!</f>
        <v>#REF!</v>
      </c>
      <c r="CM65" s="22" t="e">
        <f>-53.07 + (304.89 * (CL65)) + (90.79 *(Crescimento!#REF!-Crescimento!#REF!)) - (3.13 * (Crescimento!#REF!-Crescimento!#REF!)^2)</f>
        <v>#REF!</v>
      </c>
      <c r="CN65" s="23"/>
      <c r="CO65" s="21" t="e">
        <f>((CP64+(Crescimento!#REF!-(CP64*0.64))/0.8)/1000)-Crescimento!#REF!</f>
        <v>#REF!</v>
      </c>
      <c r="CP65" s="22" t="e">
        <f>-53.07 + (304.89 * (CO65)) + (90.79 *(Crescimento!#REF!-Crescimento!#REF!)) - (3.13 * (Crescimento!#REF!-Crescimento!#REF!)^2)</f>
        <v>#REF!</v>
      </c>
      <c r="CQ65" s="23"/>
      <c r="CR65" s="21" t="e">
        <f>((CS64+(Crescimento!#REF!-(CS64*0.64))/0.8)/1000)-Crescimento!#REF!</f>
        <v>#REF!</v>
      </c>
      <c r="CS65" s="22" t="e">
        <f>-53.07 + (304.89 * (CR65)) + (90.79 *(Crescimento!#REF!-Crescimento!#REF!)) - (3.13 * (Crescimento!#REF!-Crescimento!#REF!)^2)</f>
        <v>#REF!</v>
      </c>
      <c r="CX65" s="16" t="e">
        <f>((CY64+(Crescimento!#REF!-(CY64*0.64))/0.8)/1000)-Crescimento!#REF!</f>
        <v>#REF!</v>
      </c>
      <c r="CY65" s="17" t="e">
        <f>-53.07 + (304.89 * (CX65)) + (90.79 *(Crescimento!#REF!-Crescimento!#REF!)) - (3.13 * (Crescimento!#REF!-Crescimento!#REF!)^2)</f>
        <v>#REF!</v>
      </c>
      <c r="DA65" s="16" t="e">
        <f>((DB64+(Crescimento!#REF!-(DB64*0.64))/0.8)/1000)-Crescimento!#REF!</f>
        <v>#REF!</v>
      </c>
      <c r="DB65" s="17" t="e">
        <f>-53.07 + (304.89 * (DA65)) + (90.79 *(Crescimento!#REF!-Crescimento!#REF!)) - (3.13 * (Crescimento!#REF!-Crescimento!#REF!)^2)</f>
        <v>#REF!</v>
      </c>
      <c r="DD65" s="16" t="e">
        <f>(DE64+(Crescimento!#REF!-(DE64*0.64))/0.8)/1000</f>
        <v>#REF!</v>
      </c>
      <c r="DE65" s="17" t="e">
        <f>-53.07 + (304.89 * (DD65)) + (90.79 *Crescimento!#REF!) - (3.13 * Crescimento!#REF!*Crescimento!#REF!)</f>
        <v>#REF!</v>
      </c>
      <c r="DG65" s="16" t="e">
        <f>((DH64+(Crescimento!#REF!-(DH64*0.64))/0.8)/1000)-Crescimento!#REF!</f>
        <v>#REF!</v>
      </c>
      <c r="DH65" s="17" t="e">
        <f>-53.07 + (304.89 * (DG65)) + (90.79 *(Crescimento!#REF!-Crescimento!#REF!)) - (3.13 * (Crescimento!#REF!-Crescimento!#REF!)^2)</f>
        <v>#REF!</v>
      </c>
      <c r="DJ65" s="16" t="e">
        <f>((DK64+(Crescimento!#REF!-(DK64*0.64))/0.8)/1000)-Crescimento!#REF!</f>
        <v>#REF!</v>
      </c>
      <c r="DK65" s="17" t="e">
        <f>-53.07 + (304.89 * (DJ65)) + (90.79 *(Crescimento!#REF!-Crescimento!#REF!)) - (3.13 * (Crescimento!#REF!-Crescimento!#REF!)^2)</f>
        <v>#REF!</v>
      </c>
      <c r="DM65" s="16" t="e">
        <f>((DN64+(Crescimento!#REF!-(DN64*0.64))/0.8)/1000)-Crescimento!#REF!</f>
        <v>#REF!</v>
      </c>
      <c r="DN65" s="17" t="e">
        <f>-53.07 + (304.89 * (DM65)) + (90.79 *(Crescimento!#REF!-Crescimento!#REF!)) - (3.13 * (Crescimento!#REF!-Crescimento!#REF!)^2)</f>
        <v>#REF!</v>
      </c>
      <c r="DP65" s="16" t="e">
        <f>(DQ64+(Crescimento!#REF!-(DQ64*0.64))/0.8)/1000</f>
        <v>#REF!</v>
      </c>
      <c r="DQ65" s="17" t="e">
        <f>-53.07 + (304.89 * (DP65)) + (90.79 *(Crescimento!#REF!-Crescimento!#REF!)) - (3.13 * (Crescimento!#REF!-Crescimento!#REF!)^2)</f>
        <v>#REF!</v>
      </c>
      <c r="DS65" s="16" t="e">
        <f>((DT64+(Crescimento!#REF!-(DT64*0.64))/0.8)/1000)-Crescimento!#REF!</f>
        <v>#REF!</v>
      </c>
      <c r="DT65" s="17" t="e">
        <f>-53.07 + (304.89 * (DS65)) + (90.79 *(Crescimento!#REF!-Crescimento!#REF!)) - (3.13 * (Crescimento!#REF!-Crescimento!#REF!)^2)</f>
        <v>#REF!</v>
      </c>
      <c r="DV65" s="16" t="e">
        <f>((DW64+(Crescimento!#REF!-(DW64*0.64))/0.8)/1000)-Crescimento!#REF!</f>
        <v>#REF!</v>
      </c>
      <c r="DW65" s="17" t="e">
        <f>-53.07 + (304.89 * (DV65)) + (90.79 *(Crescimento!#REF!-Crescimento!#REF!)) - (3.13 * (Crescimento!#REF!-Crescimento!#REF!)^2)</f>
        <v>#REF!</v>
      </c>
      <c r="DY65" s="16" t="e">
        <f>((DZ64+(Crescimento!#REF!-(DZ64*0.64))/0.8)/1000)-Crescimento!#REF!</f>
        <v>#REF!</v>
      </c>
      <c r="DZ65" s="17" t="e">
        <f>-53.07 + (304.89 * (DY65)) + (90.79 *(Crescimento!#REF!-Crescimento!#REF!)) - (3.13 * (Crescimento!#REF!-Crescimento!#REF!)^2)</f>
        <v>#REF!</v>
      </c>
      <c r="EB65" s="16" t="e">
        <f>((EC64+(Crescimento!#REF!-(EC64*0.64))/0.8)/1000)-Crescimento!#REF!</f>
        <v>#REF!</v>
      </c>
      <c r="EC65" s="17" t="e">
        <f>-53.07 + (304.89 * (EB65)) + (90.79 *(Crescimento!#REF!-Crescimento!#REF!)) - (3.13 * (Crescimento!#REF!-Crescimento!#REF!)^2)</f>
        <v>#REF!</v>
      </c>
      <c r="EE65" s="16" t="e">
        <f>((EF64+(Crescimento!#REF!-(EF64*0.64))/0.8)/1000)-Crescimento!#REF!</f>
        <v>#REF!</v>
      </c>
      <c r="EF65" s="17" t="e">
        <f>-53.07 + (304.89 * (EE65)) + (90.79 *(Crescimento!#REF!-Crescimento!#REF!)) - (3.13 * (Crescimento!#REF!-Crescimento!#REF!)^2)</f>
        <v>#REF!</v>
      </c>
      <c r="EH65" s="16" t="e">
        <f>((EI64+(Crescimento!#REF!-(EI64*0.64))/0.8)/1000)-Crescimento!#REF!</f>
        <v>#REF!</v>
      </c>
      <c r="EI65" s="17" t="e">
        <f>-53.07 + (304.89 * (EH65)) + (90.79 *(Crescimento!#REF!-Crescimento!#REF!)) - (3.13 * (Crescimento!#REF!-Crescimento!#REF!)^2)</f>
        <v>#REF!</v>
      </c>
      <c r="EK65" s="16" t="e">
        <f>((EL64+(Crescimento!#REF!-(EL64*0.64))/0.8)/1000)-Crescimento!#REF!</f>
        <v>#REF!</v>
      </c>
      <c r="EL65" s="17" t="e">
        <f>-53.07 + (304.89 * (EK65)) + (90.79 *(Crescimento!#REF!-Crescimento!#REF!)) - (3.13 * (Crescimento!#REF!-Crescimento!#REF!)^2)</f>
        <v>#REF!</v>
      </c>
      <c r="EN65" s="16" t="e">
        <f>((EO64+(Crescimento!#REF!-(EO64*0.64))/0.8)/1000)-Crescimento!#REF!</f>
        <v>#REF!</v>
      </c>
      <c r="EO65" s="17" t="e">
        <f>-53.07 + (304.89 * (EN65)) + (90.79 *(Crescimento!#REF!-Crescimento!#REF!)) - (3.13 * (Crescimento!#REF!-Crescimento!#REF!)^2)</f>
        <v>#REF!</v>
      </c>
      <c r="EQ65" s="16" t="e">
        <f>((ER64+(Crescimento!#REF!-(ER64*0.64))/0.8)/1000)-Crescimento!#REF!</f>
        <v>#REF!</v>
      </c>
      <c r="ER65" s="17" t="e">
        <f>-53.07 + (304.89 * (EQ65)) + (90.79 *(Crescimento!#REF!-Crescimento!#REF!)) - (3.13 * (Crescimento!#REF!-Crescimento!#REF!)^2)</f>
        <v>#REF!</v>
      </c>
      <c r="ET65" s="16" t="e">
        <f>((EU64+(Crescimento!#REF!-(EU64*0.64))/0.8)/1000)-Crescimento!#REF!</f>
        <v>#REF!</v>
      </c>
      <c r="EU65" s="17" t="e">
        <f>-53.07 + (304.89 * (ET65)) + (90.79 *(Crescimento!#REF!-Crescimento!#REF!)) - (3.13 * (Crescimento!#REF!-Crescimento!#REF!)^2)</f>
        <v>#REF!</v>
      </c>
      <c r="EW65" s="16" t="e">
        <f>((EX64+('Vacas e Bezerros'!#REF!-(EX64*0.64))/0.8)/1000)-'Vacas e Bezerros'!#REF!</f>
        <v>#REF!</v>
      </c>
      <c r="EX65" s="17" t="e">
        <f>-53.07 + (304.89 * (EW65)) + (90.79 *('Vacas e Bezerros'!#REF!-'Vacas e Bezerros'!#REF!)) - (3.13 * ('Vacas e Bezerros'!#REF!-'Vacas e Bezerros'!#REF!)^2)</f>
        <v>#REF!</v>
      </c>
      <c r="EZ65" s="16" t="e">
        <f>((FA64+('Vacas e Bezerros'!#REF!-(FA64*0.64))/0.8)/1000)-'Vacas e Bezerros'!#REF!</f>
        <v>#REF!</v>
      </c>
      <c r="FA65" s="17" t="e">
        <f>-53.07 + (304.89 * (EZ65)) + (90.79 *('Vacas e Bezerros'!#REF!-'Vacas e Bezerros'!#REF!)) - (3.13 * ('Vacas e Bezerros'!#REF!-'Vacas e Bezerros'!#REF!)^2)</f>
        <v>#REF!</v>
      </c>
      <c r="FC65" s="16" t="e">
        <f>((FD64+('Vacas e Bezerros'!#REF!-(FD64*0.64))/0.8)/1000)-'Vacas e Bezerros'!#REF!</f>
        <v>#REF!</v>
      </c>
      <c r="FD65" s="17" t="e">
        <f>-53.07 + (304.89 * (FC65)) + (90.79 *('Vacas e Bezerros'!#REF!-'Vacas e Bezerros'!#REF!)) - (3.13 * ('Vacas e Bezerros'!#REF!-'Vacas e Bezerros'!#REF!)^2)</f>
        <v>#REF!</v>
      </c>
      <c r="FF65" s="16" t="e">
        <f>((FG64+('Vacas e Bezerros'!#REF!-(FG64*0.64))/0.8)/1000)-'Vacas e Bezerros'!#REF!</f>
        <v>#REF!</v>
      </c>
      <c r="FG65" s="17" t="e">
        <f>-53.07 + (304.89 * (FF65)) + (90.79 *('Vacas e Bezerros'!#REF!-'Vacas e Bezerros'!#REF!)) - (3.13 * ('Vacas e Bezerros'!#REF!-'Vacas e Bezerros'!#REF!)^2)</f>
        <v>#REF!</v>
      </c>
      <c r="FI65" s="16" t="e">
        <f>((FJ64+('Vacas e Bezerros'!#REF!-(FJ64*0.64))/0.8)/1000)-'Vacas e Bezerros'!#REF!</f>
        <v>#REF!</v>
      </c>
      <c r="FJ65" s="17" t="e">
        <f>-53.07 + (304.89 * (FI65)) + (90.79 *('Vacas e Bezerros'!#REF!-'Vacas e Bezerros'!#REF!)) - (3.13 * ('Vacas e Bezerros'!#REF!-'Vacas e Bezerros'!#REF!)^2)</f>
        <v>#REF!</v>
      </c>
      <c r="FL65" s="16" t="e">
        <f>((FM64+('Vacas e Bezerros'!#REF!-(FM64*0.64))/0.8)/1000)-'Vacas e Bezerros'!#REF!</f>
        <v>#REF!</v>
      </c>
      <c r="FM65" s="17" t="e">
        <f>-53.07 + (304.89 * (FL65)) + (90.79 *('Vacas e Bezerros'!#REF!-'Vacas e Bezerros'!#REF!)) - (3.13 * ('Vacas e Bezerros'!#REF!-'Vacas e Bezerros'!#REF!)^2)</f>
        <v>#REF!</v>
      </c>
      <c r="FO65" s="16" t="e">
        <f>((FP64+('Vacas e Bezerros'!#REF!-(FP64*0.64))/0.8)/1000)-'Vacas e Bezerros'!#REF!</f>
        <v>#REF!</v>
      </c>
      <c r="FP65" s="17" t="e">
        <f>-53.07 + (304.89 * (FO65)) + (90.79 *('Vacas e Bezerros'!#REF!-'Vacas e Bezerros'!#REF!)) - (3.13 * ('Vacas e Bezerros'!#REF!-'Vacas e Bezerros'!#REF!)^2)</f>
        <v>#REF!</v>
      </c>
      <c r="FR65" s="16" t="e">
        <f>((FS64+('Vacas e Bezerros'!#REF!-(FS64*0.64))/0.8)/1000)-'Vacas e Bezerros'!#REF!</f>
        <v>#REF!</v>
      </c>
      <c r="FS65" s="17" t="e">
        <f>-53.07 + (304.89 * (FR65)) + (90.79 *('Vacas e Bezerros'!#REF!-'Vacas e Bezerros'!#REF!)) - (3.13 * ('Vacas e Bezerros'!#REF!-'Vacas e Bezerros'!#REF!)^2)</f>
        <v>#REF!</v>
      </c>
      <c r="FU65" s="16" t="e">
        <f>((FV64+('Vacas e Bezerros'!#REF!-(FV64*0.64))/0.8)/1000)-'Vacas e Bezerros'!#REF!</f>
        <v>#REF!</v>
      </c>
      <c r="FV65" s="17" t="e">
        <f>-53.07 + (304.89 * (FU65)) + (90.79 *('Vacas e Bezerros'!#REF!-'Vacas e Bezerros'!#REF!)) - (3.13 * ('Vacas e Bezerros'!#REF!-'Vacas e Bezerros'!#REF!)^2)</f>
        <v>#REF!</v>
      </c>
      <c r="FX65" s="16" t="e">
        <f>((FY64+('Vacas e Bezerros'!#REF!-(FY64*0.64))/0.8)/1000)-'Vacas e Bezerros'!#REF!</f>
        <v>#REF!</v>
      </c>
      <c r="FY65" s="17" t="e">
        <f>-53.07 + (304.89 * (FX65)) + (90.79 *('Vacas e Bezerros'!#REF!-'Vacas e Bezerros'!#REF!)) - (3.13 * ('Vacas e Bezerros'!#REF!-'Vacas e Bezerros'!#REF!)^2)</f>
        <v>#REF!</v>
      </c>
      <c r="GA65" s="16" t="e">
        <f>((GB64+('Vacas e Bezerros'!#REF!-(GB64*0.64))/0.8)/1000)-'Vacas e Bezerros'!#REF!</f>
        <v>#REF!</v>
      </c>
      <c r="GB65" s="17" t="e">
        <f>-53.07 + (304.89 * (GA65)) + (90.79 *('Vacas e Bezerros'!#REF!-'Vacas e Bezerros'!#REF!)) - (3.13 * ('Vacas e Bezerros'!#REF!-'Vacas e Bezerros'!#REF!)^2)</f>
        <v>#REF!</v>
      </c>
      <c r="GD65" s="16" t="e">
        <f>((GE64+('Vacas e Bezerros'!#REF!-(GE64*0.64))/0.8)/1000)-'Vacas e Bezerros'!#REF!</f>
        <v>#REF!</v>
      </c>
      <c r="GE65" s="17" t="e">
        <f>-53.07 + (304.89 * (GD65)) + (90.79 *('Vacas e Bezerros'!#REF!-'Vacas e Bezerros'!#REF!)) - (3.13 * ('Vacas e Bezerros'!#REF!-'Vacas e Bezerros'!#REF!)^2)</f>
        <v>#REF!</v>
      </c>
      <c r="GG65" s="16" t="e">
        <f>((GH64+('Vacas e Bezerros'!#REF!-(GH64*0.64))/0.8)/1000)-'Vacas e Bezerros'!#REF!</f>
        <v>#REF!</v>
      </c>
      <c r="GH65" s="17" t="e">
        <f>-53.07 + (304.89 * (GG65)) + (90.79 *('Vacas e Bezerros'!#REF!-'Vacas e Bezerros'!#REF!)) - (3.13 * ('Vacas e Bezerros'!#REF!-'Vacas e Bezerros'!#REF!)^2)</f>
        <v>#REF!</v>
      </c>
      <c r="GJ65" s="16" t="e">
        <f>((GK64+('Vacas e Bezerros'!#REF!-(GK64*0.64))/0.8)/1000)-'Vacas e Bezerros'!#REF!</f>
        <v>#REF!</v>
      </c>
      <c r="GK65" s="17" t="e">
        <f>-53.07 + (304.89 * (GJ65)) + (90.79 *('Vacas e Bezerros'!#REF!-'Vacas e Bezerros'!#REF!)) - (3.13 * ('Vacas e Bezerros'!#REF!-'Vacas e Bezerros'!#REF!)^2)</f>
        <v>#REF!</v>
      </c>
      <c r="GM65" s="16" t="e">
        <f>((GN64+('Vacas e Bezerros'!#REF!-(GN64*0.64))/0.8)/1000)-'Vacas e Bezerros'!#REF!</f>
        <v>#REF!</v>
      </c>
      <c r="GN65" s="17" t="e">
        <f>-53.07 + (304.89 * (GM65)) + (90.79 *('Vacas e Bezerros'!#REF!-'Vacas e Bezerros'!#REF!)) - (3.13 * ('Vacas e Bezerros'!#REF!-'Vacas e Bezerros'!#REF!)^2)</f>
        <v>#REF!</v>
      </c>
    </row>
    <row r="66" spans="3:196" x14ac:dyDescent="0.25">
      <c r="C66" s="16">
        <f>(D65+('Vacas e Bezerros'!$AA$28-(D65*0.64))/0.8)/1000</f>
        <v>0.35719668016155687</v>
      </c>
      <c r="D66" s="17">
        <f>-53.07 + (304.89 * (C66-'Vacas e Bezerros'!$C$206)) + (90.79 *('Vacas e Bezerros'!$AA$22)) - (3.13 *('Vacas e Bezerros'!$AA$22)^2)</f>
        <v>165.01876457544017</v>
      </c>
      <c r="F66" s="16" t="e">
        <f>(G65+(Crescimento!#REF!-(G65*0.64))/0.8)/1000</f>
        <v>#REF!</v>
      </c>
      <c r="G66" s="17" t="e">
        <f>-53.07 + (304.89 * (F66)) + (90.79 *Crescimento!#REF!) - (3.13 * Crescimento!#REF!*Crescimento!#REF!)</f>
        <v>#REF!</v>
      </c>
      <c r="H66" s="1"/>
      <c r="I66" s="16" t="e">
        <f>(J65+(Crescimento!#REF!-(J65*0.64))/0.8)/1000</f>
        <v>#REF!</v>
      </c>
      <c r="J66" s="17" t="e">
        <f>-53.07 + (304.89 * (I66)) + (90.79 *Crescimento!#REF!) - (3.13 * Crescimento!#REF!*Crescimento!#REF!)</f>
        <v>#REF!</v>
      </c>
      <c r="L66" s="16" t="e">
        <f>(M65+(Crescimento!#REF!-(M65*0.64))/0.8)/1000</f>
        <v>#REF!</v>
      </c>
      <c r="M66" s="17" t="e">
        <f>-53.07 + (304.89 * (L66)) + (90.79 *Crescimento!#REF!) - (3.13 * Crescimento!#REF!*Crescimento!#REF!)</f>
        <v>#REF!</v>
      </c>
      <c r="O66" s="16" t="e">
        <f>(P65+(Crescimento!#REF!-(P65*0.64))/0.8)/1000</f>
        <v>#REF!</v>
      </c>
      <c r="P66" s="17" t="e">
        <f>-53.07 + (304.89 * (O66)) + (90.79 *Crescimento!#REF!) - (3.13 * Crescimento!#REF!*Crescimento!#REF!)</f>
        <v>#REF!</v>
      </c>
      <c r="R66" s="16" t="e">
        <f>(S65+(Crescimento!#REF!-(S65*0.64))/0.8)/1000</f>
        <v>#REF!</v>
      </c>
      <c r="S66" s="17" t="e">
        <f>-53.07 + (304.89 * (R66)) + (90.79 *Crescimento!#REF!) - (3.13 * Crescimento!#REF!*Crescimento!#REF!)</f>
        <v>#REF!</v>
      </c>
      <c r="U66" s="16" t="e">
        <f>(V65+(Crescimento!#REF!-(V65*0.64))/0.8)/1000</f>
        <v>#REF!</v>
      </c>
      <c r="V66" s="17" t="e">
        <f>-53.07 + (304.89 * (U66)) + (90.79 *Crescimento!#REF!) - (3.13 * Crescimento!#REF!*Crescimento!#REF!)</f>
        <v>#REF!</v>
      </c>
      <c r="X66" s="16" t="e">
        <f>(Y65+(Crescimento!#REF!-(Y65*0.64))/0.8)/1000</f>
        <v>#REF!</v>
      </c>
      <c r="Y66" s="17" t="e">
        <f>-53.07 + (304.89 * (X66)) + (90.79 *Crescimento!#REF!) - (3.13 * Crescimento!#REF!*Crescimento!#REF!)</f>
        <v>#REF!</v>
      </c>
      <c r="Z66" s="6"/>
      <c r="AA66" s="16" t="e">
        <f>(AB65+(Crescimento!#REF!-(AB65*0.64))/0.8)/1000</f>
        <v>#REF!</v>
      </c>
      <c r="AB66" s="17" t="e">
        <f>-53.07 + (304.89 * (AA66)) + (90.79 *Crescimento!#REF!) - (3.13 * Crescimento!#REF!*Crescimento!#REF!)</f>
        <v>#REF!</v>
      </c>
      <c r="AC66" s="6"/>
      <c r="AD66" s="16" t="e">
        <f>(AE65+(Crescimento!#REF!-(AE65*0.64))/0.8)/1000</f>
        <v>#REF!</v>
      </c>
      <c r="AE66" s="17" t="e">
        <f>-53.07 + (304.89 * (AD66)) + (90.79 *Crescimento!#REF!) - (3.13 * Crescimento!#REF!*Crescimento!#REF!)</f>
        <v>#REF!</v>
      </c>
      <c r="AF66" s="17"/>
      <c r="AG66" s="16" t="e">
        <f>(AH65+(Crescimento!#REF!-(AH65*0.64))/0.8)/1000</f>
        <v>#REF!</v>
      </c>
      <c r="AH66" s="17" t="e">
        <f>-53.07 + (304.89 * (AG66)) + (90.79 *Crescimento!#REF!) - (3.13 * Crescimento!#REF!*Crescimento!#REF!)</f>
        <v>#REF!</v>
      </c>
      <c r="AJ66" s="16" t="e">
        <f>(AK65+(Crescimento!#REF!-(AK65*0.64))/0.8)/1000</f>
        <v>#REF!</v>
      </c>
      <c r="AK66" s="17" t="e">
        <f>-53.07 + (304.89 * (AJ66)) + (90.79 *Crescimento!#REF!) - (3.13 * Crescimento!#REF!*Crescimento!#REF!)</f>
        <v>#REF!</v>
      </c>
      <c r="AM66" s="16" t="e">
        <f>(AN65+(Crescimento!#REF!-(AN65*0.64))/0.8)/1000</f>
        <v>#REF!</v>
      </c>
      <c r="AN66" s="17" t="e">
        <f>-53.07 + (304.89 * (AM66)) + (90.79 *Crescimento!#REF!) - (3.13 * Crescimento!#REF!*Crescimento!#REF!)</f>
        <v>#REF!</v>
      </c>
      <c r="AP66" s="16" t="e">
        <f>(AQ65+(Crescimento!#REF!-(AQ65*0.64))/0.8)/1000</f>
        <v>#REF!</v>
      </c>
      <c r="AQ66" s="17" t="e">
        <f>-53.07 + (304.89 * (AP66)) + (90.79 *Crescimento!#REF!) - (3.13 * Crescimento!#REF!*Crescimento!#REF!)</f>
        <v>#REF!</v>
      </c>
      <c r="AS66" s="16" t="e">
        <f>(AT65+(Crescimento!#REF!-(AT65*0.64))/0.8)/1000</f>
        <v>#REF!</v>
      </c>
      <c r="AT66" s="17" t="e">
        <f>-53.07 + (304.89 * (AS66)) + (90.79 *Crescimento!#REF!) - (3.13 * Crescimento!#REF!*Crescimento!#REF!)</f>
        <v>#REF!</v>
      </c>
      <c r="AV66" s="16" t="e">
        <f>(AW65+(Crescimento!#REF!-(AW65*0.64))/0.8)/1000</f>
        <v>#REF!</v>
      </c>
      <c r="AW66" s="17" t="e">
        <f>-53.07 + (304.89 * (AV66)) + (90.79 *Crescimento!#REF!) - (3.13 * Crescimento!#REF!*Crescimento!#REF!)</f>
        <v>#REF!</v>
      </c>
      <c r="AY66" s="21" t="e">
        <f>((AZ65+(Crescimento!#REF!-(AZ65*0.64))/0.8)/1000)-Crescimento!#REF!</f>
        <v>#REF!</v>
      </c>
      <c r="AZ66" s="22" t="e">
        <f>-53.07 + (304.89 * (AY66)) + (90.79 *(Crescimento!#REF!-Crescimento!#REF!)) - (3.13 * (Crescimento!#REF!-Crescimento!#REF!)^2)</f>
        <v>#REF!</v>
      </c>
      <c r="BA66" s="23"/>
      <c r="BB66" s="21" t="e">
        <f>((BC65+(Crescimento!#REF!-(BC65*0.64))/0.8)/1000)-Crescimento!#REF!</f>
        <v>#REF!</v>
      </c>
      <c r="BC66" s="22" t="e">
        <f>-53.07 + (304.89 * (BB66)) + (90.79 *(Crescimento!#REF!-Crescimento!#REF!)) - (3.13 * (Crescimento!#REF!-Crescimento!#REF!)^2)</f>
        <v>#REF!</v>
      </c>
      <c r="BD66" s="23"/>
      <c r="BE66" s="21" t="e">
        <f>((BF65+(Crescimento!#REF!-(BF65*0.64))/0.8)/1000)-Crescimento!#REF!</f>
        <v>#REF!</v>
      </c>
      <c r="BF66" s="22" t="e">
        <f>-53.07 + (304.89 * (BE66)) + (90.79 *(Crescimento!#REF!-Crescimento!#REF!)) - (3.13 * (Crescimento!#REF!-Crescimento!#REF!)^2)</f>
        <v>#REF!</v>
      </c>
      <c r="BG66" s="23"/>
      <c r="BH66" s="21" t="e">
        <f>((BI65+(Crescimento!#REF!-(BI65*0.64))/0.8)/1000)-Crescimento!#REF!</f>
        <v>#REF!</v>
      </c>
      <c r="BI66" s="22" t="e">
        <f>-53.07 + (304.89 * (BH66)) + (90.79 *(Crescimento!#REF!-Crescimento!#REF!)) - (3.13 * (Crescimento!#REF!-Crescimento!#REF!)^2)</f>
        <v>#REF!</v>
      </c>
      <c r="BJ66" s="23"/>
      <c r="BK66" s="21" t="e">
        <f>((BL65+(Crescimento!#REF!-(BL65*0.64))/0.8)/1000)-Crescimento!#REF!</f>
        <v>#REF!</v>
      </c>
      <c r="BL66" s="22" t="e">
        <f>-53.07 + (304.89 * (BK66)) + (90.79 *(Crescimento!#REF!-Crescimento!#REF!)) - (3.13 * (Crescimento!#REF!-Crescimento!#REF!)^2)</f>
        <v>#REF!</v>
      </c>
      <c r="BM66" s="23"/>
      <c r="BN66" s="21" t="e">
        <f>((BO65+(Crescimento!#REF!-(BO65*0.64))/0.8)/1000)-Crescimento!#REF!</f>
        <v>#REF!</v>
      </c>
      <c r="BO66" s="22" t="e">
        <f>-53.07 + (304.89 * (BN66)) + (90.79 *(Crescimento!#REF!-Crescimento!#REF!)) - (3.13 * (Crescimento!#REF!-Crescimento!#REF!)^2)</f>
        <v>#REF!</v>
      </c>
      <c r="BP66" s="23"/>
      <c r="BQ66" s="21" t="e">
        <f>((BR65+(Crescimento!#REF!-(BR65*0.64))/0.8)/1000)-Crescimento!#REF!</f>
        <v>#REF!</v>
      </c>
      <c r="BR66" s="22" t="e">
        <f>-53.07 + (304.89 * (BQ66)) + (90.79 *(Crescimento!#REF!-Crescimento!#REF!)) - (3.13 * (Crescimento!#REF!-Crescimento!#REF!)^2)</f>
        <v>#REF!</v>
      </c>
      <c r="BS66" s="23"/>
      <c r="BT66" s="21" t="e">
        <f>((BU65+(Crescimento!#REF!-(BU65*0.64))/0.8)/1000)-Crescimento!#REF!</f>
        <v>#REF!</v>
      </c>
      <c r="BU66" s="22" t="e">
        <f>-53.07 + (304.89 * (BT66)) + (90.79 *(Crescimento!#REF!-Crescimento!#REF!)) - (3.13 * (Crescimento!#REF!-Crescimento!#REF!)^2)</f>
        <v>#REF!</v>
      </c>
      <c r="BV66" s="23"/>
      <c r="BW66" s="21" t="e">
        <f>((BX65+(Crescimento!#REF!-(BX65*0.64))/0.8)/1000)-Crescimento!#REF!</f>
        <v>#REF!</v>
      </c>
      <c r="BX66" s="22" t="e">
        <f>-53.07 + (304.89 * (BW66)) + (90.79 *(Crescimento!#REF!-Crescimento!#REF!)) - (3.13 * (Crescimento!#REF!-Crescimento!#REF!)^2)</f>
        <v>#REF!</v>
      </c>
      <c r="BY66" s="23"/>
      <c r="BZ66" s="21" t="e">
        <f>((CA65+(Crescimento!#REF!-(CA65*0.64))/0.8)/1000)-Crescimento!#REF!</f>
        <v>#REF!</v>
      </c>
      <c r="CA66" s="22" t="e">
        <f>-53.07 + (304.89 * (BZ66)) + (90.79 *(Crescimento!#REF!-Crescimento!#REF!)) - (3.13 * (Crescimento!#REF!-Crescimento!#REF!)^2)</f>
        <v>#REF!</v>
      </c>
      <c r="CB66" s="23"/>
      <c r="CC66" s="21" t="e">
        <f>((CD65+(Crescimento!#REF!-(CD65*0.64))/0.8)/1000)-Crescimento!#REF!</f>
        <v>#REF!</v>
      </c>
      <c r="CD66" s="22" t="e">
        <f>-53.07 + (304.89 * (CC66)) + (90.79 *(Crescimento!#REF!-Crescimento!#REF!)) - (3.13 * (Crescimento!#REF!-Crescimento!#REF!)^2)</f>
        <v>#REF!</v>
      </c>
      <c r="CE66" s="23"/>
      <c r="CF66" s="21" t="e">
        <f>((CG65+(Crescimento!#REF!-(CG65*0.64))/0.8)/1000)-Crescimento!#REF!</f>
        <v>#REF!</v>
      </c>
      <c r="CG66" s="22" t="e">
        <f>-53.07 + (304.89 * (CF66)) + (90.79 *(Crescimento!#REF!-Crescimento!#REF!)) - (3.13 * (Crescimento!#REF!-Crescimento!#REF!)^2)</f>
        <v>#REF!</v>
      </c>
      <c r="CH66" s="23"/>
      <c r="CI66" s="21" t="e">
        <f>((CJ65+(Crescimento!#REF!-(CJ65*0.64))/0.8)/1000)-Crescimento!#REF!</f>
        <v>#REF!</v>
      </c>
      <c r="CJ66" s="22" t="e">
        <f>-53.07 + (304.89 * (CI66)) + (90.79 *(Crescimento!#REF!-Crescimento!#REF!)) - (3.13 * (Crescimento!#REF!-Crescimento!#REF!)^2)</f>
        <v>#REF!</v>
      </c>
      <c r="CK66" s="23"/>
      <c r="CL66" s="21" t="e">
        <f>((CM65+(Crescimento!#REF!-(CM65*0.64))/0.8)/1000)-Crescimento!#REF!</f>
        <v>#REF!</v>
      </c>
      <c r="CM66" s="22" t="e">
        <f>-53.07 + (304.89 * (CL66)) + (90.79 *(Crescimento!#REF!-Crescimento!#REF!)) - (3.13 * (Crescimento!#REF!-Crescimento!#REF!)^2)</f>
        <v>#REF!</v>
      </c>
      <c r="CN66" s="23"/>
      <c r="CO66" s="21" t="e">
        <f>((CP65+(Crescimento!#REF!-(CP65*0.64))/0.8)/1000)-Crescimento!#REF!</f>
        <v>#REF!</v>
      </c>
      <c r="CP66" s="22" t="e">
        <f>-53.07 + (304.89 * (CO66)) + (90.79 *(Crescimento!#REF!-Crescimento!#REF!)) - (3.13 * (Crescimento!#REF!-Crescimento!#REF!)^2)</f>
        <v>#REF!</v>
      </c>
      <c r="CQ66" s="23"/>
      <c r="CR66" s="21" t="e">
        <f>((CS65+(Crescimento!#REF!-(CS65*0.64))/0.8)/1000)-Crescimento!#REF!</f>
        <v>#REF!</v>
      </c>
      <c r="CS66" s="22" t="e">
        <f>-53.07 + (304.89 * (CR66)) + (90.79 *(Crescimento!#REF!-Crescimento!#REF!)) - (3.13 * (Crescimento!#REF!-Crescimento!#REF!)^2)</f>
        <v>#REF!</v>
      </c>
      <c r="CX66" s="16" t="e">
        <f>((CY65+(Crescimento!#REF!-(CY65*0.64))/0.8)/1000)-Crescimento!#REF!</f>
        <v>#REF!</v>
      </c>
      <c r="CY66" s="17" t="e">
        <f>-53.07 + (304.89 * (CX66)) + (90.79 *(Crescimento!#REF!-Crescimento!#REF!)) - (3.13 * (Crescimento!#REF!-Crescimento!#REF!)^2)</f>
        <v>#REF!</v>
      </c>
      <c r="DA66" s="16" t="e">
        <f>((DB65+(Crescimento!#REF!-(DB65*0.64))/0.8)/1000)-Crescimento!#REF!</f>
        <v>#REF!</v>
      </c>
      <c r="DB66" s="17" t="e">
        <f>-53.07 + (304.89 * (DA66)) + (90.79 *(Crescimento!#REF!-Crescimento!#REF!)) - (3.13 * (Crescimento!#REF!-Crescimento!#REF!)^2)</f>
        <v>#REF!</v>
      </c>
      <c r="DD66" s="16" t="e">
        <f>(DE65+(Crescimento!#REF!-(DE65*0.64))/0.8)/1000</f>
        <v>#REF!</v>
      </c>
      <c r="DE66" s="17" t="e">
        <f>-53.07 + (304.89 * (DD66)) + (90.79 *Crescimento!#REF!) - (3.13 * Crescimento!#REF!*Crescimento!#REF!)</f>
        <v>#REF!</v>
      </c>
      <c r="DG66" s="16" t="e">
        <f>((DH65+(Crescimento!#REF!-(DH65*0.64))/0.8)/1000)-Crescimento!#REF!</f>
        <v>#REF!</v>
      </c>
      <c r="DH66" s="17" t="e">
        <f>-53.07 + (304.89 * (DG66)) + (90.79 *(Crescimento!#REF!-Crescimento!#REF!)) - (3.13 * (Crescimento!#REF!-Crescimento!#REF!)^2)</f>
        <v>#REF!</v>
      </c>
      <c r="DJ66" s="16" t="e">
        <f>((DK65+(Crescimento!#REF!-(DK65*0.64))/0.8)/1000)-Crescimento!#REF!</f>
        <v>#REF!</v>
      </c>
      <c r="DK66" s="17" t="e">
        <f>-53.07 + (304.89 * (DJ66)) + (90.79 *(Crescimento!#REF!-Crescimento!#REF!)) - (3.13 * (Crescimento!#REF!-Crescimento!#REF!)^2)</f>
        <v>#REF!</v>
      </c>
      <c r="DM66" s="16" t="e">
        <f>((DN65+(Crescimento!#REF!-(DN65*0.64))/0.8)/1000)-Crescimento!#REF!</f>
        <v>#REF!</v>
      </c>
      <c r="DN66" s="17" t="e">
        <f>-53.07 + (304.89 * (DM66)) + (90.79 *(Crescimento!#REF!-Crescimento!#REF!)) - (3.13 * (Crescimento!#REF!-Crescimento!#REF!)^2)</f>
        <v>#REF!</v>
      </c>
      <c r="DP66" s="16" t="e">
        <f>(DQ65+(Crescimento!#REF!-(DQ65*0.64))/0.8)/1000</f>
        <v>#REF!</v>
      </c>
      <c r="DQ66" s="17" t="e">
        <f>-53.07 + (304.89 * (DP66)) + (90.79 *(Crescimento!#REF!-Crescimento!#REF!)) - (3.13 * (Crescimento!#REF!-Crescimento!#REF!)^2)</f>
        <v>#REF!</v>
      </c>
      <c r="DS66" s="16" t="e">
        <f>((DT65+(Crescimento!#REF!-(DT65*0.64))/0.8)/1000)-Crescimento!#REF!</f>
        <v>#REF!</v>
      </c>
      <c r="DT66" s="17" t="e">
        <f>-53.07 + (304.89 * (DS66)) + (90.79 *(Crescimento!#REF!-Crescimento!#REF!)) - (3.13 * (Crescimento!#REF!-Crescimento!#REF!)^2)</f>
        <v>#REF!</v>
      </c>
      <c r="DV66" s="16" t="e">
        <f>((DW65+(Crescimento!#REF!-(DW65*0.64))/0.8)/1000)-Crescimento!#REF!</f>
        <v>#REF!</v>
      </c>
      <c r="DW66" s="17" t="e">
        <f>-53.07 + (304.89 * (DV66)) + (90.79 *(Crescimento!#REF!-Crescimento!#REF!)) - (3.13 * (Crescimento!#REF!-Crescimento!#REF!)^2)</f>
        <v>#REF!</v>
      </c>
      <c r="DY66" s="16" t="e">
        <f>((DZ65+(Crescimento!#REF!-(DZ65*0.64))/0.8)/1000)-Crescimento!#REF!</f>
        <v>#REF!</v>
      </c>
      <c r="DZ66" s="17" t="e">
        <f>-53.07 + (304.89 * (DY66)) + (90.79 *(Crescimento!#REF!-Crescimento!#REF!)) - (3.13 * (Crescimento!#REF!-Crescimento!#REF!)^2)</f>
        <v>#REF!</v>
      </c>
      <c r="EB66" s="16" t="e">
        <f>((EC65+(Crescimento!#REF!-(EC65*0.64))/0.8)/1000)-Crescimento!#REF!</f>
        <v>#REF!</v>
      </c>
      <c r="EC66" s="17" t="e">
        <f>-53.07 + (304.89 * (EB66)) + (90.79 *(Crescimento!#REF!-Crescimento!#REF!)) - (3.13 * (Crescimento!#REF!-Crescimento!#REF!)^2)</f>
        <v>#REF!</v>
      </c>
      <c r="EE66" s="16" t="e">
        <f>((EF65+(Crescimento!#REF!-(EF65*0.64))/0.8)/1000)-Crescimento!#REF!</f>
        <v>#REF!</v>
      </c>
      <c r="EF66" s="17" t="e">
        <f>-53.07 + (304.89 * (EE66)) + (90.79 *(Crescimento!#REF!-Crescimento!#REF!)) - (3.13 * (Crescimento!#REF!-Crescimento!#REF!)^2)</f>
        <v>#REF!</v>
      </c>
      <c r="EH66" s="16" t="e">
        <f>((EI65+(Crescimento!#REF!-(EI65*0.64))/0.8)/1000)-Crescimento!#REF!</f>
        <v>#REF!</v>
      </c>
      <c r="EI66" s="17" t="e">
        <f>-53.07 + (304.89 * (EH66)) + (90.79 *(Crescimento!#REF!-Crescimento!#REF!)) - (3.13 * (Crescimento!#REF!-Crescimento!#REF!)^2)</f>
        <v>#REF!</v>
      </c>
      <c r="EK66" s="16" t="e">
        <f>((EL65+(Crescimento!#REF!-(EL65*0.64))/0.8)/1000)-Crescimento!#REF!</f>
        <v>#REF!</v>
      </c>
      <c r="EL66" s="17" t="e">
        <f>-53.07 + (304.89 * (EK66)) + (90.79 *(Crescimento!#REF!-Crescimento!#REF!)) - (3.13 * (Crescimento!#REF!-Crescimento!#REF!)^2)</f>
        <v>#REF!</v>
      </c>
      <c r="EN66" s="16" t="e">
        <f>((EO65+(Crescimento!#REF!-(EO65*0.64))/0.8)/1000)-Crescimento!#REF!</f>
        <v>#REF!</v>
      </c>
      <c r="EO66" s="17" t="e">
        <f>-53.07 + (304.89 * (EN66)) + (90.79 *(Crescimento!#REF!-Crescimento!#REF!)) - (3.13 * (Crescimento!#REF!-Crescimento!#REF!)^2)</f>
        <v>#REF!</v>
      </c>
      <c r="EQ66" s="16" t="e">
        <f>((ER65+(Crescimento!#REF!-(ER65*0.64))/0.8)/1000)-Crescimento!#REF!</f>
        <v>#REF!</v>
      </c>
      <c r="ER66" s="17" t="e">
        <f>-53.07 + (304.89 * (EQ66)) + (90.79 *(Crescimento!#REF!-Crescimento!#REF!)) - (3.13 * (Crescimento!#REF!-Crescimento!#REF!)^2)</f>
        <v>#REF!</v>
      </c>
      <c r="ET66" s="16" t="e">
        <f>((EU65+(Crescimento!#REF!-(EU65*0.64))/0.8)/1000)-Crescimento!#REF!</f>
        <v>#REF!</v>
      </c>
      <c r="EU66" s="17" t="e">
        <f>-53.07 + (304.89 * (ET66)) + (90.79 *(Crescimento!#REF!-Crescimento!#REF!)) - (3.13 * (Crescimento!#REF!-Crescimento!#REF!)^2)</f>
        <v>#REF!</v>
      </c>
      <c r="EW66" s="16" t="e">
        <f>((EX65+('Vacas e Bezerros'!#REF!-(EX65*0.64))/0.8)/1000)-'Vacas e Bezerros'!#REF!</f>
        <v>#REF!</v>
      </c>
      <c r="EX66" s="17" t="e">
        <f>-53.07 + (304.89 * (EW66)) + (90.79 *('Vacas e Bezerros'!#REF!-'Vacas e Bezerros'!#REF!)) - (3.13 * ('Vacas e Bezerros'!#REF!-'Vacas e Bezerros'!#REF!)^2)</f>
        <v>#REF!</v>
      </c>
      <c r="EZ66" s="16" t="e">
        <f>((FA65+('Vacas e Bezerros'!#REF!-(FA65*0.64))/0.8)/1000)-'Vacas e Bezerros'!#REF!</f>
        <v>#REF!</v>
      </c>
      <c r="FA66" s="17" t="e">
        <f>-53.07 + (304.89 * (EZ66)) + (90.79 *('Vacas e Bezerros'!#REF!-'Vacas e Bezerros'!#REF!)) - (3.13 * ('Vacas e Bezerros'!#REF!-'Vacas e Bezerros'!#REF!)^2)</f>
        <v>#REF!</v>
      </c>
      <c r="FC66" s="16" t="e">
        <f>((FD65+('Vacas e Bezerros'!#REF!-(FD65*0.64))/0.8)/1000)-'Vacas e Bezerros'!#REF!</f>
        <v>#REF!</v>
      </c>
      <c r="FD66" s="17" t="e">
        <f>-53.07 + (304.89 * (FC66)) + (90.79 *('Vacas e Bezerros'!#REF!-'Vacas e Bezerros'!#REF!)) - (3.13 * ('Vacas e Bezerros'!#REF!-'Vacas e Bezerros'!#REF!)^2)</f>
        <v>#REF!</v>
      </c>
      <c r="FF66" s="16" t="e">
        <f>((FG65+('Vacas e Bezerros'!#REF!-(FG65*0.64))/0.8)/1000)-'Vacas e Bezerros'!#REF!</f>
        <v>#REF!</v>
      </c>
      <c r="FG66" s="17" t="e">
        <f>-53.07 + (304.89 * (FF66)) + (90.79 *('Vacas e Bezerros'!#REF!-'Vacas e Bezerros'!#REF!)) - (3.13 * ('Vacas e Bezerros'!#REF!-'Vacas e Bezerros'!#REF!)^2)</f>
        <v>#REF!</v>
      </c>
      <c r="FI66" s="16" t="e">
        <f>((FJ65+('Vacas e Bezerros'!#REF!-(FJ65*0.64))/0.8)/1000)-'Vacas e Bezerros'!#REF!</f>
        <v>#REF!</v>
      </c>
      <c r="FJ66" s="17" t="e">
        <f>-53.07 + (304.89 * (FI66)) + (90.79 *('Vacas e Bezerros'!#REF!-'Vacas e Bezerros'!#REF!)) - (3.13 * ('Vacas e Bezerros'!#REF!-'Vacas e Bezerros'!#REF!)^2)</f>
        <v>#REF!</v>
      </c>
      <c r="FL66" s="16" t="e">
        <f>((FM65+('Vacas e Bezerros'!#REF!-(FM65*0.64))/0.8)/1000)-'Vacas e Bezerros'!#REF!</f>
        <v>#REF!</v>
      </c>
      <c r="FM66" s="17" t="e">
        <f>-53.07 + (304.89 * (FL66)) + (90.79 *('Vacas e Bezerros'!#REF!-'Vacas e Bezerros'!#REF!)) - (3.13 * ('Vacas e Bezerros'!#REF!-'Vacas e Bezerros'!#REF!)^2)</f>
        <v>#REF!</v>
      </c>
      <c r="FO66" s="16" t="e">
        <f>((FP65+('Vacas e Bezerros'!#REF!-(FP65*0.64))/0.8)/1000)-'Vacas e Bezerros'!#REF!</f>
        <v>#REF!</v>
      </c>
      <c r="FP66" s="17" t="e">
        <f>-53.07 + (304.89 * (FO66)) + (90.79 *('Vacas e Bezerros'!#REF!-'Vacas e Bezerros'!#REF!)) - (3.13 * ('Vacas e Bezerros'!#REF!-'Vacas e Bezerros'!#REF!)^2)</f>
        <v>#REF!</v>
      </c>
      <c r="FR66" s="16" t="e">
        <f>((FS65+('Vacas e Bezerros'!#REF!-(FS65*0.64))/0.8)/1000)-'Vacas e Bezerros'!#REF!</f>
        <v>#REF!</v>
      </c>
      <c r="FS66" s="17" t="e">
        <f>-53.07 + (304.89 * (FR66)) + (90.79 *('Vacas e Bezerros'!#REF!-'Vacas e Bezerros'!#REF!)) - (3.13 * ('Vacas e Bezerros'!#REF!-'Vacas e Bezerros'!#REF!)^2)</f>
        <v>#REF!</v>
      </c>
      <c r="FU66" s="16" t="e">
        <f>((FV65+('Vacas e Bezerros'!#REF!-(FV65*0.64))/0.8)/1000)-'Vacas e Bezerros'!#REF!</f>
        <v>#REF!</v>
      </c>
      <c r="FV66" s="17" t="e">
        <f>-53.07 + (304.89 * (FU66)) + (90.79 *('Vacas e Bezerros'!#REF!-'Vacas e Bezerros'!#REF!)) - (3.13 * ('Vacas e Bezerros'!#REF!-'Vacas e Bezerros'!#REF!)^2)</f>
        <v>#REF!</v>
      </c>
      <c r="FX66" s="16" t="e">
        <f>((FY65+('Vacas e Bezerros'!#REF!-(FY65*0.64))/0.8)/1000)-'Vacas e Bezerros'!#REF!</f>
        <v>#REF!</v>
      </c>
      <c r="FY66" s="17" t="e">
        <f>-53.07 + (304.89 * (FX66)) + (90.79 *('Vacas e Bezerros'!#REF!-'Vacas e Bezerros'!#REF!)) - (3.13 * ('Vacas e Bezerros'!#REF!-'Vacas e Bezerros'!#REF!)^2)</f>
        <v>#REF!</v>
      </c>
      <c r="GA66" s="16" t="e">
        <f>((GB65+('Vacas e Bezerros'!#REF!-(GB65*0.64))/0.8)/1000)-'Vacas e Bezerros'!#REF!</f>
        <v>#REF!</v>
      </c>
      <c r="GB66" s="17" t="e">
        <f>-53.07 + (304.89 * (GA66)) + (90.79 *('Vacas e Bezerros'!#REF!-'Vacas e Bezerros'!#REF!)) - (3.13 * ('Vacas e Bezerros'!#REF!-'Vacas e Bezerros'!#REF!)^2)</f>
        <v>#REF!</v>
      </c>
      <c r="GD66" s="16" t="e">
        <f>((GE65+('Vacas e Bezerros'!#REF!-(GE65*0.64))/0.8)/1000)-'Vacas e Bezerros'!#REF!</f>
        <v>#REF!</v>
      </c>
      <c r="GE66" s="17" t="e">
        <f>-53.07 + (304.89 * (GD66)) + (90.79 *('Vacas e Bezerros'!#REF!-'Vacas e Bezerros'!#REF!)) - (3.13 * ('Vacas e Bezerros'!#REF!-'Vacas e Bezerros'!#REF!)^2)</f>
        <v>#REF!</v>
      </c>
      <c r="GG66" s="16" t="e">
        <f>((GH65+('Vacas e Bezerros'!#REF!-(GH65*0.64))/0.8)/1000)-'Vacas e Bezerros'!#REF!</f>
        <v>#REF!</v>
      </c>
      <c r="GH66" s="17" t="e">
        <f>-53.07 + (304.89 * (GG66)) + (90.79 *('Vacas e Bezerros'!#REF!-'Vacas e Bezerros'!#REF!)) - (3.13 * ('Vacas e Bezerros'!#REF!-'Vacas e Bezerros'!#REF!)^2)</f>
        <v>#REF!</v>
      </c>
      <c r="GJ66" s="16" t="e">
        <f>((GK65+('Vacas e Bezerros'!#REF!-(GK65*0.64))/0.8)/1000)-'Vacas e Bezerros'!#REF!</f>
        <v>#REF!</v>
      </c>
      <c r="GK66" s="17" t="e">
        <f>-53.07 + (304.89 * (GJ66)) + (90.79 *('Vacas e Bezerros'!#REF!-'Vacas e Bezerros'!#REF!)) - (3.13 * ('Vacas e Bezerros'!#REF!-'Vacas e Bezerros'!#REF!)^2)</f>
        <v>#REF!</v>
      </c>
      <c r="GM66" s="16" t="e">
        <f>((GN65+('Vacas e Bezerros'!#REF!-(GN65*0.64))/0.8)/1000)-'Vacas e Bezerros'!#REF!</f>
        <v>#REF!</v>
      </c>
      <c r="GN66" s="17" t="e">
        <f>-53.07 + (304.89 * (GM66)) + (90.79 *('Vacas e Bezerros'!#REF!-'Vacas e Bezerros'!#REF!)) - (3.13 * ('Vacas e Bezerros'!#REF!-'Vacas e Bezerros'!#REF!)^2)</f>
        <v>#REF!</v>
      </c>
    </row>
    <row r="67" spans="3:196" x14ac:dyDescent="0.25">
      <c r="C67" s="16">
        <f>(D66+('Vacas e Bezerros'!$AA$28-(D66*0.64))/0.8)/1000</f>
        <v>0.35719668016155687</v>
      </c>
      <c r="D67" s="17">
        <f>-53.07 + (304.89 * (C67-'Vacas e Bezerros'!$C$206)) + (90.79 *('Vacas e Bezerros'!$AA$22)) - (3.13 *('Vacas e Bezerros'!$AA$22)^2)</f>
        <v>165.01876457544017</v>
      </c>
      <c r="F67" s="16" t="e">
        <f>(G66+(Crescimento!#REF!-(G66*0.64))/0.8)/1000</f>
        <v>#REF!</v>
      </c>
      <c r="G67" s="17" t="e">
        <f>-53.07 + (304.89 * (F67)) + (90.79 *Crescimento!#REF!) - (3.13 * Crescimento!#REF!*Crescimento!#REF!)</f>
        <v>#REF!</v>
      </c>
      <c r="H67" s="1"/>
      <c r="I67" s="16" t="e">
        <f>(J66+(Crescimento!#REF!-(J66*0.64))/0.8)/1000</f>
        <v>#REF!</v>
      </c>
      <c r="J67" s="17" t="e">
        <f>-53.07 + (304.89 * (I67)) + (90.79 *Crescimento!#REF!) - (3.13 * Crescimento!#REF!*Crescimento!#REF!)</f>
        <v>#REF!</v>
      </c>
      <c r="L67" s="16" t="e">
        <f>(M66+(Crescimento!#REF!-(M66*0.64))/0.8)/1000</f>
        <v>#REF!</v>
      </c>
      <c r="M67" s="17" t="e">
        <f>-53.07 + (304.89 * (L67)) + (90.79 *Crescimento!#REF!) - (3.13 * Crescimento!#REF!*Crescimento!#REF!)</f>
        <v>#REF!</v>
      </c>
      <c r="O67" s="16" t="e">
        <f>(P66+(Crescimento!#REF!-(P66*0.64))/0.8)/1000</f>
        <v>#REF!</v>
      </c>
      <c r="P67" s="17" t="e">
        <f>-53.07 + (304.89 * (O67)) + (90.79 *Crescimento!#REF!) - (3.13 * Crescimento!#REF!*Crescimento!#REF!)</f>
        <v>#REF!</v>
      </c>
      <c r="R67" s="16" t="e">
        <f>(S66+(Crescimento!#REF!-(S66*0.64))/0.8)/1000</f>
        <v>#REF!</v>
      </c>
      <c r="S67" s="17" t="e">
        <f>-53.07 + (304.89 * (R67)) + (90.79 *Crescimento!#REF!) - (3.13 * Crescimento!#REF!*Crescimento!#REF!)</f>
        <v>#REF!</v>
      </c>
      <c r="U67" s="16" t="e">
        <f>(V66+(Crescimento!#REF!-(V66*0.64))/0.8)/1000</f>
        <v>#REF!</v>
      </c>
      <c r="V67" s="17" t="e">
        <f>-53.07 + (304.89 * (U67)) + (90.79 *Crescimento!#REF!) - (3.13 * Crescimento!#REF!*Crescimento!#REF!)</f>
        <v>#REF!</v>
      </c>
      <c r="X67" s="16" t="e">
        <f>(Y66+(Crescimento!#REF!-(Y66*0.64))/0.8)/1000</f>
        <v>#REF!</v>
      </c>
      <c r="Y67" s="17" t="e">
        <f>-53.07 + (304.89 * (X67)) + (90.79 *Crescimento!#REF!) - (3.13 * Crescimento!#REF!*Crescimento!#REF!)</f>
        <v>#REF!</v>
      </c>
      <c r="Z67" s="6"/>
      <c r="AA67" s="16" t="e">
        <f>(AB66+(Crescimento!#REF!-(AB66*0.64))/0.8)/1000</f>
        <v>#REF!</v>
      </c>
      <c r="AB67" s="17" t="e">
        <f>-53.07 + (304.89 * (AA67)) + (90.79 *Crescimento!#REF!) - (3.13 * Crescimento!#REF!*Crescimento!#REF!)</f>
        <v>#REF!</v>
      </c>
      <c r="AC67" s="6"/>
      <c r="AD67" s="16" t="e">
        <f>(AE66+(Crescimento!#REF!-(AE66*0.64))/0.8)/1000</f>
        <v>#REF!</v>
      </c>
      <c r="AE67" s="17" t="e">
        <f>-53.07 + (304.89 * (AD67)) + (90.79 *Crescimento!#REF!) - (3.13 * Crescimento!#REF!*Crescimento!#REF!)</f>
        <v>#REF!</v>
      </c>
      <c r="AF67" s="17"/>
      <c r="AG67" s="16" t="e">
        <f>(AH66+(Crescimento!#REF!-(AH66*0.64))/0.8)/1000</f>
        <v>#REF!</v>
      </c>
      <c r="AH67" s="17" t="e">
        <f>-53.07 + (304.89 * (AG67)) + (90.79 *Crescimento!#REF!) - (3.13 * Crescimento!#REF!*Crescimento!#REF!)</f>
        <v>#REF!</v>
      </c>
      <c r="AJ67" s="16" t="e">
        <f>(AK66+(Crescimento!#REF!-(AK66*0.64))/0.8)/1000</f>
        <v>#REF!</v>
      </c>
      <c r="AK67" s="17" t="e">
        <f>-53.07 + (304.89 * (AJ67)) + (90.79 *Crescimento!#REF!) - (3.13 * Crescimento!#REF!*Crescimento!#REF!)</f>
        <v>#REF!</v>
      </c>
      <c r="AM67" s="16" t="e">
        <f>(AN66+(Crescimento!#REF!-(AN66*0.64))/0.8)/1000</f>
        <v>#REF!</v>
      </c>
      <c r="AN67" s="17" t="e">
        <f>-53.07 + (304.89 * (AM67)) + (90.79 *Crescimento!#REF!) - (3.13 * Crescimento!#REF!*Crescimento!#REF!)</f>
        <v>#REF!</v>
      </c>
      <c r="AP67" s="16" t="e">
        <f>(AQ66+(Crescimento!#REF!-(AQ66*0.64))/0.8)/1000</f>
        <v>#REF!</v>
      </c>
      <c r="AQ67" s="17" t="e">
        <f>-53.07 + (304.89 * (AP67)) + (90.79 *Crescimento!#REF!) - (3.13 * Crescimento!#REF!*Crescimento!#REF!)</f>
        <v>#REF!</v>
      </c>
      <c r="AS67" s="16" t="e">
        <f>(AT66+(Crescimento!#REF!-(AT66*0.64))/0.8)/1000</f>
        <v>#REF!</v>
      </c>
      <c r="AT67" s="17" t="e">
        <f>-53.07 + (304.89 * (AS67)) + (90.79 *Crescimento!#REF!) - (3.13 * Crescimento!#REF!*Crescimento!#REF!)</f>
        <v>#REF!</v>
      </c>
      <c r="AV67" s="16" t="e">
        <f>(AW66+(Crescimento!#REF!-(AW66*0.64))/0.8)/1000</f>
        <v>#REF!</v>
      </c>
      <c r="AW67" s="17" t="e">
        <f>-53.07 + (304.89 * (AV67)) + (90.79 *Crescimento!#REF!) - (3.13 * Crescimento!#REF!*Crescimento!#REF!)</f>
        <v>#REF!</v>
      </c>
      <c r="AY67" s="21" t="e">
        <f>((AZ66+(Crescimento!#REF!-(AZ66*0.64))/0.8)/1000)-Crescimento!#REF!</f>
        <v>#REF!</v>
      </c>
      <c r="AZ67" s="22" t="e">
        <f>-53.07 + (304.89 * (AY67)) + (90.79 *(Crescimento!#REF!-Crescimento!#REF!)) - (3.13 * (Crescimento!#REF!-Crescimento!#REF!)^2)</f>
        <v>#REF!</v>
      </c>
      <c r="BA67" s="23"/>
      <c r="BB67" s="21" t="e">
        <f>((BC66+(Crescimento!#REF!-(BC66*0.64))/0.8)/1000)-Crescimento!#REF!</f>
        <v>#REF!</v>
      </c>
      <c r="BC67" s="22" t="e">
        <f>-53.07 + (304.89 * (BB67)) + (90.79 *(Crescimento!#REF!-Crescimento!#REF!)) - (3.13 * (Crescimento!#REF!-Crescimento!#REF!)^2)</f>
        <v>#REF!</v>
      </c>
      <c r="BD67" s="23"/>
      <c r="BE67" s="21" t="e">
        <f>((BF66+(Crescimento!#REF!-(BF66*0.64))/0.8)/1000)-Crescimento!#REF!</f>
        <v>#REF!</v>
      </c>
      <c r="BF67" s="22" t="e">
        <f>-53.07 + (304.89 * (BE67)) + (90.79 *(Crescimento!#REF!-Crescimento!#REF!)) - (3.13 * (Crescimento!#REF!-Crescimento!#REF!)^2)</f>
        <v>#REF!</v>
      </c>
      <c r="BG67" s="23"/>
      <c r="BH67" s="21" t="e">
        <f>((BI66+(Crescimento!#REF!-(BI66*0.64))/0.8)/1000)-Crescimento!#REF!</f>
        <v>#REF!</v>
      </c>
      <c r="BI67" s="22" t="e">
        <f>-53.07 + (304.89 * (BH67)) + (90.79 *(Crescimento!#REF!-Crescimento!#REF!)) - (3.13 * (Crescimento!#REF!-Crescimento!#REF!)^2)</f>
        <v>#REF!</v>
      </c>
      <c r="BJ67" s="23"/>
      <c r="BK67" s="21" t="e">
        <f>((BL66+(Crescimento!#REF!-(BL66*0.64))/0.8)/1000)-Crescimento!#REF!</f>
        <v>#REF!</v>
      </c>
      <c r="BL67" s="22" t="e">
        <f>-53.07 + (304.89 * (BK67)) + (90.79 *(Crescimento!#REF!-Crescimento!#REF!)) - (3.13 * (Crescimento!#REF!-Crescimento!#REF!)^2)</f>
        <v>#REF!</v>
      </c>
      <c r="BM67" s="23"/>
      <c r="BN67" s="21" t="e">
        <f>((BO66+(Crescimento!#REF!-(BO66*0.64))/0.8)/1000)-Crescimento!#REF!</f>
        <v>#REF!</v>
      </c>
      <c r="BO67" s="22" t="e">
        <f>-53.07 + (304.89 * (BN67)) + (90.79 *(Crescimento!#REF!-Crescimento!#REF!)) - (3.13 * (Crescimento!#REF!-Crescimento!#REF!)^2)</f>
        <v>#REF!</v>
      </c>
      <c r="BP67" s="23"/>
      <c r="BQ67" s="21" t="e">
        <f>((BR66+(Crescimento!#REF!-(BR66*0.64))/0.8)/1000)-Crescimento!#REF!</f>
        <v>#REF!</v>
      </c>
      <c r="BR67" s="22" t="e">
        <f>-53.07 + (304.89 * (BQ67)) + (90.79 *(Crescimento!#REF!-Crescimento!#REF!)) - (3.13 * (Crescimento!#REF!-Crescimento!#REF!)^2)</f>
        <v>#REF!</v>
      </c>
      <c r="BS67" s="23"/>
      <c r="BT67" s="21" t="e">
        <f>((BU66+(Crescimento!#REF!-(BU66*0.64))/0.8)/1000)-Crescimento!#REF!</f>
        <v>#REF!</v>
      </c>
      <c r="BU67" s="22" t="e">
        <f>-53.07 + (304.89 * (BT67)) + (90.79 *(Crescimento!#REF!-Crescimento!#REF!)) - (3.13 * (Crescimento!#REF!-Crescimento!#REF!)^2)</f>
        <v>#REF!</v>
      </c>
      <c r="BV67" s="23"/>
      <c r="BW67" s="21" t="e">
        <f>((BX66+(Crescimento!#REF!-(BX66*0.64))/0.8)/1000)-Crescimento!#REF!</f>
        <v>#REF!</v>
      </c>
      <c r="BX67" s="22" t="e">
        <f>-53.07 + (304.89 * (BW67)) + (90.79 *(Crescimento!#REF!-Crescimento!#REF!)) - (3.13 * (Crescimento!#REF!-Crescimento!#REF!)^2)</f>
        <v>#REF!</v>
      </c>
      <c r="BY67" s="23"/>
      <c r="BZ67" s="21" t="e">
        <f>((CA66+(Crescimento!#REF!-(CA66*0.64))/0.8)/1000)-Crescimento!#REF!</f>
        <v>#REF!</v>
      </c>
      <c r="CA67" s="22" t="e">
        <f>-53.07 + (304.89 * (BZ67)) + (90.79 *(Crescimento!#REF!-Crescimento!#REF!)) - (3.13 * (Crescimento!#REF!-Crescimento!#REF!)^2)</f>
        <v>#REF!</v>
      </c>
      <c r="CB67" s="23"/>
      <c r="CC67" s="21" t="e">
        <f>((CD66+(Crescimento!#REF!-(CD66*0.64))/0.8)/1000)-Crescimento!#REF!</f>
        <v>#REF!</v>
      </c>
      <c r="CD67" s="22" t="e">
        <f>-53.07 + (304.89 * (CC67)) + (90.79 *(Crescimento!#REF!-Crescimento!#REF!)) - (3.13 * (Crescimento!#REF!-Crescimento!#REF!)^2)</f>
        <v>#REF!</v>
      </c>
      <c r="CE67" s="23"/>
      <c r="CF67" s="21" t="e">
        <f>((CG66+(Crescimento!#REF!-(CG66*0.64))/0.8)/1000)-Crescimento!#REF!</f>
        <v>#REF!</v>
      </c>
      <c r="CG67" s="22" t="e">
        <f>-53.07 + (304.89 * (CF67)) + (90.79 *(Crescimento!#REF!-Crescimento!#REF!)) - (3.13 * (Crescimento!#REF!-Crescimento!#REF!)^2)</f>
        <v>#REF!</v>
      </c>
      <c r="CH67" s="23"/>
      <c r="CI67" s="21" t="e">
        <f>((CJ66+(Crescimento!#REF!-(CJ66*0.64))/0.8)/1000)-Crescimento!#REF!</f>
        <v>#REF!</v>
      </c>
      <c r="CJ67" s="22" t="e">
        <f>-53.07 + (304.89 * (CI67)) + (90.79 *(Crescimento!#REF!-Crescimento!#REF!)) - (3.13 * (Crescimento!#REF!-Crescimento!#REF!)^2)</f>
        <v>#REF!</v>
      </c>
      <c r="CK67" s="23"/>
      <c r="CL67" s="21" t="e">
        <f>((CM66+(Crescimento!#REF!-(CM66*0.64))/0.8)/1000)-Crescimento!#REF!</f>
        <v>#REF!</v>
      </c>
      <c r="CM67" s="22" t="e">
        <f>-53.07 + (304.89 * (CL67)) + (90.79 *(Crescimento!#REF!-Crescimento!#REF!)) - (3.13 * (Crescimento!#REF!-Crescimento!#REF!)^2)</f>
        <v>#REF!</v>
      </c>
      <c r="CN67" s="23"/>
      <c r="CO67" s="21" t="e">
        <f>((CP66+(Crescimento!#REF!-(CP66*0.64))/0.8)/1000)-Crescimento!#REF!</f>
        <v>#REF!</v>
      </c>
      <c r="CP67" s="22" t="e">
        <f>-53.07 + (304.89 * (CO67)) + (90.79 *(Crescimento!#REF!-Crescimento!#REF!)) - (3.13 * (Crescimento!#REF!-Crescimento!#REF!)^2)</f>
        <v>#REF!</v>
      </c>
      <c r="CQ67" s="23"/>
      <c r="CR67" s="21" t="e">
        <f>((CS66+(Crescimento!#REF!-(CS66*0.64))/0.8)/1000)-Crescimento!#REF!</f>
        <v>#REF!</v>
      </c>
      <c r="CS67" s="22" t="e">
        <f>-53.07 + (304.89 * (CR67)) + (90.79 *(Crescimento!#REF!-Crescimento!#REF!)) - (3.13 * (Crescimento!#REF!-Crescimento!#REF!)^2)</f>
        <v>#REF!</v>
      </c>
      <c r="CX67" s="16" t="e">
        <f>((CY66+(Crescimento!#REF!-(CY66*0.64))/0.8)/1000)-Crescimento!#REF!</f>
        <v>#REF!</v>
      </c>
      <c r="CY67" s="17" t="e">
        <f>-53.07 + (304.89 * (CX67)) + (90.79 *(Crescimento!#REF!-Crescimento!#REF!)) - (3.13 * (Crescimento!#REF!-Crescimento!#REF!)^2)</f>
        <v>#REF!</v>
      </c>
      <c r="DA67" s="16" t="e">
        <f>((DB66+(Crescimento!#REF!-(DB66*0.64))/0.8)/1000)-Crescimento!#REF!</f>
        <v>#REF!</v>
      </c>
      <c r="DB67" s="17" t="e">
        <f>-53.07 + (304.89 * (DA67)) + (90.79 *(Crescimento!#REF!-Crescimento!#REF!)) - (3.13 * (Crescimento!#REF!-Crescimento!#REF!)^2)</f>
        <v>#REF!</v>
      </c>
      <c r="DD67" s="16" t="e">
        <f>(DE66+(Crescimento!#REF!-(DE66*0.64))/0.8)/1000</f>
        <v>#REF!</v>
      </c>
      <c r="DE67" s="17" t="e">
        <f>-53.07 + (304.89 * (DD67)) + (90.79 *Crescimento!#REF!) - (3.13 * Crescimento!#REF!*Crescimento!#REF!)</f>
        <v>#REF!</v>
      </c>
      <c r="DG67" s="16" t="e">
        <f>((DH66+(Crescimento!#REF!-(DH66*0.64))/0.8)/1000)-Crescimento!#REF!</f>
        <v>#REF!</v>
      </c>
      <c r="DH67" s="17" t="e">
        <f>-53.07 + (304.89 * (DG67)) + (90.79 *(Crescimento!#REF!-Crescimento!#REF!)) - (3.13 * (Crescimento!#REF!-Crescimento!#REF!)^2)</f>
        <v>#REF!</v>
      </c>
      <c r="DJ67" s="16" t="e">
        <f>((DK66+(Crescimento!#REF!-(DK66*0.64))/0.8)/1000)-Crescimento!#REF!</f>
        <v>#REF!</v>
      </c>
      <c r="DK67" s="17" t="e">
        <f>-53.07 + (304.89 * (DJ67)) + (90.79 *(Crescimento!#REF!-Crescimento!#REF!)) - (3.13 * (Crescimento!#REF!-Crescimento!#REF!)^2)</f>
        <v>#REF!</v>
      </c>
      <c r="DM67" s="16" t="e">
        <f>((DN66+(Crescimento!#REF!-(DN66*0.64))/0.8)/1000)-Crescimento!#REF!</f>
        <v>#REF!</v>
      </c>
      <c r="DN67" s="17" t="e">
        <f>-53.07 + (304.89 * (DM67)) + (90.79 *(Crescimento!#REF!-Crescimento!#REF!)) - (3.13 * (Crescimento!#REF!-Crescimento!#REF!)^2)</f>
        <v>#REF!</v>
      </c>
      <c r="DP67" s="16" t="e">
        <f>(DQ66+(Crescimento!#REF!-(DQ66*0.64))/0.8)/1000</f>
        <v>#REF!</v>
      </c>
      <c r="DQ67" s="17" t="e">
        <f>-53.07 + (304.89 * (DP67)) + (90.79 *(Crescimento!#REF!-Crescimento!#REF!)) - (3.13 * (Crescimento!#REF!-Crescimento!#REF!)^2)</f>
        <v>#REF!</v>
      </c>
      <c r="DS67" s="16" t="e">
        <f>((DT66+(Crescimento!#REF!-(DT66*0.64))/0.8)/1000)-Crescimento!#REF!</f>
        <v>#REF!</v>
      </c>
      <c r="DT67" s="17" t="e">
        <f>-53.07 + (304.89 * (DS67)) + (90.79 *(Crescimento!#REF!-Crescimento!#REF!)) - (3.13 * (Crescimento!#REF!-Crescimento!#REF!)^2)</f>
        <v>#REF!</v>
      </c>
      <c r="DV67" s="16" t="e">
        <f>((DW66+(Crescimento!#REF!-(DW66*0.64))/0.8)/1000)-Crescimento!#REF!</f>
        <v>#REF!</v>
      </c>
      <c r="DW67" s="17" t="e">
        <f>-53.07 + (304.89 * (DV67)) + (90.79 *(Crescimento!#REF!-Crescimento!#REF!)) - (3.13 * (Crescimento!#REF!-Crescimento!#REF!)^2)</f>
        <v>#REF!</v>
      </c>
      <c r="DY67" s="16" t="e">
        <f>((DZ66+(Crescimento!#REF!-(DZ66*0.64))/0.8)/1000)-Crescimento!#REF!</f>
        <v>#REF!</v>
      </c>
      <c r="DZ67" s="17" t="e">
        <f>-53.07 + (304.89 * (DY67)) + (90.79 *(Crescimento!#REF!-Crescimento!#REF!)) - (3.13 * (Crescimento!#REF!-Crescimento!#REF!)^2)</f>
        <v>#REF!</v>
      </c>
      <c r="EB67" s="16" t="e">
        <f>((EC66+(Crescimento!#REF!-(EC66*0.64))/0.8)/1000)-Crescimento!#REF!</f>
        <v>#REF!</v>
      </c>
      <c r="EC67" s="17" t="e">
        <f>-53.07 + (304.89 * (EB67)) + (90.79 *(Crescimento!#REF!-Crescimento!#REF!)) - (3.13 * (Crescimento!#REF!-Crescimento!#REF!)^2)</f>
        <v>#REF!</v>
      </c>
      <c r="EE67" s="16" t="e">
        <f>((EF66+(Crescimento!#REF!-(EF66*0.64))/0.8)/1000)-Crescimento!#REF!</f>
        <v>#REF!</v>
      </c>
      <c r="EF67" s="17" t="e">
        <f>-53.07 + (304.89 * (EE67)) + (90.79 *(Crescimento!#REF!-Crescimento!#REF!)) - (3.13 * (Crescimento!#REF!-Crescimento!#REF!)^2)</f>
        <v>#REF!</v>
      </c>
      <c r="EH67" s="16" t="e">
        <f>((EI66+(Crescimento!#REF!-(EI66*0.64))/0.8)/1000)-Crescimento!#REF!</f>
        <v>#REF!</v>
      </c>
      <c r="EI67" s="17" t="e">
        <f>-53.07 + (304.89 * (EH67)) + (90.79 *(Crescimento!#REF!-Crescimento!#REF!)) - (3.13 * (Crescimento!#REF!-Crescimento!#REF!)^2)</f>
        <v>#REF!</v>
      </c>
      <c r="EK67" s="16" t="e">
        <f>((EL66+(Crescimento!#REF!-(EL66*0.64))/0.8)/1000)-Crescimento!#REF!</f>
        <v>#REF!</v>
      </c>
      <c r="EL67" s="17" t="e">
        <f>-53.07 + (304.89 * (EK67)) + (90.79 *(Crescimento!#REF!-Crescimento!#REF!)) - (3.13 * (Crescimento!#REF!-Crescimento!#REF!)^2)</f>
        <v>#REF!</v>
      </c>
      <c r="EN67" s="16" t="e">
        <f>((EO66+(Crescimento!#REF!-(EO66*0.64))/0.8)/1000)-Crescimento!#REF!</f>
        <v>#REF!</v>
      </c>
      <c r="EO67" s="17" t="e">
        <f>-53.07 + (304.89 * (EN67)) + (90.79 *(Crescimento!#REF!-Crescimento!#REF!)) - (3.13 * (Crescimento!#REF!-Crescimento!#REF!)^2)</f>
        <v>#REF!</v>
      </c>
      <c r="EQ67" s="16" t="e">
        <f>((ER66+(Crescimento!#REF!-(ER66*0.64))/0.8)/1000)-Crescimento!#REF!</f>
        <v>#REF!</v>
      </c>
      <c r="ER67" s="17" t="e">
        <f>-53.07 + (304.89 * (EQ67)) + (90.79 *(Crescimento!#REF!-Crescimento!#REF!)) - (3.13 * (Crescimento!#REF!-Crescimento!#REF!)^2)</f>
        <v>#REF!</v>
      </c>
      <c r="ET67" s="16" t="e">
        <f>((EU66+(Crescimento!#REF!-(EU66*0.64))/0.8)/1000)-Crescimento!#REF!</f>
        <v>#REF!</v>
      </c>
      <c r="EU67" s="17" t="e">
        <f>-53.07 + (304.89 * (ET67)) + (90.79 *(Crescimento!#REF!-Crescimento!#REF!)) - (3.13 * (Crescimento!#REF!-Crescimento!#REF!)^2)</f>
        <v>#REF!</v>
      </c>
      <c r="EW67" s="16" t="e">
        <f>((EX66+('Vacas e Bezerros'!#REF!-(EX66*0.64))/0.8)/1000)-'Vacas e Bezerros'!#REF!</f>
        <v>#REF!</v>
      </c>
      <c r="EX67" s="17" t="e">
        <f>-53.07 + (304.89 * (EW67)) + (90.79 *('Vacas e Bezerros'!#REF!-'Vacas e Bezerros'!#REF!)) - (3.13 * ('Vacas e Bezerros'!#REF!-'Vacas e Bezerros'!#REF!)^2)</f>
        <v>#REF!</v>
      </c>
      <c r="EZ67" s="16" t="e">
        <f>((FA66+('Vacas e Bezerros'!#REF!-(FA66*0.64))/0.8)/1000)-'Vacas e Bezerros'!#REF!</f>
        <v>#REF!</v>
      </c>
      <c r="FA67" s="17" t="e">
        <f>-53.07 + (304.89 * (EZ67)) + (90.79 *('Vacas e Bezerros'!#REF!-'Vacas e Bezerros'!#REF!)) - (3.13 * ('Vacas e Bezerros'!#REF!-'Vacas e Bezerros'!#REF!)^2)</f>
        <v>#REF!</v>
      </c>
      <c r="FC67" s="16" t="e">
        <f>((FD66+('Vacas e Bezerros'!#REF!-(FD66*0.64))/0.8)/1000)-'Vacas e Bezerros'!#REF!</f>
        <v>#REF!</v>
      </c>
      <c r="FD67" s="17" t="e">
        <f>-53.07 + (304.89 * (FC67)) + (90.79 *('Vacas e Bezerros'!#REF!-'Vacas e Bezerros'!#REF!)) - (3.13 * ('Vacas e Bezerros'!#REF!-'Vacas e Bezerros'!#REF!)^2)</f>
        <v>#REF!</v>
      </c>
      <c r="FF67" s="16" t="e">
        <f>((FG66+('Vacas e Bezerros'!#REF!-(FG66*0.64))/0.8)/1000)-'Vacas e Bezerros'!#REF!</f>
        <v>#REF!</v>
      </c>
      <c r="FG67" s="17" t="e">
        <f>-53.07 + (304.89 * (FF67)) + (90.79 *('Vacas e Bezerros'!#REF!-'Vacas e Bezerros'!#REF!)) - (3.13 * ('Vacas e Bezerros'!#REF!-'Vacas e Bezerros'!#REF!)^2)</f>
        <v>#REF!</v>
      </c>
      <c r="FI67" s="16" t="e">
        <f>((FJ66+('Vacas e Bezerros'!#REF!-(FJ66*0.64))/0.8)/1000)-'Vacas e Bezerros'!#REF!</f>
        <v>#REF!</v>
      </c>
      <c r="FJ67" s="17" t="e">
        <f>-53.07 + (304.89 * (FI67)) + (90.79 *('Vacas e Bezerros'!#REF!-'Vacas e Bezerros'!#REF!)) - (3.13 * ('Vacas e Bezerros'!#REF!-'Vacas e Bezerros'!#REF!)^2)</f>
        <v>#REF!</v>
      </c>
      <c r="FL67" s="16" t="e">
        <f>((FM66+('Vacas e Bezerros'!#REF!-(FM66*0.64))/0.8)/1000)-'Vacas e Bezerros'!#REF!</f>
        <v>#REF!</v>
      </c>
      <c r="FM67" s="17" t="e">
        <f>-53.07 + (304.89 * (FL67)) + (90.79 *('Vacas e Bezerros'!#REF!-'Vacas e Bezerros'!#REF!)) - (3.13 * ('Vacas e Bezerros'!#REF!-'Vacas e Bezerros'!#REF!)^2)</f>
        <v>#REF!</v>
      </c>
      <c r="FO67" s="16" t="e">
        <f>((FP66+('Vacas e Bezerros'!#REF!-(FP66*0.64))/0.8)/1000)-'Vacas e Bezerros'!#REF!</f>
        <v>#REF!</v>
      </c>
      <c r="FP67" s="17" t="e">
        <f>-53.07 + (304.89 * (FO67)) + (90.79 *('Vacas e Bezerros'!#REF!-'Vacas e Bezerros'!#REF!)) - (3.13 * ('Vacas e Bezerros'!#REF!-'Vacas e Bezerros'!#REF!)^2)</f>
        <v>#REF!</v>
      </c>
      <c r="FR67" s="16" t="e">
        <f>((FS66+('Vacas e Bezerros'!#REF!-(FS66*0.64))/0.8)/1000)-'Vacas e Bezerros'!#REF!</f>
        <v>#REF!</v>
      </c>
      <c r="FS67" s="17" t="e">
        <f>-53.07 + (304.89 * (FR67)) + (90.79 *('Vacas e Bezerros'!#REF!-'Vacas e Bezerros'!#REF!)) - (3.13 * ('Vacas e Bezerros'!#REF!-'Vacas e Bezerros'!#REF!)^2)</f>
        <v>#REF!</v>
      </c>
      <c r="FU67" s="16" t="e">
        <f>((FV66+('Vacas e Bezerros'!#REF!-(FV66*0.64))/0.8)/1000)-'Vacas e Bezerros'!#REF!</f>
        <v>#REF!</v>
      </c>
      <c r="FV67" s="17" t="e">
        <f>-53.07 + (304.89 * (FU67)) + (90.79 *('Vacas e Bezerros'!#REF!-'Vacas e Bezerros'!#REF!)) - (3.13 * ('Vacas e Bezerros'!#REF!-'Vacas e Bezerros'!#REF!)^2)</f>
        <v>#REF!</v>
      </c>
      <c r="FX67" s="16" t="e">
        <f>((FY66+('Vacas e Bezerros'!#REF!-(FY66*0.64))/0.8)/1000)-'Vacas e Bezerros'!#REF!</f>
        <v>#REF!</v>
      </c>
      <c r="FY67" s="17" t="e">
        <f>-53.07 + (304.89 * (FX67)) + (90.79 *('Vacas e Bezerros'!#REF!-'Vacas e Bezerros'!#REF!)) - (3.13 * ('Vacas e Bezerros'!#REF!-'Vacas e Bezerros'!#REF!)^2)</f>
        <v>#REF!</v>
      </c>
      <c r="GA67" s="16" t="e">
        <f>((GB66+('Vacas e Bezerros'!#REF!-(GB66*0.64))/0.8)/1000)-'Vacas e Bezerros'!#REF!</f>
        <v>#REF!</v>
      </c>
      <c r="GB67" s="17" t="e">
        <f>-53.07 + (304.89 * (GA67)) + (90.79 *('Vacas e Bezerros'!#REF!-'Vacas e Bezerros'!#REF!)) - (3.13 * ('Vacas e Bezerros'!#REF!-'Vacas e Bezerros'!#REF!)^2)</f>
        <v>#REF!</v>
      </c>
      <c r="GD67" s="16" t="e">
        <f>((GE66+('Vacas e Bezerros'!#REF!-(GE66*0.64))/0.8)/1000)-'Vacas e Bezerros'!#REF!</f>
        <v>#REF!</v>
      </c>
      <c r="GE67" s="17" t="e">
        <f>-53.07 + (304.89 * (GD67)) + (90.79 *('Vacas e Bezerros'!#REF!-'Vacas e Bezerros'!#REF!)) - (3.13 * ('Vacas e Bezerros'!#REF!-'Vacas e Bezerros'!#REF!)^2)</f>
        <v>#REF!</v>
      </c>
      <c r="GG67" s="16" t="e">
        <f>((GH66+('Vacas e Bezerros'!#REF!-(GH66*0.64))/0.8)/1000)-'Vacas e Bezerros'!#REF!</f>
        <v>#REF!</v>
      </c>
      <c r="GH67" s="17" t="e">
        <f>-53.07 + (304.89 * (GG67)) + (90.79 *('Vacas e Bezerros'!#REF!-'Vacas e Bezerros'!#REF!)) - (3.13 * ('Vacas e Bezerros'!#REF!-'Vacas e Bezerros'!#REF!)^2)</f>
        <v>#REF!</v>
      </c>
      <c r="GJ67" s="16" t="e">
        <f>((GK66+('Vacas e Bezerros'!#REF!-(GK66*0.64))/0.8)/1000)-'Vacas e Bezerros'!#REF!</f>
        <v>#REF!</v>
      </c>
      <c r="GK67" s="17" t="e">
        <f>-53.07 + (304.89 * (GJ67)) + (90.79 *('Vacas e Bezerros'!#REF!-'Vacas e Bezerros'!#REF!)) - (3.13 * ('Vacas e Bezerros'!#REF!-'Vacas e Bezerros'!#REF!)^2)</f>
        <v>#REF!</v>
      </c>
      <c r="GM67" s="16" t="e">
        <f>((GN66+('Vacas e Bezerros'!#REF!-(GN66*0.64))/0.8)/1000)-'Vacas e Bezerros'!#REF!</f>
        <v>#REF!</v>
      </c>
      <c r="GN67" s="17" t="e">
        <f>-53.07 + (304.89 * (GM67)) + (90.79 *('Vacas e Bezerros'!#REF!-'Vacas e Bezerros'!#REF!)) - (3.13 * ('Vacas e Bezerros'!#REF!-'Vacas e Bezerros'!#REF!)^2)</f>
        <v>#REF!</v>
      </c>
    </row>
    <row r="68" spans="3:196" x14ac:dyDescent="0.25">
      <c r="C68" s="16">
        <f>(D67+('Vacas e Bezerros'!$AA$28-(D67*0.64))/0.8)/1000</f>
        <v>0.35719668016155687</v>
      </c>
      <c r="D68" s="17">
        <f>-53.07 + (304.89 * (C68-'Vacas e Bezerros'!$C$206)) + (90.79 *('Vacas e Bezerros'!$AA$22)) - (3.13 *('Vacas e Bezerros'!$AA$22)^2)</f>
        <v>165.01876457544017</v>
      </c>
      <c r="F68" s="16" t="e">
        <f>(G67+(Crescimento!#REF!-(G67*0.64))/0.8)/1000</f>
        <v>#REF!</v>
      </c>
      <c r="G68" s="17" t="e">
        <f>-53.07 + (304.89 * (F68)) + (90.79 *Crescimento!#REF!) - (3.13 * Crescimento!#REF!*Crescimento!#REF!)</f>
        <v>#REF!</v>
      </c>
      <c r="H68" s="1"/>
      <c r="I68" s="16" t="e">
        <f>(J67+(Crescimento!#REF!-(J67*0.64))/0.8)/1000</f>
        <v>#REF!</v>
      </c>
      <c r="J68" s="17" t="e">
        <f>-53.07 + (304.89 * (I68)) + (90.79 *Crescimento!#REF!) - (3.13 * Crescimento!#REF!*Crescimento!#REF!)</f>
        <v>#REF!</v>
      </c>
      <c r="L68" s="16" t="e">
        <f>(M67+(Crescimento!#REF!-(M67*0.64))/0.8)/1000</f>
        <v>#REF!</v>
      </c>
      <c r="M68" s="17" t="e">
        <f>-53.07 + (304.89 * (L68)) + (90.79 *Crescimento!#REF!) - (3.13 * Crescimento!#REF!*Crescimento!#REF!)</f>
        <v>#REF!</v>
      </c>
      <c r="O68" s="16" t="e">
        <f>(P67+(Crescimento!#REF!-(P67*0.64))/0.8)/1000</f>
        <v>#REF!</v>
      </c>
      <c r="P68" s="17" t="e">
        <f>-53.07 + (304.89 * (O68)) + (90.79 *Crescimento!#REF!) - (3.13 * Crescimento!#REF!*Crescimento!#REF!)</f>
        <v>#REF!</v>
      </c>
      <c r="R68" s="16" t="e">
        <f>(S67+(Crescimento!#REF!-(S67*0.64))/0.8)/1000</f>
        <v>#REF!</v>
      </c>
      <c r="S68" s="17" t="e">
        <f>-53.07 + (304.89 * (R68)) + (90.79 *Crescimento!#REF!) - (3.13 * Crescimento!#REF!*Crescimento!#REF!)</f>
        <v>#REF!</v>
      </c>
      <c r="U68" s="16" t="e">
        <f>(V67+(Crescimento!#REF!-(V67*0.64))/0.8)/1000</f>
        <v>#REF!</v>
      </c>
      <c r="V68" s="17" t="e">
        <f>-53.07 + (304.89 * (U68)) + (90.79 *Crescimento!#REF!) - (3.13 * Crescimento!#REF!*Crescimento!#REF!)</f>
        <v>#REF!</v>
      </c>
      <c r="X68" s="16" t="e">
        <f>(Y67+(Crescimento!#REF!-(Y67*0.64))/0.8)/1000</f>
        <v>#REF!</v>
      </c>
      <c r="Y68" s="17" t="e">
        <f>-53.07 + (304.89 * (X68)) + (90.79 *Crescimento!#REF!) - (3.13 * Crescimento!#REF!*Crescimento!#REF!)</f>
        <v>#REF!</v>
      </c>
      <c r="Z68" s="6"/>
      <c r="AA68" s="16" t="e">
        <f>(AB67+(Crescimento!#REF!-(AB67*0.64))/0.8)/1000</f>
        <v>#REF!</v>
      </c>
      <c r="AB68" s="17" t="e">
        <f>-53.07 + (304.89 * (AA68)) + (90.79 *Crescimento!#REF!) - (3.13 * Crescimento!#REF!*Crescimento!#REF!)</f>
        <v>#REF!</v>
      </c>
      <c r="AC68" s="6"/>
      <c r="AD68" s="16" t="e">
        <f>(AE67+(Crescimento!#REF!-(AE67*0.64))/0.8)/1000</f>
        <v>#REF!</v>
      </c>
      <c r="AE68" s="17" t="e">
        <f>-53.07 + (304.89 * (AD68)) + (90.79 *Crescimento!#REF!) - (3.13 * Crescimento!#REF!*Crescimento!#REF!)</f>
        <v>#REF!</v>
      </c>
      <c r="AF68" s="17"/>
      <c r="AG68" s="16" t="e">
        <f>(AH67+(Crescimento!#REF!-(AH67*0.64))/0.8)/1000</f>
        <v>#REF!</v>
      </c>
      <c r="AH68" s="17" t="e">
        <f>-53.07 + (304.89 * (AG68)) + (90.79 *Crescimento!#REF!) - (3.13 * Crescimento!#REF!*Crescimento!#REF!)</f>
        <v>#REF!</v>
      </c>
      <c r="AJ68" s="16" t="e">
        <f>(AK67+(Crescimento!#REF!-(AK67*0.64))/0.8)/1000</f>
        <v>#REF!</v>
      </c>
      <c r="AK68" s="17" t="e">
        <f>-53.07 + (304.89 * (AJ68)) + (90.79 *Crescimento!#REF!) - (3.13 * Crescimento!#REF!*Crescimento!#REF!)</f>
        <v>#REF!</v>
      </c>
      <c r="AM68" s="16" t="e">
        <f>(AN67+(Crescimento!#REF!-(AN67*0.64))/0.8)/1000</f>
        <v>#REF!</v>
      </c>
      <c r="AN68" s="17" t="e">
        <f>-53.07 + (304.89 * (AM68)) + (90.79 *Crescimento!#REF!) - (3.13 * Crescimento!#REF!*Crescimento!#REF!)</f>
        <v>#REF!</v>
      </c>
      <c r="AP68" s="16" t="e">
        <f>(AQ67+(Crescimento!#REF!-(AQ67*0.64))/0.8)/1000</f>
        <v>#REF!</v>
      </c>
      <c r="AQ68" s="17" t="e">
        <f>-53.07 + (304.89 * (AP68)) + (90.79 *Crescimento!#REF!) - (3.13 * Crescimento!#REF!*Crescimento!#REF!)</f>
        <v>#REF!</v>
      </c>
      <c r="AS68" s="16" t="e">
        <f>(AT67+(Crescimento!#REF!-(AT67*0.64))/0.8)/1000</f>
        <v>#REF!</v>
      </c>
      <c r="AT68" s="17" t="e">
        <f>-53.07 + (304.89 * (AS68)) + (90.79 *Crescimento!#REF!) - (3.13 * Crescimento!#REF!*Crescimento!#REF!)</f>
        <v>#REF!</v>
      </c>
      <c r="AV68" s="16" t="e">
        <f>(AW67+(Crescimento!#REF!-(AW67*0.64))/0.8)/1000</f>
        <v>#REF!</v>
      </c>
      <c r="AW68" s="17" t="e">
        <f>-53.07 + (304.89 * (AV68)) + (90.79 *Crescimento!#REF!) - (3.13 * Crescimento!#REF!*Crescimento!#REF!)</f>
        <v>#REF!</v>
      </c>
      <c r="AY68" s="21" t="e">
        <f>((AZ67+(Crescimento!#REF!-(AZ67*0.64))/0.8)/1000)-Crescimento!#REF!</f>
        <v>#REF!</v>
      </c>
      <c r="AZ68" s="22" t="e">
        <f>-53.07 + (304.89 * (AY68)) + (90.79 *(Crescimento!#REF!-Crescimento!#REF!)) - (3.13 * (Crescimento!#REF!-Crescimento!#REF!)^2)</f>
        <v>#REF!</v>
      </c>
      <c r="BA68" s="23"/>
      <c r="BB68" s="21" t="e">
        <f>((BC67+(Crescimento!#REF!-(BC67*0.64))/0.8)/1000)-Crescimento!#REF!</f>
        <v>#REF!</v>
      </c>
      <c r="BC68" s="22" t="e">
        <f>-53.07 + (304.89 * (BB68)) + (90.79 *(Crescimento!#REF!-Crescimento!#REF!)) - (3.13 * (Crescimento!#REF!-Crescimento!#REF!)^2)</f>
        <v>#REF!</v>
      </c>
      <c r="BD68" s="23"/>
      <c r="BE68" s="21" t="e">
        <f>((BF67+(Crescimento!#REF!-(BF67*0.64))/0.8)/1000)-Crescimento!#REF!</f>
        <v>#REF!</v>
      </c>
      <c r="BF68" s="22" t="e">
        <f>-53.07 + (304.89 * (BE68)) + (90.79 *(Crescimento!#REF!-Crescimento!#REF!)) - (3.13 * (Crescimento!#REF!-Crescimento!#REF!)^2)</f>
        <v>#REF!</v>
      </c>
      <c r="BG68" s="23"/>
      <c r="BH68" s="21" t="e">
        <f>((BI67+(Crescimento!#REF!-(BI67*0.64))/0.8)/1000)-Crescimento!#REF!</f>
        <v>#REF!</v>
      </c>
      <c r="BI68" s="22" t="e">
        <f>-53.07 + (304.89 * (BH68)) + (90.79 *(Crescimento!#REF!-Crescimento!#REF!)) - (3.13 * (Crescimento!#REF!-Crescimento!#REF!)^2)</f>
        <v>#REF!</v>
      </c>
      <c r="BJ68" s="23"/>
      <c r="BK68" s="21" t="e">
        <f>((BL67+(Crescimento!#REF!-(BL67*0.64))/0.8)/1000)-Crescimento!#REF!</f>
        <v>#REF!</v>
      </c>
      <c r="BL68" s="22" t="e">
        <f>-53.07 + (304.89 * (BK68)) + (90.79 *(Crescimento!#REF!-Crescimento!#REF!)) - (3.13 * (Crescimento!#REF!-Crescimento!#REF!)^2)</f>
        <v>#REF!</v>
      </c>
      <c r="BM68" s="23"/>
      <c r="BN68" s="21" t="e">
        <f>((BO67+(Crescimento!#REF!-(BO67*0.64))/0.8)/1000)-Crescimento!#REF!</f>
        <v>#REF!</v>
      </c>
      <c r="BO68" s="22" t="e">
        <f>-53.07 + (304.89 * (BN68)) + (90.79 *(Crescimento!#REF!-Crescimento!#REF!)) - (3.13 * (Crescimento!#REF!-Crescimento!#REF!)^2)</f>
        <v>#REF!</v>
      </c>
      <c r="BP68" s="23"/>
      <c r="BQ68" s="21" t="e">
        <f>((BR67+(Crescimento!#REF!-(BR67*0.64))/0.8)/1000)-Crescimento!#REF!</f>
        <v>#REF!</v>
      </c>
      <c r="BR68" s="22" t="e">
        <f>-53.07 + (304.89 * (BQ68)) + (90.79 *(Crescimento!#REF!-Crescimento!#REF!)) - (3.13 * (Crescimento!#REF!-Crescimento!#REF!)^2)</f>
        <v>#REF!</v>
      </c>
      <c r="BS68" s="23"/>
      <c r="BT68" s="21" t="e">
        <f>((BU67+(Crescimento!#REF!-(BU67*0.64))/0.8)/1000)-Crescimento!#REF!</f>
        <v>#REF!</v>
      </c>
      <c r="BU68" s="22" t="e">
        <f>-53.07 + (304.89 * (BT68)) + (90.79 *(Crescimento!#REF!-Crescimento!#REF!)) - (3.13 * (Crescimento!#REF!-Crescimento!#REF!)^2)</f>
        <v>#REF!</v>
      </c>
      <c r="BV68" s="23"/>
      <c r="BW68" s="21" t="e">
        <f>((BX67+(Crescimento!#REF!-(BX67*0.64))/0.8)/1000)-Crescimento!#REF!</f>
        <v>#REF!</v>
      </c>
      <c r="BX68" s="22" t="e">
        <f>-53.07 + (304.89 * (BW68)) + (90.79 *(Crescimento!#REF!-Crescimento!#REF!)) - (3.13 * (Crescimento!#REF!-Crescimento!#REF!)^2)</f>
        <v>#REF!</v>
      </c>
      <c r="BY68" s="23"/>
      <c r="BZ68" s="21" t="e">
        <f>((CA67+(Crescimento!#REF!-(CA67*0.64))/0.8)/1000)-Crescimento!#REF!</f>
        <v>#REF!</v>
      </c>
      <c r="CA68" s="22" t="e">
        <f>-53.07 + (304.89 * (BZ68)) + (90.79 *(Crescimento!#REF!-Crescimento!#REF!)) - (3.13 * (Crescimento!#REF!-Crescimento!#REF!)^2)</f>
        <v>#REF!</v>
      </c>
      <c r="CB68" s="23"/>
      <c r="CC68" s="21" t="e">
        <f>((CD67+(Crescimento!#REF!-(CD67*0.64))/0.8)/1000)-Crescimento!#REF!</f>
        <v>#REF!</v>
      </c>
      <c r="CD68" s="22" t="e">
        <f>-53.07 + (304.89 * (CC68)) + (90.79 *(Crescimento!#REF!-Crescimento!#REF!)) - (3.13 * (Crescimento!#REF!-Crescimento!#REF!)^2)</f>
        <v>#REF!</v>
      </c>
      <c r="CE68" s="23"/>
      <c r="CF68" s="21" t="e">
        <f>((CG67+(Crescimento!#REF!-(CG67*0.64))/0.8)/1000)-Crescimento!#REF!</f>
        <v>#REF!</v>
      </c>
      <c r="CG68" s="22" t="e">
        <f>-53.07 + (304.89 * (CF68)) + (90.79 *(Crescimento!#REF!-Crescimento!#REF!)) - (3.13 * (Crescimento!#REF!-Crescimento!#REF!)^2)</f>
        <v>#REF!</v>
      </c>
      <c r="CH68" s="23"/>
      <c r="CI68" s="21" t="e">
        <f>((CJ67+(Crescimento!#REF!-(CJ67*0.64))/0.8)/1000)-Crescimento!#REF!</f>
        <v>#REF!</v>
      </c>
      <c r="CJ68" s="22" t="e">
        <f>-53.07 + (304.89 * (CI68)) + (90.79 *(Crescimento!#REF!-Crescimento!#REF!)) - (3.13 * (Crescimento!#REF!-Crescimento!#REF!)^2)</f>
        <v>#REF!</v>
      </c>
      <c r="CK68" s="23"/>
      <c r="CL68" s="21" t="e">
        <f>((CM67+(Crescimento!#REF!-(CM67*0.64))/0.8)/1000)-Crescimento!#REF!</f>
        <v>#REF!</v>
      </c>
      <c r="CM68" s="22" t="e">
        <f>-53.07 + (304.89 * (CL68)) + (90.79 *(Crescimento!#REF!-Crescimento!#REF!)) - (3.13 * (Crescimento!#REF!-Crescimento!#REF!)^2)</f>
        <v>#REF!</v>
      </c>
      <c r="CN68" s="23"/>
      <c r="CO68" s="21" t="e">
        <f>((CP67+(Crescimento!#REF!-(CP67*0.64))/0.8)/1000)-Crescimento!#REF!</f>
        <v>#REF!</v>
      </c>
      <c r="CP68" s="22" t="e">
        <f>-53.07 + (304.89 * (CO68)) + (90.79 *(Crescimento!#REF!-Crescimento!#REF!)) - (3.13 * (Crescimento!#REF!-Crescimento!#REF!)^2)</f>
        <v>#REF!</v>
      </c>
      <c r="CQ68" s="23"/>
      <c r="CR68" s="21" t="e">
        <f>((CS67+(Crescimento!#REF!-(CS67*0.64))/0.8)/1000)-Crescimento!#REF!</f>
        <v>#REF!</v>
      </c>
      <c r="CS68" s="22" t="e">
        <f>-53.07 + (304.89 * (CR68)) + (90.79 *(Crescimento!#REF!-Crescimento!#REF!)) - (3.13 * (Crescimento!#REF!-Crescimento!#REF!)^2)</f>
        <v>#REF!</v>
      </c>
      <c r="CX68" s="16" t="e">
        <f>((CY67+(Crescimento!#REF!-(CY67*0.64))/0.8)/1000)-Crescimento!#REF!</f>
        <v>#REF!</v>
      </c>
      <c r="CY68" s="17" t="e">
        <f>-53.07 + (304.89 * (CX68)) + (90.79 *(Crescimento!#REF!-Crescimento!#REF!)) - (3.13 * (Crescimento!#REF!-Crescimento!#REF!)^2)</f>
        <v>#REF!</v>
      </c>
      <c r="DA68" s="16" t="e">
        <f>((DB67+(Crescimento!#REF!-(DB67*0.64))/0.8)/1000)-Crescimento!#REF!</f>
        <v>#REF!</v>
      </c>
      <c r="DB68" s="17" t="e">
        <f>-53.07 + (304.89 * (DA68)) + (90.79 *(Crescimento!#REF!-Crescimento!#REF!)) - (3.13 * (Crescimento!#REF!-Crescimento!#REF!)^2)</f>
        <v>#REF!</v>
      </c>
      <c r="DD68" s="16" t="e">
        <f>(DE67+(Crescimento!#REF!-(DE67*0.64))/0.8)/1000</f>
        <v>#REF!</v>
      </c>
      <c r="DE68" s="17" t="e">
        <f>-53.07 + (304.89 * (DD68)) + (90.79 *Crescimento!#REF!) - (3.13 * Crescimento!#REF!*Crescimento!#REF!)</f>
        <v>#REF!</v>
      </c>
      <c r="DG68" s="16" t="e">
        <f>((DH67+(Crescimento!#REF!-(DH67*0.64))/0.8)/1000)-Crescimento!#REF!</f>
        <v>#REF!</v>
      </c>
      <c r="DH68" s="17" t="e">
        <f>-53.07 + (304.89 * (DG68)) + (90.79 *(Crescimento!#REF!-Crescimento!#REF!)) - (3.13 * (Crescimento!#REF!-Crescimento!#REF!)^2)</f>
        <v>#REF!</v>
      </c>
      <c r="DJ68" s="16" t="e">
        <f>((DK67+(Crescimento!#REF!-(DK67*0.64))/0.8)/1000)-Crescimento!#REF!</f>
        <v>#REF!</v>
      </c>
      <c r="DK68" s="17" t="e">
        <f>-53.07 + (304.89 * (DJ68)) + (90.79 *(Crescimento!#REF!-Crescimento!#REF!)) - (3.13 * (Crescimento!#REF!-Crescimento!#REF!)^2)</f>
        <v>#REF!</v>
      </c>
      <c r="DM68" s="16" t="e">
        <f>((DN67+(Crescimento!#REF!-(DN67*0.64))/0.8)/1000)-Crescimento!#REF!</f>
        <v>#REF!</v>
      </c>
      <c r="DN68" s="17" t="e">
        <f>-53.07 + (304.89 * (DM68)) + (90.79 *(Crescimento!#REF!-Crescimento!#REF!)) - (3.13 * (Crescimento!#REF!-Crescimento!#REF!)^2)</f>
        <v>#REF!</v>
      </c>
      <c r="DP68" s="16" t="e">
        <f>(DQ67+(Crescimento!#REF!-(DQ67*0.64))/0.8)/1000</f>
        <v>#REF!</v>
      </c>
      <c r="DQ68" s="17" t="e">
        <f>-53.07 + (304.89 * (DP68)) + (90.79 *(Crescimento!#REF!-Crescimento!#REF!)) - (3.13 * (Crescimento!#REF!-Crescimento!#REF!)^2)</f>
        <v>#REF!</v>
      </c>
      <c r="DS68" s="16" t="e">
        <f>((DT67+(Crescimento!#REF!-(DT67*0.64))/0.8)/1000)-Crescimento!#REF!</f>
        <v>#REF!</v>
      </c>
      <c r="DT68" s="17" t="e">
        <f>-53.07 + (304.89 * (DS68)) + (90.79 *(Crescimento!#REF!-Crescimento!#REF!)) - (3.13 * (Crescimento!#REF!-Crescimento!#REF!)^2)</f>
        <v>#REF!</v>
      </c>
      <c r="DV68" s="16" t="e">
        <f>((DW67+(Crescimento!#REF!-(DW67*0.64))/0.8)/1000)-Crescimento!#REF!</f>
        <v>#REF!</v>
      </c>
      <c r="DW68" s="17" t="e">
        <f>-53.07 + (304.89 * (DV68)) + (90.79 *(Crescimento!#REF!-Crescimento!#REF!)) - (3.13 * (Crescimento!#REF!-Crescimento!#REF!)^2)</f>
        <v>#REF!</v>
      </c>
      <c r="DY68" s="16" t="e">
        <f>((DZ67+(Crescimento!#REF!-(DZ67*0.64))/0.8)/1000)-Crescimento!#REF!</f>
        <v>#REF!</v>
      </c>
      <c r="DZ68" s="17" t="e">
        <f>-53.07 + (304.89 * (DY68)) + (90.79 *(Crescimento!#REF!-Crescimento!#REF!)) - (3.13 * (Crescimento!#REF!-Crescimento!#REF!)^2)</f>
        <v>#REF!</v>
      </c>
      <c r="EB68" s="16" t="e">
        <f>((EC67+(Crescimento!#REF!-(EC67*0.64))/0.8)/1000)-Crescimento!#REF!</f>
        <v>#REF!</v>
      </c>
      <c r="EC68" s="17" t="e">
        <f>-53.07 + (304.89 * (EB68)) + (90.79 *(Crescimento!#REF!-Crescimento!#REF!)) - (3.13 * (Crescimento!#REF!-Crescimento!#REF!)^2)</f>
        <v>#REF!</v>
      </c>
      <c r="EE68" s="16" t="e">
        <f>((EF67+(Crescimento!#REF!-(EF67*0.64))/0.8)/1000)-Crescimento!#REF!</f>
        <v>#REF!</v>
      </c>
      <c r="EF68" s="17" t="e">
        <f>-53.07 + (304.89 * (EE68)) + (90.79 *(Crescimento!#REF!-Crescimento!#REF!)) - (3.13 * (Crescimento!#REF!-Crescimento!#REF!)^2)</f>
        <v>#REF!</v>
      </c>
      <c r="EH68" s="16" t="e">
        <f>((EI67+(Crescimento!#REF!-(EI67*0.64))/0.8)/1000)-Crescimento!#REF!</f>
        <v>#REF!</v>
      </c>
      <c r="EI68" s="17" t="e">
        <f>-53.07 + (304.89 * (EH68)) + (90.79 *(Crescimento!#REF!-Crescimento!#REF!)) - (3.13 * (Crescimento!#REF!-Crescimento!#REF!)^2)</f>
        <v>#REF!</v>
      </c>
      <c r="EK68" s="16" t="e">
        <f>((EL67+(Crescimento!#REF!-(EL67*0.64))/0.8)/1000)-Crescimento!#REF!</f>
        <v>#REF!</v>
      </c>
      <c r="EL68" s="17" t="e">
        <f>-53.07 + (304.89 * (EK68)) + (90.79 *(Crescimento!#REF!-Crescimento!#REF!)) - (3.13 * (Crescimento!#REF!-Crescimento!#REF!)^2)</f>
        <v>#REF!</v>
      </c>
      <c r="EN68" s="16" t="e">
        <f>((EO67+(Crescimento!#REF!-(EO67*0.64))/0.8)/1000)-Crescimento!#REF!</f>
        <v>#REF!</v>
      </c>
      <c r="EO68" s="17" t="e">
        <f>-53.07 + (304.89 * (EN68)) + (90.79 *(Crescimento!#REF!-Crescimento!#REF!)) - (3.13 * (Crescimento!#REF!-Crescimento!#REF!)^2)</f>
        <v>#REF!</v>
      </c>
      <c r="EQ68" s="16" t="e">
        <f>((ER67+(Crescimento!#REF!-(ER67*0.64))/0.8)/1000)-Crescimento!#REF!</f>
        <v>#REF!</v>
      </c>
      <c r="ER68" s="17" t="e">
        <f>-53.07 + (304.89 * (EQ68)) + (90.79 *(Crescimento!#REF!-Crescimento!#REF!)) - (3.13 * (Crescimento!#REF!-Crescimento!#REF!)^2)</f>
        <v>#REF!</v>
      </c>
      <c r="ET68" s="16" t="e">
        <f>((EU67+(Crescimento!#REF!-(EU67*0.64))/0.8)/1000)-Crescimento!#REF!</f>
        <v>#REF!</v>
      </c>
      <c r="EU68" s="17" t="e">
        <f>-53.07 + (304.89 * (ET68)) + (90.79 *(Crescimento!#REF!-Crescimento!#REF!)) - (3.13 * (Crescimento!#REF!-Crescimento!#REF!)^2)</f>
        <v>#REF!</v>
      </c>
      <c r="EW68" s="16" t="e">
        <f>((EX67+('Vacas e Bezerros'!#REF!-(EX67*0.64))/0.8)/1000)-'Vacas e Bezerros'!#REF!</f>
        <v>#REF!</v>
      </c>
      <c r="EX68" s="17" t="e">
        <f>-53.07 + (304.89 * (EW68)) + (90.79 *('Vacas e Bezerros'!#REF!-'Vacas e Bezerros'!#REF!)) - (3.13 * ('Vacas e Bezerros'!#REF!-'Vacas e Bezerros'!#REF!)^2)</f>
        <v>#REF!</v>
      </c>
      <c r="EZ68" s="16" t="e">
        <f>((FA67+('Vacas e Bezerros'!#REF!-(FA67*0.64))/0.8)/1000)-'Vacas e Bezerros'!#REF!</f>
        <v>#REF!</v>
      </c>
      <c r="FA68" s="17" t="e">
        <f>-53.07 + (304.89 * (EZ68)) + (90.79 *('Vacas e Bezerros'!#REF!-'Vacas e Bezerros'!#REF!)) - (3.13 * ('Vacas e Bezerros'!#REF!-'Vacas e Bezerros'!#REF!)^2)</f>
        <v>#REF!</v>
      </c>
      <c r="FC68" s="16" t="e">
        <f>((FD67+('Vacas e Bezerros'!#REF!-(FD67*0.64))/0.8)/1000)-'Vacas e Bezerros'!#REF!</f>
        <v>#REF!</v>
      </c>
      <c r="FD68" s="17" t="e">
        <f>-53.07 + (304.89 * (FC68)) + (90.79 *('Vacas e Bezerros'!#REF!-'Vacas e Bezerros'!#REF!)) - (3.13 * ('Vacas e Bezerros'!#REF!-'Vacas e Bezerros'!#REF!)^2)</f>
        <v>#REF!</v>
      </c>
      <c r="FF68" s="16" t="e">
        <f>((FG67+('Vacas e Bezerros'!#REF!-(FG67*0.64))/0.8)/1000)-'Vacas e Bezerros'!#REF!</f>
        <v>#REF!</v>
      </c>
      <c r="FG68" s="17" t="e">
        <f>-53.07 + (304.89 * (FF68)) + (90.79 *('Vacas e Bezerros'!#REF!-'Vacas e Bezerros'!#REF!)) - (3.13 * ('Vacas e Bezerros'!#REF!-'Vacas e Bezerros'!#REF!)^2)</f>
        <v>#REF!</v>
      </c>
      <c r="FI68" s="16" t="e">
        <f>((FJ67+('Vacas e Bezerros'!#REF!-(FJ67*0.64))/0.8)/1000)-'Vacas e Bezerros'!#REF!</f>
        <v>#REF!</v>
      </c>
      <c r="FJ68" s="17" t="e">
        <f>-53.07 + (304.89 * (FI68)) + (90.79 *('Vacas e Bezerros'!#REF!-'Vacas e Bezerros'!#REF!)) - (3.13 * ('Vacas e Bezerros'!#REF!-'Vacas e Bezerros'!#REF!)^2)</f>
        <v>#REF!</v>
      </c>
      <c r="FL68" s="16" t="e">
        <f>((FM67+('Vacas e Bezerros'!#REF!-(FM67*0.64))/0.8)/1000)-'Vacas e Bezerros'!#REF!</f>
        <v>#REF!</v>
      </c>
      <c r="FM68" s="17" t="e">
        <f>-53.07 + (304.89 * (FL68)) + (90.79 *('Vacas e Bezerros'!#REF!-'Vacas e Bezerros'!#REF!)) - (3.13 * ('Vacas e Bezerros'!#REF!-'Vacas e Bezerros'!#REF!)^2)</f>
        <v>#REF!</v>
      </c>
      <c r="FO68" s="16" t="e">
        <f>((FP67+('Vacas e Bezerros'!#REF!-(FP67*0.64))/0.8)/1000)-'Vacas e Bezerros'!#REF!</f>
        <v>#REF!</v>
      </c>
      <c r="FP68" s="17" t="e">
        <f>-53.07 + (304.89 * (FO68)) + (90.79 *('Vacas e Bezerros'!#REF!-'Vacas e Bezerros'!#REF!)) - (3.13 * ('Vacas e Bezerros'!#REF!-'Vacas e Bezerros'!#REF!)^2)</f>
        <v>#REF!</v>
      </c>
      <c r="FR68" s="16" t="e">
        <f>((FS67+('Vacas e Bezerros'!#REF!-(FS67*0.64))/0.8)/1000)-'Vacas e Bezerros'!#REF!</f>
        <v>#REF!</v>
      </c>
      <c r="FS68" s="17" t="e">
        <f>-53.07 + (304.89 * (FR68)) + (90.79 *('Vacas e Bezerros'!#REF!-'Vacas e Bezerros'!#REF!)) - (3.13 * ('Vacas e Bezerros'!#REF!-'Vacas e Bezerros'!#REF!)^2)</f>
        <v>#REF!</v>
      </c>
      <c r="FU68" s="16" t="e">
        <f>((FV67+('Vacas e Bezerros'!#REF!-(FV67*0.64))/0.8)/1000)-'Vacas e Bezerros'!#REF!</f>
        <v>#REF!</v>
      </c>
      <c r="FV68" s="17" t="e">
        <f>-53.07 + (304.89 * (FU68)) + (90.79 *('Vacas e Bezerros'!#REF!-'Vacas e Bezerros'!#REF!)) - (3.13 * ('Vacas e Bezerros'!#REF!-'Vacas e Bezerros'!#REF!)^2)</f>
        <v>#REF!</v>
      </c>
      <c r="FX68" s="16" t="e">
        <f>((FY67+('Vacas e Bezerros'!#REF!-(FY67*0.64))/0.8)/1000)-'Vacas e Bezerros'!#REF!</f>
        <v>#REF!</v>
      </c>
      <c r="FY68" s="17" t="e">
        <f>-53.07 + (304.89 * (FX68)) + (90.79 *('Vacas e Bezerros'!#REF!-'Vacas e Bezerros'!#REF!)) - (3.13 * ('Vacas e Bezerros'!#REF!-'Vacas e Bezerros'!#REF!)^2)</f>
        <v>#REF!</v>
      </c>
      <c r="GA68" s="16" t="e">
        <f>((GB67+('Vacas e Bezerros'!#REF!-(GB67*0.64))/0.8)/1000)-'Vacas e Bezerros'!#REF!</f>
        <v>#REF!</v>
      </c>
      <c r="GB68" s="17" t="e">
        <f>-53.07 + (304.89 * (GA68)) + (90.79 *('Vacas e Bezerros'!#REF!-'Vacas e Bezerros'!#REF!)) - (3.13 * ('Vacas e Bezerros'!#REF!-'Vacas e Bezerros'!#REF!)^2)</f>
        <v>#REF!</v>
      </c>
      <c r="GD68" s="16" t="e">
        <f>((GE67+('Vacas e Bezerros'!#REF!-(GE67*0.64))/0.8)/1000)-'Vacas e Bezerros'!#REF!</f>
        <v>#REF!</v>
      </c>
      <c r="GE68" s="17" t="e">
        <f>-53.07 + (304.89 * (GD68)) + (90.79 *('Vacas e Bezerros'!#REF!-'Vacas e Bezerros'!#REF!)) - (3.13 * ('Vacas e Bezerros'!#REF!-'Vacas e Bezerros'!#REF!)^2)</f>
        <v>#REF!</v>
      </c>
      <c r="GG68" s="16" t="e">
        <f>((GH67+('Vacas e Bezerros'!#REF!-(GH67*0.64))/0.8)/1000)-'Vacas e Bezerros'!#REF!</f>
        <v>#REF!</v>
      </c>
      <c r="GH68" s="17" t="e">
        <f>-53.07 + (304.89 * (GG68)) + (90.79 *('Vacas e Bezerros'!#REF!-'Vacas e Bezerros'!#REF!)) - (3.13 * ('Vacas e Bezerros'!#REF!-'Vacas e Bezerros'!#REF!)^2)</f>
        <v>#REF!</v>
      </c>
      <c r="GJ68" s="16" t="e">
        <f>((GK67+('Vacas e Bezerros'!#REF!-(GK67*0.64))/0.8)/1000)-'Vacas e Bezerros'!#REF!</f>
        <v>#REF!</v>
      </c>
      <c r="GK68" s="17" t="e">
        <f>-53.07 + (304.89 * (GJ68)) + (90.79 *('Vacas e Bezerros'!#REF!-'Vacas e Bezerros'!#REF!)) - (3.13 * ('Vacas e Bezerros'!#REF!-'Vacas e Bezerros'!#REF!)^2)</f>
        <v>#REF!</v>
      </c>
      <c r="GM68" s="16" t="e">
        <f>((GN67+('Vacas e Bezerros'!#REF!-(GN67*0.64))/0.8)/1000)-'Vacas e Bezerros'!#REF!</f>
        <v>#REF!</v>
      </c>
      <c r="GN68" s="17" t="e">
        <f>-53.07 + (304.89 * (GM68)) + (90.79 *('Vacas e Bezerros'!#REF!-'Vacas e Bezerros'!#REF!)) - (3.13 * ('Vacas e Bezerros'!#REF!-'Vacas e Bezerros'!#REF!)^2)</f>
        <v>#REF!</v>
      </c>
    </row>
    <row r="69" spans="3:196" x14ac:dyDescent="0.25">
      <c r="C69" s="16">
        <f>(D68+('Vacas e Bezerros'!$AA$28-(D68*0.64))/0.8)/1000</f>
        <v>0.35719668016155687</v>
      </c>
      <c r="D69" s="17">
        <f>-53.07 + (304.89 * (C69-'Vacas e Bezerros'!$C$206)) + (90.79 *('Vacas e Bezerros'!$AA$22)) - (3.13 *('Vacas e Bezerros'!$AA$22)^2)</f>
        <v>165.01876457544017</v>
      </c>
      <c r="F69" s="16" t="e">
        <f>(G68+(Crescimento!#REF!-(G68*0.64))/0.8)/1000</f>
        <v>#REF!</v>
      </c>
      <c r="G69" s="17" t="e">
        <f>-53.07 + (304.89 * (F69)) + (90.79 *Crescimento!#REF!) - (3.13 * Crescimento!#REF!*Crescimento!#REF!)</f>
        <v>#REF!</v>
      </c>
      <c r="H69" s="1"/>
      <c r="I69" s="16" t="e">
        <f>(J68+(Crescimento!#REF!-(J68*0.64))/0.8)/1000</f>
        <v>#REF!</v>
      </c>
      <c r="J69" s="17" t="e">
        <f>-53.07 + (304.89 * (I69)) + (90.79 *Crescimento!#REF!) - (3.13 * Crescimento!#REF!*Crescimento!#REF!)</f>
        <v>#REF!</v>
      </c>
      <c r="L69" s="16" t="e">
        <f>(M68+(Crescimento!#REF!-(M68*0.64))/0.8)/1000</f>
        <v>#REF!</v>
      </c>
      <c r="M69" s="17" t="e">
        <f>-53.07 + (304.89 * (L69)) + (90.79 *Crescimento!#REF!) - (3.13 * Crescimento!#REF!*Crescimento!#REF!)</f>
        <v>#REF!</v>
      </c>
      <c r="O69" s="16" t="e">
        <f>(P68+(Crescimento!#REF!-(P68*0.64))/0.8)/1000</f>
        <v>#REF!</v>
      </c>
      <c r="P69" s="17" t="e">
        <f>-53.07 + (304.89 * (O69)) + (90.79 *Crescimento!#REF!) - (3.13 * Crescimento!#REF!*Crescimento!#REF!)</f>
        <v>#REF!</v>
      </c>
      <c r="R69" s="16" t="e">
        <f>(S68+(Crescimento!#REF!-(S68*0.64))/0.8)/1000</f>
        <v>#REF!</v>
      </c>
      <c r="S69" s="17" t="e">
        <f>-53.07 + (304.89 * (R69)) + (90.79 *Crescimento!#REF!) - (3.13 * Crescimento!#REF!*Crescimento!#REF!)</f>
        <v>#REF!</v>
      </c>
      <c r="U69" s="16" t="e">
        <f>(V68+(Crescimento!#REF!-(V68*0.64))/0.8)/1000</f>
        <v>#REF!</v>
      </c>
      <c r="V69" s="17" t="e">
        <f>-53.07 + (304.89 * (U69)) + (90.79 *Crescimento!#REF!) - (3.13 * Crescimento!#REF!*Crescimento!#REF!)</f>
        <v>#REF!</v>
      </c>
      <c r="X69" s="16" t="e">
        <f>(Y68+(Crescimento!#REF!-(Y68*0.64))/0.8)/1000</f>
        <v>#REF!</v>
      </c>
      <c r="Y69" s="17" t="e">
        <f>-53.07 + (304.89 * (X69)) + (90.79 *Crescimento!#REF!) - (3.13 * Crescimento!#REF!*Crescimento!#REF!)</f>
        <v>#REF!</v>
      </c>
      <c r="Z69" s="6"/>
      <c r="AA69" s="16" t="e">
        <f>(AB68+(Crescimento!#REF!-(AB68*0.64))/0.8)/1000</f>
        <v>#REF!</v>
      </c>
      <c r="AB69" s="17" t="e">
        <f>-53.07 + (304.89 * (AA69)) + (90.79 *Crescimento!#REF!) - (3.13 * Crescimento!#REF!*Crescimento!#REF!)</f>
        <v>#REF!</v>
      </c>
      <c r="AC69" s="6"/>
      <c r="AD69" s="16" t="e">
        <f>(AE68+(Crescimento!#REF!-(AE68*0.64))/0.8)/1000</f>
        <v>#REF!</v>
      </c>
      <c r="AE69" s="17" t="e">
        <f>-53.07 + (304.89 * (AD69)) + (90.79 *Crescimento!#REF!) - (3.13 * Crescimento!#REF!*Crescimento!#REF!)</f>
        <v>#REF!</v>
      </c>
      <c r="AF69" s="17"/>
      <c r="AG69" s="16" t="e">
        <f>(AH68+(Crescimento!#REF!-(AH68*0.64))/0.8)/1000</f>
        <v>#REF!</v>
      </c>
      <c r="AH69" s="17" t="e">
        <f>-53.07 + (304.89 * (AG69)) + (90.79 *Crescimento!#REF!) - (3.13 * Crescimento!#REF!*Crescimento!#REF!)</f>
        <v>#REF!</v>
      </c>
      <c r="AJ69" s="16" t="e">
        <f>(AK68+(Crescimento!#REF!-(AK68*0.64))/0.8)/1000</f>
        <v>#REF!</v>
      </c>
      <c r="AK69" s="17" t="e">
        <f>-53.07 + (304.89 * (AJ69)) + (90.79 *Crescimento!#REF!) - (3.13 * Crescimento!#REF!*Crescimento!#REF!)</f>
        <v>#REF!</v>
      </c>
      <c r="AM69" s="16" t="e">
        <f>(AN68+(Crescimento!#REF!-(AN68*0.64))/0.8)/1000</f>
        <v>#REF!</v>
      </c>
      <c r="AN69" s="17" t="e">
        <f>-53.07 + (304.89 * (AM69)) + (90.79 *Crescimento!#REF!) - (3.13 * Crescimento!#REF!*Crescimento!#REF!)</f>
        <v>#REF!</v>
      </c>
      <c r="AP69" s="16" t="e">
        <f>(AQ68+(Crescimento!#REF!-(AQ68*0.64))/0.8)/1000</f>
        <v>#REF!</v>
      </c>
      <c r="AQ69" s="17" t="e">
        <f>-53.07 + (304.89 * (AP69)) + (90.79 *Crescimento!#REF!) - (3.13 * Crescimento!#REF!*Crescimento!#REF!)</f>
        <v>#REF!</v>
      </c>
      <c r="AS69" s="16" t="e">
        <f>(AT68+(Crescimento!#REF!-(AT68*0.64))/0.8)/1000</f>
        <v>#REF!</v>
      </c>
      <c r="AT69" s="17" t="e">
        <f>-53.07 + (304.89 * (AS69)) + (90.79 *Crescimento!#REF!) - (3.13 * Crescimento!#REF!*Crescimento!#REF!)</f>
        <v>#REF!</v>
      </c>
      <c r="AV69" s="16" t="e">
        <f>(AW68+(Crescimento!#REF!-(AW68*0.64))/0.8)/1000</f>
        <v>#REF!</v>
      </c>
      <c r="AW69" s="17" t="e">
        <f>-53.07 + (304.89 * (AV69)) + (90.79 *Crescimento!#REF!) - (3.13 * Crescimento!#REF!*Crescimento!#REF!)</f>
        <v>#REF!</v>
      </c>
      <c r="AY69" s="21" t="e">
        <f>((AZ68+(Crescimento!#REF!-(AZ68*0.64))/0.8)/1000)-Crescimento!#REF!</f>
        <v>#REF!</v>
      </c>
      <c r="AZ69" s="22" t="e">
        <f>-53.07 + (304.89 * (AY69)) + (90.79 *(Crescimento!#REF!-Crescimento!#REF!)) - (3.13 * (Crescimento!#REF!-Crescimento!#REF!)^2)</f>
        <v>#REF!</v>
      </c>
      <c r="BA69" s="23"/>
      <c r="BB69" s="21" t="e">
        <f>((BC68+(Crescimento!#REF!-(BC68*0.64))/0.8)/1000)-Crescimento!#REF!</f>
        <v>#REF!</v>
      </c>
      <c r="BC69" s="22" t="e">
        <f>-53.07 + (304.89 * (BB69)) + (90.79 *(Crescimento!#REF!-Crescimento!#REF!)) - (3.13 * (Crescimento!#REF!-Crescimento!#REF!)^2)</f>
        <v>#REF!</v>
      </c>
      <c r="BD69" s="23"/>
      <c r="BE69" s="21" t="e">
        <f>((BF68+(Crescimento!#REF!-(BF68*0.64))/0.8)/1000)-Crescimento!#REF!</f>
        <v>#REF!</v>
      </c>
      <c r="BF69" s="22" t="e">
        <f>-53.07 + (304.89 * (BE69)) + (90.79 *(Crescimento!#REF!-Crescimento!#REF!)) - (3.13 * (Crescimento!#REF!-Crescimento!#REF!)^2)</f>
        <v>#REF!</v>
      </c>
      <c r="BG69" s="23"/>
      <c r="BH69" s="21" t="e">
        <f>((BI68+(Crescimento!#REF!-(BI68*0.64))/0.8)/1000)-Crescimento!#REF!</f>
        <v>#REF!</v>
      </c>
      <c r="BI69" s="22" t="e">
        <f>-53.07 + (304.89 * (BH69)) + (90.79 *(Crescimento!#REF!-Crescimento!#REF!)) - (3.13 * (Crescimento!#REF!-Crescimento!#REF!)^2)</f>
        <v>#REF!</v>
      </c>
      <c r="BJ69" s="23"/>
      <c r="BK69" s="21" t="e">
        <f>((BL68+(Crescimento!#REF!-(BL68*0.64))/0.8)/1000)-Crescimento!#REF!</f>
        <v>#REF!</v>
      </c>
      <c r="BL69" s="22" t="e">
        <f>-53.07 + (304.89 * (BK69)) + (90.79 *(Crescimento!#REF!-Crescimento!#REF!)) - (3.13 * (Crescimento!#REF!-Crescimento!#REF!)^2)</f>
        <v>#REF!</v>
      </c>
      <c r="BM69" s="23"/>
      <c r="BN69" s="21" t="e">
        <f>((BO68+(Crescimento!#REF!-(BO68*0.64))/0.8)/1000)-Crescimento!#REF!</f>
        <v>#REF!</v>
      </c>
      <c r="BO69" s="22" t="e">
        <f>-53.07 + (304.89 * (BN69)) + (90.79 *(Crescimento!#REF!-Crescimento!#REF!)) - (3.13 * (Crescimento!#REF!-Crescimento!#REF!)^2)</f>
        <v>#REF!</v>
      </c>
      <c r="BP69" s="23"/>
      <c r="BQ69" s="21" t="e">
        <f>((BR68+(Crescimento!#REF!-(BR68*0.64))/0.8)/1000)-Crescimento!#REF!</f>
        <v>#REF!</v>
      </c>
      <c r="BR69" s="22" t="e">
        <f>-53.07 + (304.89 * (BQ69)) + (90.79 *(Crescimento!#REF!-Crescimento!#REF!)) - (3.13 * (Crescimento!#REF!-Crescimento!#REF!)^2)</f>
        <v>#REF!</v>
      </c>
      <c r="BS69" s="23"/>
      <c r="BT69" s="21" t="e">
        <f>((BU68+(Crescimento!#REF!-(BU68*0.64))/0.8)/1000)-Crescimento!#REF!</f>
        <v>#REF!</v>
      </c>
      <c r="BU69" s="22" t="e">
        <f>-53.07 + (304.89 * (BT69)) + (90.79 *(Crescimento!#REF!-Crescimento!#REF!)) - (3.13 * (Crescimento!#REF!-Crescimento!#REF!)^2)</f>
        <v>#REF!</v>
      </c>
      <c r="BV69" s="23"/>
      <c r="BW69" s="21" t="e">
        <f>((BX68+(Crescimento!#REF!-(BX68*0.64))/0.8)/1000)-Crescimento!#REF!</f>
        <v>#REF!</v>
      </c>
      <c r="BX69" s="22" t="e">
        <f>-53.07 + (304.89 * (BW69)) + (90.79 *(Crescimento!#REF!-Crescimento!#REF!)) - (3.13 * (Crescimento!#REF!-Crescimento!#REF!)^2)</f>
        <v>#REF!</v>
      </c>
      <c r="BY69" s="23"/>
      <c r="BZ69" s="21" t="e">
        <f>((CA68+(Crescimento!#REF!-(CA68*0.64))/0.8)/1000)-Crescimento!#REF!</f>
        <v>#REF!</v>
      </c>
      <c r="CA69" s="22" t="e">
        <f>-53.07 + (304.89 * (BZ69)) + (90.79 *(Crescimento!#REF!-Crescimento!#REF!)) - (3.13 * (Crescimento!#REF!-Crescimento!#REF!)^2)</f>
        <v>#REF!</v>
      </c>
      <c r="CB69" s="23"/>
      <c r="CC69" s="21" t="e">
        <f>((CD68+(Crescimento!#REF!-(CD68*0.64))/0.8)/1000)-Crescimento!#REF!</f>
        <v>#REF!</v>
      </c>
      <c r="CD69" s="22" t="e">
        <f>-53.07 + (304.89 * (CC69)) + (90.79 *(Crescimento!#REF!-Crescimento!#REF!)) - (3.13 * (Crescimento!#REF!-Crescimento!#REF!)^2)</f>
        <v>#REF!</v>
      </c>
      <c r="CE69" s="23"/>
      <c r="CF69" s="21" t="e">
        <f>((CG68+(Crescimento!#REF!-(CG68*0.64))/0.8)/1000)-Crescimento!#REF!</f>
        <v>#REF!</v>
      </c>
      <c r="CG69" s="22" t="e">
        <f>-53.07 + (304.89 * (CF69)) + (90.79 *(Crescimento!#REF!-Crescimento!#REF!)) - (3.13 * (Crescimento!#REF!-Crescimento!#REF!)^2)</f>
        <v>#REF!</v>
      </c>
      <c r="CH69" s="23"/>
      <c r="CI69" s="21" t="e">
        <f>((CJ68+(Crescimento!#REF!-(CJ68*0.64))/0.8)/1000)-Crescimento!#REF!</f>
        <v>#REF!</v>
      </c>
      <c r="CJ69" s="22" t="e">
        <f>-53.07 + (304.89 * (CI69)) + (90.79 *(Crescimento!#REF!-Crescimento!#REF!)) - (3.13 * (Crescimento!#REF!-Crescimento!#REF!)^2)</f>
        <v>#REF!</v>
      </c>
      <c r="CK69" s="23"/>
      <c r="CL69" s="21" t="e">
        <f>((CM68+(Crescimento!#REF!-(CM68*0.64))/0.8)/1000)-Crescimento!#REF!</f>
        <v>#REF!</v>
      </c>
      <c r="CM69" s="22" t="e">
        <f>-53.07 + (304.89 * (CL69)) + (90.79 *(Crescimento!#REF!-Crescimento!#REF!)) - (3.13 * (Crescimento!#REF!-Crescimento!#REF!)^2)</f>
        <v>#REF!</v>
      </c>
      <c r="CN69" s="23"/>
      <c r="CO69" s="21" t="e">
        <f>((CP68+(Crescimento!#REF!-(CP68*0.64))/0.8)/1000)-Crescimento!#REF!</f>
        <v>#REF!</v>
      </c>
      <c r="CP69" s="22" t="e">
        <f>-53.07 + (304.89 * (CO69)) + (90.79 *(Crescimento!#REF!-Crescimento!#REF!)) - (3.13 * (Crescimento!#REF!-Crescimento!#REF!)^2)</f>
        <v>#REF!</v>
      </c>
      <c r="CQ69" s="23"/>
      <c r="CR69" s="21" t="e">
        <f>((CS68+(Crescimento!#REF!-(CS68*0.64))/0.8)/1000)-Crescimento!#REF!</f>
        <v>#REF!</v>
      </c>
      <c r="CS69" s="22" t="e">
        <f>-53.07 + (304.89 * (CR69)) + (90.79 *(Crescimento!#REF!-Crescimento!#REF!)) - (3.13 * (Crescimento!#REF!-Crescimento!#REF!)^2)</f>
        <v>#REF!</v>
      </c>
      <c r="CX69" s="16" t="e">
        <f>((CY68+(Crescimento!#REF!-(CY68*0.64))/0.8)/1000)-Crescimento!#REF!</f>
        <v>#REF!</v>
      </c>
      <c r="CY69" s="17" t="e">
        <f>-53.07 + (304.89 * (CX69)) + (90.79 *(Crescimento!#REF!-Crescimento!#REF!)) - (3.13 * (Crescimento!#REF!-Crescimento!#REF!)^2)</f>
        <v>#REF!</v>
      </c>
      <c r="DA69" s="16" t="e">
        <f>((DB68+(Crescimento!#REF!-(DB68*0.64))/0.8)/1000)-Crescimento!#REF!</f>
        <v>#REF!</v>
      </c>
      <c r="DB69" s="17" t="e">
        <f>-53.07 + (304.89 * (DA69)) + (90.79 *(Crescimento!#REF!-Crescimento!#REF!)) - (3.13 * (Crescimento!#REF!-Crescimento!#REF!)^2)</f>
        <v>#REF!</v>
      </c>
      <c r="DD69" s="16" t="e">
        <f>(DE68+(Crescimento!#REF!-(DE68*0.64))/0.8)/1000</f>
        <v>#REF!</v>
      </c>
      <c r="DE69" s="17" t="e">
        <f>-53.07 + (304.89 * (DD69)) + (90.79 *Crescimento!#REF!) - (3.13 * Crescimento!#REF!*Crescimento!#REF!)</f>
        <v>#REF!</v>
      </c>
      <c r="DG69" s="16" t="e">
        <f>((DH68+(Crescimento!#REF!-(DH68*0.64))/0.8)/1000)-Crescimento!#REF!</f>
        <v>#REF!</v>
      </c>
      <c r="DH69" s="17" t="e">
        <f>-53.07 + (304.89 * (DG69)) + (90.79 *(Crescimento!#REF!-Crescimento!#REF!)) - (3.13 * (Crescimento!#REF!-Crescimento!#REF!)^2)</f>
        <v>#REF!</v>
      </c>
      <c r="DJ69" s="16" t="e">
        <f>((DK68+(Crescimento!#REF!-(DK68*0.64))/0.8)/1000)-Crescimento!#REF!</f>
        <v>#REF!</v>
      </c>
      <c r="DK69" s="17" t="e">
        <f>-53.07 + (304.89 * (DJ69)) + (90.79 *(Crescimento!#REF!-Crescimento!#REF!)) - (3.13 * (Crescimento!#REF!-Crescimento!#REF!)^2)</f>
        <v>#REF!</v>
      </c>
      <c r="DM69" s="16" t="e">
        <f>((DN68+(Crescimento!#REF!-(DN68*0.64))/0.8)/1000)-Crescimento!#REF!</f>
        <v>#REF!</v>
      </c>
      <c r="DN69" s="17" t="e">
        <f>-53.07 + (304.89 * (DM69)) + (90.79 *(Crescimento!#REF!-Crescimento!#REF!)) - (3.13 * (Crescimento!#REF!-Crescimento!#REF!)^2)</f>
        <v>#REF!</v>
      </c>
      <c r="DP69" s="16" t="e">
        <f>(DQ68+(Crescimento!#REF!-(DQ68*0.64))/0.8)/1000</f>
        <v>#REF!</v>
      </c>
      <c r="DQ69" s="17" t="e">
        <f>-53.07 + (304.89 * (DP69)) + (90.79 *(Crescimento!#REF!-Crescimento!#REF!)) - (3.13 * (Crescimento!#REF!-Crescimento!#REF!)^2)</f>
        <v>#REF!</v>
      </c>
      <c r="DS69" s="16" t="e">
        <f>((DT68+(Crescimento!#REF!-(DT68*0.64))/0.8)/1000)-Crescimento!#REF!</f>
        <v>#REF!</v>
      </c>
      <c r="DT69" s="17" t="e">
        <f>-53.07 + (304.89 * (DS69)) + (90.79 *(Crescimento!#REF!-Crescimento!#REF!)) - (3.13 * (Crescimento!#REF!-Crescimento!#REF!)^2)</f>
        <v>#REF!</v>
      </c>
      <c r="DV69" s="16" t="e">
        <f>((DW68+(Crescimento!#REF!-(DW68*0.64))/0.8)/1000)-Crescimento!#REF!</f>
        <v>#REF!</v>
      </c>
      <c r="DW69" s="17" t="e">
        <f>-53.07 + (304.89 * (DV69)) + (90.79 *(Crescimento!#REF!-Crescimento!#REF!)) - (3.13 * (Crescimento!#REF!-Crescimento!#REF!)^2)</f>
        <v>#REF!</v>
      </c>
      <c r="DY69" s="16" t="e">
        <f>((DZ68+(Crescimento!#REF!-(DZ68*0.64))/0.8)/1000)-Crescimento!#REF!</f>
        <v>#REF!</v>
      </c>
      <c r="DZ69" s="17" t="e">
        <f>-53.07 + (304.89 * (DY69)) + (90.79 *(Crescimento!#REF!-Crescimento!#REF!)) - (3.13 * (Crescimento!#REF!-Crescimento!#REF!)^2)</f>
        <v>#REF!</v>
      </c>
      <c r="EB69" s="16" t="e">
        <f>((EC68+(Crescimento!#REF!-(EC68*0.64))/0.8)/1000)-Crescimento!#REF!</f>
        <v>#REF!</v>
      </c>
      <c r="EC69" s="17" t="e">
        <f>-53.07 + (304.89 * (EB69)) + (90.79 *(Crescimento!#REF!-Crescimento!#REF!)) - (3.13 * (Crescimento!#REF!-Crescimento!#REF!)^2)</f>
        <v>#REF!</v>
      </c>
      <c r="EE69" s="16" t="e">
        <f>((EF68+(Crescimento!#REF!-(EF68*0.64))/0.8)/1000)-Crescimento!#REF!</f>
        <v>#REF!</v>
      </c>
      <c r="EF69" s="17" t="e">
        <f>-53.07 + (304.89 * (EE69)) + (90.79 *(Crescimento!#REF!-Crescimento!#REF!)) - (3.13 * (Crescimento!#REF!-Crescimento!#REF!)^2)</f>
        <v>#REF!</v>
      </c>
      <c r="EH69" s="16" t="e">
        <f>((EI68+(Crescimento!#REF!-(EI68*0.64))/0.8)/1000)-Crescimento!#REF!</f>
        <v>#REF!</v>
      </c>
      <c r="EI69" s="17" t="e">
        <f>-53.07 + (304.89 * (EH69)) + (90.79 *(Crescimento!#REF!-Crescimento!#REF!)) - (3.13 * (Crescimento!#REF!-Crescimento!#REF!)^2)</f>
        <v>#REF!</v>
      </c>
      <c r="EK69" s="16" t="e">
        <f>((EL68+(Crescimento!#REF!-(EL68*0.64))/0.8)/1000)-Crescimento!#REF!</f>
        <v>#REF!</v>
      </c>
      <c r="EL69" s="17" t="e">
        <f>-53.07 + (304.89 * (EK69)) + (90.79 *(Crescimento!#REF!-Crescimento!#REF!)) - (3.13 * (Crescimento!#REF!-Crescimento!#REF!)^2)</f>
        <v>#REF!</v>
      </c>
      <c r="EN69" s="16" t="e">
        <f>((EO68+(Crescimento!#REF!-(EO68*0.64))/0.8)/1000)-Crescimento!#REF!</f>
        <v>#REF!</v>
      </c>
      <c r="EO69" s="17" t="e">
        <f>-53.07 + (304.89 * (EN69)) + (90.79 *(Crescimento!#REF!-Crescimento!#REF!)) - (3.13 * (Crescimento!#REF!-Crescimento!#REF!)^2)</f>
        <v>#REF!</v>
      </c>
      <c r="EQ69" s="16" t="e">
        <f>((ER68+(Crescimento!#REF!-(ER68*0.64))/0.8)/1000)-Crescimento!#REF!</f>
        <v>#REF!</v>
      </c>
      <c r="ER69" s="17" t="e">
        <f>-53.07 + (304.89 * (EQ69)) + (90.79 *(Crescimento!#REF!-Crescimento!#REF!)) - (3.13 * (Crescimento!#REF!-Crescimento!#REF!)^2)</f>
        <v>#REF!</v>
      </c>
      <c r="ET69" s="16" t="e">
        <f>((EU68+(Crescimento!#REF!-(EU68*0.64))/0.8)/1000)-Crescimento!#REF!</f>
        <v>#REF!</v>
      </c>
      <c r="EU69" s="17" t="e">
        <f>-53.07 + (304.89 * (ET69)) + (90.79 *(Crescimento!#REF!-Crescimento!#REF!)) - (3.13 * (Crescimento!#REF!-Crescimento!#REF!)^2)</f>
        <v>#REF!</v>
      </c>
      <c r="EW69" s="16" t="e">
        <f>((EX68+('Vacas e Bezerros'!#REF!-(EX68*0.64))/0.8)/1000)-'Vacas e Bezerros'!#REF!</f>
        <v>#REF!</v>
      </c>
      <c r="EX69" s="17" t="e">
        <f>-53.07 + (304.89 * (EW69)) + (90.79 *('Vacas e Bezerros'!#REF!-'Vacas e Bezerros'!#REF!)) - (3.13 * ('Vacas e Bezerros'!#REF!-'Vacas e Bezerros'!#REF!)^2)</f>
        <v>#REF!</v>
      </c>
      <c r="EZ69" s="16" t="e">
        <f>((FA68+('Vacas e Bezerros'!#REF!-(FA68*0.64))/0.8)/1000)-'Vacas e Bezerros'!#REF!</f>
        <v>#REF!</v>
      </c>
      <c r="FA69" s="17" t="e">
        <f>-53.07 + (304.89 * (EZ69)) + (90.79 *('Vacas e Bezerros'!#REF!-'Vacas e Bezerros'!#REF!)) - (3.13 * ('Vacas e Bezerros'!#REF!-'Vacas e Bezerros'!#REF!)^2)</f>
        <v>#REF!</v>
      </c>
      <c r="FC69" s="16" t="e">
        <f>((FD68+('Vacas e Bezerros'!#REF!-(FD68*0.64))/0.8)/1000)-'Vacas e Bezerros'!#REF!</f>
        <v>#REF!</v>
      </c>
      <c r="FD69" s="17" t="e">
        <f>-53.07 + (304.89 * (FC69)) + (90.79 *('Vacas e Bezerros'!#REF!-'Vacas e Bezerros'!#REF!)) - (3.13 * ('Vacas e Bezerros'!#REF!-'Vacas e Bezerros'!#REF!)^2)</f>
        <v>#REF!</v>
      </c>
      <c r="FF69" s="16" t="e">
        <f>((FG68+('Vacas e Bezerros'!#REF!-(FG68*0.64))/0.8)/1000)-'Vacas e Bezerros'!#REF!</f>
        <v>#REF!</v>
      </c>
      <c r="FG69" s="17" t="e">
        <f>-53.07 + (304.89 * (FF69)) + (90.79 *('Vacas e Bezerros'!#REF!-'Vacas e Bezerros'!#REF!)) - (3.13 * ('Vacas e Bezerros'!#REF!-'Vacas e Bezerros'!#REF!)^2)</f>
        <v>#REF!</v>
      </c>
      <c r="FI69" s="16" t="e">
        <f>((FJ68+('Vacas e Bezerros'!#REF!-(FJ68*0.64))/0.8)/1000)-'Vacas e Bezerros'!#REF!</f>
        <v>#REF!</v>
      </c>
      <c r="FJ69" s="17" t="e">
        <f>-53.07 + (304.89 * (FI69)) + (90.79 *('Vacas e Bezerros'!#REF!-'Vacas e Bezerros'!#REF!)) - (3.13 * ('Vacas e Bezerros'!#REF!-'Vacas e Bezerros'!#REF!)^2)</f>
        <v>#REF!</v>
      </c>
      <c r="FL69" s="16" t="e">
        <f>((FM68+('Vacas e Bezerros'!#REF!-(FM68*0.64))/0.8)/1000)-'Vacas e Bezerros'!#REF!</f>
        <v>#REF!</v>
      </c>
      <c r="FM69" s="17" t="e">
        <f>-53.07 + (304.89 * (FL69)) + (90.79 *('Vacas e Bezerros'!#REF!-'Vacas e Bezerros'!#REF!)) - (3.13 * ('Vacas e Bezerros'!#REF!-'Vacas e Bezerros'!#REF!)^2)</f>
        <v>#REF!</v>
      </c>
      <c r="FO69" s="16" t="e">
        <f>((FP68+('Vacas e Bezerros'!#REF!-(FP68*0.64))/0.8)/1000)-'Vacas e Bezerros'!#REF!</f>
        <v>#REF!</v>
      </c>
      <c r="FP69" s="17" t="e">
        <f>-53.07 + (304.89 * (FO69)) + (90.79 *('Vacas e Bezerros'!#REF!-'Vacas e Bezerros'!#REF!)) - (3.13 * ('Vacas e Bezerros'!#REF!-'Vacas e Bezerros'!#REF!)^2)</f>
        <v>#REF!</v>
      </c>
      <c r="FR69" s="16" t="e">
        <f>((FS68+('Vacas e Bezerros'!#REF!-(FS68*0.64))/0.8)/1000)-'Vacas e Bezerros'!#REF!</f>
        <v>#REF!</v>
      </c>
      <c r="FS69" s="17" t="e">
        <f>-53.07 + (304.89 * (FR69)) + (90.79 *('Vacas e Bezerros'!#REF!-'Vacas e Bezerros'!#REF!)) - (3.13 * ('Vacas e Bezerros'!#REF!-'Vacas e Bezerros'!#REF!)^2)</f>
        <v>#REF!</v>
      </c>
      <c r="FU69" s="16" t="e">
        <f>((FV68+('Vacas e Bezerros'!#REF!-(FV68*0.64))/0.8)/1000)-'Vacas e Bezerros'!#REF!</f>
        <v>#REF!</v>
      </c>
      <c r="FV69" s="17" t="e">
        <f>-53.07 + (304.89 * (FU69)) + (90.79 *('Vacas e Bezerros'!#REF!-'Vacas e Bezerros'!#REF!)) - (3.13 * ('Vacas e Bezerros'!#REF!-'Vacas e Bezerros'!#REF!)^2)</f>
        <v>#REF!</v>
      </c>
      <c r="FX69" s="16" t="e">
        <f>((FY68+('Vacas e Bezerros'!#REF!-(FY68*0.64))/0.8)/1000)-'Vacas e Bezerros'!#REF!</f>
        <v>#REF!</v>
      </c>
      <c r="FY69" s="17" t="e">
        <f>-53.07 + (304.89 * (FX69)) + (90.79 *('Vacas e Bezerros'!#REF!-'Vacas e Bezerros'!#REF!)) - (3.13 * ('Vacas e Bezerros'!#REF!-'Vacas e Bezerros'!#REF!)^2)</f>
        <v>#REF!</v>
      </c>
      <c r="GA69" s="16" t="e">
        <f>((GB68+('Vacas e Bezerros'!#REF!-(GB68*0.64))/0.8)/1000)-'Vacas e Bezerros'!#REF!</f>
        <v>#REF!</v>
      </c>
      <c r="GB69" s="17" t="e">
        <f>-53.07 + (304.89 * (GA69)) + (90.79 *('Vacas e Bezerros'!#REF!-'Vacas e Bezerros'!#REF!)) - (3.13 * ('Vacas e Bezerros'!#REF!-'Vacas e Bezerros'!#REF!)^2)</f>
        <v>#REF!</v>
      </c>
      <c r="GD69" s="16" t="e">
        <f>((GE68+('Vacas e Bezerros'!#REF!-(GE68*0.64))/0.8)/1000)-'Vacas e Bezerros'!#REF!</f>
        <v>#REF!</v>
      </c>
      <c r="GE69" s="17" t="e">
        <f>-53.07 + (304.89 * (GD69)) + (90.79 *('Vacas e Bezerros'!#REF!-'Vacas e Bezerros'!#REF!)) - (3.13 * ('Vacas e Bezerros'!#REF!-'Vacas e Bezerros'!#REF!)^2)</f>
        <v>#REF!</v>
      </c>
      <c r="GG69" s="16" t="e">
        <f>((GH68+('Vacas e Bezerros'!#REF!-(GH68*0.64))/0.8)/1000)-'Vacas e Bezerros'!#REF!</f>
        <v>#REF!</v>
      </c>
      <c r="GH69" s="17" t="e">
        <f>-53.07 + (304.89 * (GG69)) + (90.79 *('Vacas e Bezerros'!#REF!-'Vacas e Bezerros'!#REF!)) - (3.13 * ('Vacas e Bezerros'!#REF!-'Vacas e Bezerros'!#REF!)^2)</f>
        <v>#REF!</v>
      </c>
      <c r="GJ69" s="16" t="e">
        <f>((GK68+('Vacas e Bezerros'!#REF!-(GK68*0.64))/0.8)/1000)-'Vacas e Bezerros'!#REF!</f>
        <v>#REF!</v>
      </c>
      <c r="GK69" s="17" t="e">
        <f>-53.07 + (304.89 * (GJ69)) + (90.79 *('Vacas e Bezerros'!#REF!-'Vacas e Bezerros'!#REF!)) - (3.13 * ('Vacas e Bezerros'!#REF!-'Vacas e Bezerros'!#REF!)^2)</f>
        <v>#REF!</v>
      </c>
      <c r="GM69" s="16" t="e">
        <f>((GN68+('Vacas e Bezerros'!#REF!-(GN68*0.64))/0.8)/1000)-'Vacas e Bezerros'!#REF!</f>
        <v>#REF!</v>
      </c>
      <c r="GN69" s="17" t="e">
        <f>-53.07 + (304.89 * (GM69)) + (90.79 *('Vacas e Bezerros'!#REF!-'Vacas e Bezerros'!#REF!)) - (3.13 * ('Vacas e Bezerros'!#REF!-'Vacas e Bezerros'!#REF!)^2)</f>
        <v>#REF!</v>
      </c>
    </row>
    <row r="70" spans="3:196" x14ac:dyDescent="0.25">
      <c r="C70" s="16">
        <f>(D69+('Vacas e Bezerros'!$AA$28-(D69*0.64))/0.8)/1000</f>
        <v>0.35719668016155687</v>
      </c>
      <c r="D70" s="17">
        <f>-53.07 + (304.89 * (C70-'Vacas e Bezerros'!$C$206)) + (90.79 *('Vacas e Bezerros'!$AA$22)) - (3.13 *('Vacas e Bezerros'!$AA$22)^2)</f>
        <v>165.01876457544017</v>
      </c>
      <c r="F70" s="16" t="e">
        <f>(G69+(Crescimento!#REF!-(G69*0.64))/0.8)/1000</f>
        <v>#REF!</v>
      </c>
      <c r="G70" s="17" t="e">
        <f>-53.07 + (304.89 * (F70)) + (90.79 *Crescimento!#REF!) - (3.13 * Crescimento!#REF!*Crescimento!#REF!)</f>
        <v>#REF!</v>
      </c>
      <c r="H70" s="1"/>
      <c r="I70" s="16" t="e">
        <f>(J69+(Crescimento!#REF!-(J69*0.64))/0.8)/1000</f>
        <v>#REF!</v>
      </c>
      <c r="J70" s="17" t="e">
        <f>-53.07 + (304.89 * (I70)) + (90.79 *Crescimento!#REF!) - (3.13 * Crescimento!#REF!*Crescimento!#REF!)</f>
        <v>#REF!</v>
      </c>
      <c r="L70" s="16" t="e">
        <f>(M69+(Crescimento!#REF!-(M69*0.64))/0.8)/1000</f>
        <v>#REF!</v>
      </c>
      <c r="M70" s="17" t="e">
        <f>-53.07 + (304.89 * (L70)) + (90.79 *Crescimento!#REF!) - (3.13 * Crescimento!#REF!*Crescimento!#REF!)</f>
        <v>#REF!</v>
      </c>
      <c r="O70" s="16" t="e">
        <f>(P69+(Crescimento!#REF!-(P69*0.64))/0.8)/1000</f>
        <v>#REF!</v>
      </c>
      <c r="P70" s="17" t="e">
        <f>-53.07 + (304.89 * (O70)) + (90.79 *Crescimento!#REF!) - (3.13 * Crescimento!#REF!*Crescimento!#REF!)</f>
        <v>#REF!</v>
      </c>
      <c r="R70" s="16" t="e">
        <f>(S69+(Crescimento!#REF!-(S69*0.64))/0.8)/1000</f>
        <v>#REF!</v>
      </c>
      <c r="S70" s="17" t="e">
        <f>-53.07 + (304.89 * (R70)) + (90.79 *Crescimento!#REF!) - (3.13 * Crescimento!#REF!*Crescimento!#REF!)</f>
        <v>#REF!</v>
      </c>
      <c r="U70" s="16" t="e">
        <f>(V69+(Crescimento!#REF!-(V69*0.64))/0.8)/1000</f>
        <v>#REF!</v>
      </c>
      <c r="V70" s="17" t="e">
        <f>-53.07 + (304.89 * (U70)) + (90.79 *Crescimento!#REF!) - (3.13 * Crescimento!#REF!*Crescimento!#REF!)</f>
        <v>#REF!</v>
      </c>
      <c r="X70" s="16" t="e">
        <f>(Y69+(Crescimento!#REF!-(Y69*0.64))/0.8)/1000</f>
        <v>#REF!</v>
      </c>
      <c r="Y70" s="17" t="e">
        <f>-53.07 + (304.89 * (X70)) + (90.79 *Crescimento!#REF!) - (3.13 * Crescimento!#REF!*Crescimento!#REF!)</f>
        <v>#REF!</v>
      </c>
      <c r="Z70" s="6"/>
      <c r="AA70" s="16" t="e">
        <f>(AB69+(Crescimento!#REF!-(AB69*0.64))/0.8)/1000</f>
        <v>#REF!</v>
      </c>
      <c r="AB70" s="17" t="e">
        <f>-53.07 + (304.89 * (AA70)) + (90.79 *Crescimento!#REF!) - (3.13 * Crescimento!#REF!*Crescimento!#REF!)</f>
        <v>#REF!</v>
      </c>
      <c r="AC70" s="6"/>
      <c r="AD70" s="16" t="e">
        <f>(AE69+(Crescimento!#REF!-(AE69*0.64))/0.8)/1000</f>
        <v>#REF!</v>
      </c>
      <c r="AE70" s="17" t="e">
        <f>-53.07 + (304.89 * (AD70)) + (90.79 *Crescimento!#REF!) - (3.13 * Crescimento!#REF!*Crescimento!#REF!)</f>
        <v>#REF!</v>
      </c>
      <c r="AF70" s="17"/>
      <c r="AG70" s="16" t="e">
        <f>(AH69+(Crescimento!#REF!-(AH69*0.64))/0.8)/1000</f>
        <v>#REF!</v>
      </c>
      <c r="AH70" s="17" t="e">
        <f>-53.07 + (304.89 * (AG70)) + (90.79 *Crescimento!#REF!) - (3.13 * Crescimento!#REF!*Crescimento!#REF!)</f>
        <v>#REF!</v>
      </c>
      <c r="AJ70" s="16" t="e">
        <f>(AK69+(Crescimento!#REF!-(AK69*0.64))/0.8)/1000</f>
        <v>#REF!</v>
      </c>
      <c r="AK70" s="17" t="e">
        <f>-53.07 + (304.89 * (AJ70)) + (90.79 *Crescimento!#REF!) - (3.13 * Crescimento!#REF!*Crescimento!#REF!)</f>
        <v>#REF!</v>
      </c>
      <c r="AM70" s="16" t="e">
        <f>(AN69+(Crescimento!#REF!-(AN69*0.64))/0.8)/1000</f>
        <v>#REF!</v>
      </c>
      <c r="AN70" s="17" t="e">
        <f>-53.07 + (304.89 * (AM70)) + (90.79 *Crescimento!#REF!) - (3.13 * Crescimento!#REF!*Crescimento!#REF!)</f>
        <v>#REF!</v>
      </c>
      <c r="AP70" s="16" t="e">
        <f>(AQ69+(Crescimento!#REF!-(AQ69*0.64))/0.8)/1000</f>
        <v>#REF!</v>
      </c>
      <c r="AQ70" s="17" t="e">
        <f>-53.07 + (304.89 * (AP70)) + (90.79 *Crescimento!#REF!) - (3.13 * Crescimento!#REF!*Crescimento!#REF!)</f>
        <v>#REF!</v>
      </c>
      <c r="AS70" s="16" t="e">
        <f>(AT69+(Crescimento!#REF!-(AT69*0.64))/0.8)/1000</f>
        <v>#REF!</v>
      </c>
      <c r="AT70" s="17" t="e">
        <f>-53.07 + (304.89 * (AS70)) + (90.79 *Crescimento!#REF!) - (3.13 * Crescimento!#REF!*Crescimento!#REF!)</f>
        <v>#REF!</v>
      </c>
      <c r="AV70" s="16" t="e">
        <f>(AW69+(Crescimento!#REF!-(AW69*0.64))/0.8)/1000</f>
        <v>#REF!</v>
      </c>
      <c r="AW70" s="17" t="e">
        <f>-53.07 + (304.89 * (AV70)) + (90.79 *Crescimento!#REF!) - (3.13 * Crescimento!#REF!*Crescimento!#REF!)</f>
        <v>#REF!</v>
      </c>
      <c r="AY70" s="21" t="e">
        <f>((AZ69+(Crescimento!#REF!-(AZ69*0.64))/0.8)/1000)-Crescimento!#REF!</f>
        <v>#REF!</v>
      </c>
      <c r="AZ70" s="22" t="e">
        <f>-53.07 + (304.89 * (AY70)) + (90.79 *(Crescimento!#REF!-Crescimento!#REF!)) - (3.13 * (Crescimento!#REF!-Crescimento!#REF!)^2)</f>
        <v>#REF!</v>
      </c>
      <c r="BA70" s="23"/>
      <c r="BB70" s="21" t="e">
        <f>((BC69+(Crescimento!#REF!-(BC69*0.64))/0.8)/1000)-Crescimento!#REF!</f>
        <v>#REF!</v>
      </c>
      <c r="BC70" s="22" t="e">
        <f>-53.07 + (304.89 * (BB70)) + (90.79 *(Crescimento!#REF!-Crescimento!#REF!)) - (3.13 * (Crescimento!#REF!-Crescimento!#REF!)^2)</f>
        <v>#REF!</v>
      </c>
      <c r="BD70" s="23"/>
      <c r="BE70" s="21" t="e">
        <f>((BF69+(Crescimento!#REF!-(BF69*0.64))/0.8)/1000)-Crescimento!#REF!</f>
        <v>#REF!</v>
      </c>
      <c r="BF70" s="22" t="e">
        <f>-53.07 + (304.89 * (BE70)) + (90.79 *(Crescimento!#REF!-Crescimento!#REF!)) - (3.13 * (Crescimento!#REF!-Crescimento!#REF!)^2)</f>
        <v>#REF!</v>
      </c>
      <c r="BG70" s="23"/>
      <c r="BH70" s="21" t="e">
        <f>((BI69+(Crescimento!#REF!-(BI69*0.64))/0.8)/1000)-Crescimento!#REF!</f>
        <v>#REF!</v>
      </c>
      <c r="BI70" s="22" t="e">
        <f>-53.07 + (304.89 * (BH70)) + (90.79 *(Crescimento!#REF!-Crescimento!#REF!)) - (3.13 * (Crescimento!#REF!-Crescimento!#REF!)^2)</f>
        <v>#REF!</v>
      </c>
      <c r="BJ70" s="23"/>
      <c r="BK70" s="21" t="e">
        <f>((BL69+(Crescimento!#REF!-(BL69*0.64))/0.8)/1000)-Crescimento!#REF!</f>
        <v>#REF!</v>
      </c>
      <c r="BL70" s="22" t="e">
        <f>-53.07 + (304.89 * (BK70)) + (90.79 *(Crescimento!#REF!-Crescimento!#REF!)) - (3.13 * (Crescimento!#REF!-Crescimento!#REF!)^2)</f>
        <v>#REF!</v>
      </c>
      <c r="BM70" s="23"/>
      <c r="BN70" s="21" t="e">
        <f>((BO69+(Crescimento!#REF!-(BO69*0.64))/0.8)/1000)-Crescimento!#REF!</f>
        <v>#REF!</v>
      </c>
      <c r="BO70" s="22" t="e">
        <f>-53.07 + (304.89 * (BN70)) + (90.79 *(Crescimento!#REF!-Crescimento!#REF!)) - (3.13 * (Crescimento!#REF!-Crescimento!#REF!)^2)</f>
        <v>#REF!</v>
      </c>
      <c r="BP70" s="23"/>
      <c r="BQ70" s="21" t="e">
        <f>((BR69+(Crescimento!#REF!-(BR69*0.64))/0.8)/1000)-Crescimento!#REF!</f>
        <v>#REF!</v>
      </c>
      <c r="BR70" s="22" t="e">
        <f>-53.07 + (304.89 * (BQ70)) + (90.79 *(Crescimento!#REF!-Crescimento!#REF!)) - (3.13 * (Crescimento!#REF!-Crescimento!#REF!)^2)</f>
        <v>#REF!</v>
      </c>
      <c r="BS70" s="23"/>
      <c r="BT70" s="21" t="e">
        <f>((BU69+(Crescimento!#REF!-(BU69*0.64))/0.8)/1000)-Crescimento!#REF!</f>
        <v>#REF!</v>
      </c>
      <c r="BU70" s="22" t="e">
        <f>-53.07 + (304.89 * (BT70)) + (90.79 *(Crescimento!#REF!-Crescimento!#REF!)) - (3.13 * (Crescimento!#REF!-Crescimento!#REF!)^2)</f>
        <v>#REF!</v>
      </c>
      <c r="BV70" s="23"/>
      <c r="BW70" s="21" t="e">
        <f>((BX69+(Crescimento!#REF!-(BX69*0.64))/0.8)/1000)-Crescimento!#REF!</f>
        <v>#REF!</v>
      </c>
      <c r="BX70" s="22" t="e">
        <f>-53.07 + (304.89 * (BW70)) + (90.79 *(Crescimento!#REF!-Crescimento!#REF!)) - (3.13 * (Crescimento!#REF!-Crescimento!#REF!)^2)</f>
        <v>#REF!</v>
      </c>
      <c r="BY70" s="23"/>
      <c r="BZ70" s="21" t="e">
        <f>((CA69+(Crescimento!#REF!-(CA69*0.64))/0.8)/1000)-Crescimento!#REF!</f>
        <v>#REF!</v>
      </c>
      <c r="CA70" s="22" t="e">
        <f>-53.07 + (304.89 * (BZ70)) + (90.79 *(Crescimento!#REF!-Crescimento!#REF!)) - (3.13 * (Crescimento!#REF!-Crescimento!#REF!)^2)</f>
        <v>#REF!</v>
      </c>
      <c r="CB70" s="23"/>
      <c r="CC70" s="21" t="e">
        <f>((CD69+(Crescimento!#REF!-(CD69*0.64))/0.8)/1000)-Crescimento!#REF!</f>
        <v>#REF!</v>
      </c>
      <c r="CD70" s="22" t="e">
        <f>-53.07 + (304.89 * (CC70)) + (90.79 *(Crescimento!#REF!-Crescimento!#REF!)) - (3.13 * (Crescimento!#REF!-Crescimento!#REF!)^2)</f>
        <v>#REF!</v>
      </c>
      <c r="CE70" s="23"/>
      <c r="CF70" s="21" t="e">
        <f>((CG69+(Crescimento!#REF!-(CG69*0.64))/0.8)/1000)-Crescimento!#REF!</f>
        <v>#REF!</v>
      </c>
      <c r="CG70" s="22" t="e">
        <f>-53.07 + (304.89 * (CF70)) + (90.79 *(Crescimento!#REF!-Crescimento!#REF!)) - (3.13 * (Crescimento!#REF!-Crescimento!#REF!)^2)</f>
        <v>#REF!</v>
      </c>
      <c r="CH70" s="23"/>
      <c r="CI70" s="21" t="e">
        <f>((CJ69+(Crescimento!#REF!-(CJ69*0.64))/0.8)/1000)-Crescimento!#REF!</f>
        <v>#REF!</v>
      </c>
      <c r="CJ70" s="22" t="e">
        <f>-53.07 + (304.89 * (CI70)) + (90.79 *(Crescimento!#REF!-Crescimento!#REF!)) - (3.13 * (Crescimento!#REF!-Crescimento!#REF!)^2)</f>
        <v>#REF!</v>
      </c>
      <c r="CK70" s="23"/>
      <c r="CL70" s="21" t="e">
        <f>((CM69+(Crescimento!#REF!-(CM69*0.64))/0.8)/1000)-Crescimento!#REF!</f>
        <v>#REF!</v>
      </c>
      <c r="CM70" s="22" t="e">
        <f>-53.07 + (304.89 * (CL70)) + (90.79 *(Crescimento!#REF!-Crescimento!#REF!)) - (3.13 * (Crescimento!#REF!-Crescimento!#REF!)^2)</f>
        <v>#REF!</v>
      </c>
      <c r="CN70" s="23"/>
      <c r="CO70" s="21" t="e">
        <f>((CP69+(Crescimento!#REF!-(CP69*0.64))/0.8)/1000)-Crescimento!#REF!</f>
        <v>#REF!</v>
      </c>
      <c r="CP70" s="22" t="e">
        <f>-53.07 + (304.89 * (CO70)) + (90.79 *(Crescimento!#REF!-Crescimento!#REF!)) - (3.13 * (Crescimento!#REF!-Crescimento!#REF!)^2)</f>
        <v>#REF!</v>
      </c>
      <c r="CQ70" s="23"/>
      <c r="CR70" s="21" t="e">
        <f>((CS69+(Crescimento!#REF!-(CS69*0.64))/0.8)/1000)-Crescimento!#REF!</f>
        <v>#REF!</v>
      </c>
      <c r="CS70" s="22" t="e">
        <f>-53.07 + (304.89 * (CR70)) + (90.79 *(Crescimento!#REF!-Crescimento!#REF!)) - (3.13 * (Crescimento!#REF!-Crescimento!#REF!)^2)</f>
        <v>#REF!</v>
      </c>
      <c r="CX70" s="16" t="e">
        <f>((CY69+(Crescimento!#REF!-(CY69*0.64))/0.8)/1000)-Crescimento!#REF!</f>
        <v>#REF!</v>
      </c>
      <c r="CY70" s="17" t="e">
        <f>-53.07 + (304.89 * (CX70)) + (90.79 *(Crescimento!#REF!-Crescimento!#REF!)) - (3.13 * (Crescimento!#REF!-Crescimento!#REF!)^2)</f>
        <v>#REF!</v>
      </c>
      <c r="DA70" s="16" t="e">
        <f>((DB69+(Crescimento!#REF!-(DB69*0.64))/0.8)/1000)-Crescimento!#REF!</f>
        <v>#REF!</v>
      </c>
      <c r="DB70" s="17" t="e">
        <f>-53.07 + (304.89 * (DA70)) + (90.79 *(Crescimento!#REF!-Crescimento!#REF!)) - (3.13 * (Crescimento!#REF!-Crescimento!#REF!)^2)</f>
        <v>#REF!</v>
      </c>
      <c r="DD70" s="16" t="e">
        <f>(DE69+(Crescimento!#REF!-(DE69*0.64))/0.8)/1000</f>
        <v>#REF!</v>
      </c>
      <c r="DE70" s="17" t="e">
        <f>-53.07 + (304.89 * (DD70)) + (90.79 *Crescimento!#REF!) - (3.13 * Crescimento!#REF!*Crescimento!#REF!)</f>
        <v>#REF!</v>
      </c>
      <c r="DG70" s="16" t="e">
        <f>((DH69+(Crescimento!#REF!-(DH69*0.64))/0.8)/1000)-Crescimento!#REF!</f>
        <v>#REF!</v>
      </c>
      <c r="DH70" s="17" t="e">
        <f>-53.07 + (304.89 * (DG70)) + (90.79 *(Crescimento!#REF!-Crescimento!#REF!)) - (3.13 * (Crescimento!#REF!-Crescimento!#REF!)^2)</f>
        <v>#REF!</v>
      </c>
      <c r="DJ70" s="16" t="e">
        <f>((DK69+(Crescimento!#REF!-(DK69*0.64))/0.8)/1000)-Crescimento!#REF!</f>
        <v>#REF!</v>
      </c>
      <c r="DK70" s="17" t="e">
        <f>-53.07 + (304.89 * (DJ70)) + (90.79 *(Crescimento!#REF!-Crescimento!#REF!)) - (3.13 * (Crescimento!#REF!-Crescimento!#REF!)^2)</f>
        <v>#REF!</v>
      </c>
      <c r="DM70" s="16" t="e">
        <f>((DN69+(Crescimento!#REF!-(DN69*0.64))/0.8)/1000)-Crescimento!#REF!</f>
        <v>#REF!</v>
      </c>
      <c r="DN70" s="17" t="e">
        <f>-53.07 + (304.89 * (DM70)) + (90.79 *(Crescimento!#REF!-Crescimento!#REF!)) - (3.13 * (Crescimento!#REF!-Crescimento!#REF!)^2)</f>
        <v>#REF!</v>
      </c>
      <c r="DP70" s="16" t="e">
        <f>(DQ69+(Crescimento!#REF!-(DQ69*0.64))/0.8)/1000</f>
        <v>#REF!</v>
      </c>
      <c r="DQ70" s="17" t="e">
        <f>-53.07 + (304.89 * (DP70)) + (90.79 *(Crescimento!#REF!-Crescimento!#REF!)) - (3.13 * (Crescimento!#REF!-Crescimento!#REF!)^2)</f>
        <v>#REF!</v>
      </c>
      <c r="DS70" s="16" t="e">
        <f>((DT69+(Crescimento!#REF!-(DT69*0.64))/0.8)/1000)-Crescimento!#REF!</f>
        <v>#REF!</v>
      </c>
      <c r="DT70" s="17" t="e">
        <f>-53.07 + (304.89 * (DS70)) + (90.79 *(Crescimento!#REF!-Crescimento!#REF!)) - (3.13 * (Crescimento!#REF!-Crescimento!#REF!)^2)</f>
        <v>#REF!</v>
      </c>
      <c r="DV70" s="16" t="e">
        <f>((DW69+(Crescimento!#REF!-(DW69*0.64))/0.8)/1000)-Crescimento!#REF!</f>
        <v>#REF!</v>
      </c>
      <c r="DW70" s="17" t="e">
        <f>-53.07 + (304.89 * (DV70)) + (90.79 *(Crescimento!#REF!-Crescimento!#REF!)) - (3.13 * (Crescimento!#REF!-Crescimento!#REF!)^2)</f>
        <v>#REF!</v>
      </c>
      <c r="DY70" s="16" t="e">
        <f>((DZ69+(Crescimento!#REF!-(DZ69*0.64))/0.8)/1000)-Crescimento!#REF!</f>
        <v>#REF!</v>
      </c>
      <c r="DZ70" s="17" t="e">
        <f>-53.07 + (304.89 * (DY70)) + (90.79 *(Crescimento!#REF!-Crescimento!#REF!)) - (3.13 * (Crescimento!#REF!-Crescimento!#REF!)^2)</f>
        <v>#REF!</v>
      </c>
      <c r="EB70" s="16" t="e">
        <f>((EC69+(Crescimento!#REF!-(EC69*0.64))/0.8)/1000)-Crescimento!#REF!</f>
        <v>#REF!</v>
      </c>
      <c r="EC70" s="17" t="e">
        <f>-53.07 + (304.89 * (EB70)) + (90.79 *(Crescimento!#REF!-Crescimento!#REF!)) - (3.13 * (Crescimento!#REF!-Crescimento!#REF!)^2)</f>
        <v>#REF!</v>
      </c>
      <c r="EE70" s="16" t="e">
        <f>((EF69+(Crescimento!#REF!-(EF69*0.64))/0.8)/1000)-Crescimento!#REF!</f>
        <v>#REF!</v>
      </c>
      <c r="EF70" s="17" t="e">
        <f>-53.07 + (304.89 * (EE70)) + (90.79 *(Crescimento!#REF!-Crescimento!#REF!)) - (3.13 * (Crescimento!#REF!-Crescimento!#REF!)^2)</f>
        <v>#REF!</v>
      </c>
      <c r="EH70" s="16" t="e">
        <f>((EI69+(Crescimento!#REF!-(EI69*0.64))/0.8)/1000)-Crescimento!#REF!</f>
        <v>#REF!</v>
      </c>
      <c r="EI70" s="17" t="e">
        <f>-53.07 + (304.89 * (EH70)) + (90.79 *(Crescimento!#REF!-Crescimento!#REF!)) - (3.13 * (Crescimento!#REF!-Crescimento!#REF!)^2)</f>
        <v>#REF!</v>
      </c>
      <c r="EK70" s="16" t="e">
        <f>((EL69+(Crescimento!#REF!-(EL69*0.64))/0.8)/1000)-Crescimento!#REF!</f>
        <v>#REF!</v>
      </c>
      <c r="EL70" s="17" t="e">
        <f>-53.07 + (304.89 * (EK70)) + (90.79 *(Crescimento!#REF!-Crescimento!#REF!)) - (3.13 * (Crescimento!#REF!-Crescimento!#REF!)^2)</f>
        <v>#REF!</v>
      </c>
      <c r="EN70" s="16" t="e">
        <f>((EO69+(Crescimento!#REF!-(EO69*0.64))/0.8)/1000)-Crescimento!#REF!</f>
        <v>#REF!</v>
      </c>
      <c r="EO70" s="17" t="e">
        <f>-53.07 + (304.89 * (EN70)) + (90.79 *(Crescimento!#REF!-Crescimento!#REF!)) - (3.13 * (Crescimento!#REF!-Crescimento!#REF!)^2)</f>
        <v>#REF!</v>
      </c>
      <c r="EQ70" s="16" t="e">
        <f>((ER69+(Crescimento!#REF!-(ER69*0.64))/0.8)/1000)-Crescimento!#REF!</f>
        <v>#REF!</v>
      </c>
      <c r="ER70" s="17" t="e">
        <f>-53.07 + (304.89 * (EQ70)) + (90.79 *(Crescimento!#REF!-Crescimento!#REF!)) - (3.13 * (Crescimento!#REF!-Crescimento!#REF!)^2)</f>
        <v>#REF!</v>
      </c>
      <c r="ET70" s="16" t="e">
        <f>((EU69+(Crescimento!#REF!-(EU69*0.64))/0.8)/1000)-Crescimento!#REF!</f>
        <v>#REF!</v>
      </c>
      <c r="EU70" s="17" t="e">
        <f>-53.07 + (304.89 * (ET70)) + (90.79 *(Crescimento!#REF!-Crescimento!#REF!)) - (3.13 * (Crescimento!#REF!-Crescimento!#REF!)^2)</f>
        <v>#REF!</v>
      </c>
      <c r="EW70" s="16" t="e">
        <f>((EX69+('Vacas e Bezerros'!#REF!-(EX69*0.64))/0.8)/1000)-'Vacas e Bezerros'!#REF!</f>
        <v>#REF!</v>
      </c>
      <c r="EX70" s="17" t="e">
        <f>-53.07 + (304.89 * (EW70)) + (90.79 *('Vacas e Bezerros'!#REF!-'Vacas e Bezerros'!#REF!)) - (3.13 * ('Vacas e Bezerros'!#REF!-'Vacas e Bezerros'!#REF!)^2)</f>
        <v>#REF!</v>
      </c>
      <c r="EZ70" s="16" t="e">
        <f>((FA69+('Vacas e Bezerros'!#REF!-(FA69*0.64))/0.8)/1000)-'Vacas e Bezerros'!#REF!</f>
        <v>#REF!</v>
      </c>
      <c r="FA70" s="17" t="e">
        <f>-53.07 + (304.89 * (EZ70)) + (90.79 *('Vacas e Bezerros'!#REF!-'Vacas e Bezerros'!#REF!)) - (3.13 * ('Vacas e Bezerros'!#REF!-'Vacas e Bezerros'!#REF!)^2)</f>
        <v>#REF!</v>
      </c>
      <c r="FC70" s="16" t="e">
        <f>((FD69+('Vacas e Bezerros'!#REF!-(FD69*0.64))/0.8)/1000)-'Vacas e Bezerros'!#REF!</f>
        <v>#REF!</v>
      </c>
      <c r="FD70" s="17" t="e">
        <f>-53.07 + (304.89 * (FC70)) + (90.79 *('Vacas e Bezerros'!#REF!-'Vacas e Bezerros'!#REF!)) - (3.13 * ('Vacas e Bezerros'!#REF!-'Vacas e Bezerros'!#REF!)^2)</f>
        <v>#REF!</v>
      </c>
      <c r="FF70" s="16" t="e">
        <f>((FG69+('Vacas e Bezerros'!#REF!-(FG69*0.64))/0.8)/1000)-'Vacas e Bezerros'!#REF!</f>
        <v>#REF!</v>
      </c>
      <c r="FG70" s="17" t="e">
        <f>-53.07 + (304.89 * (FF70)) + (90.79 *('Vacas e Bezerros'!#REF!-'Vacas e Bezerros'!#REF!)) - (3.13 * ('Vacas e Bezerros'!#REF!-'Vacas e Bezerros'!#REF!)^2)</f>
        <v>#REF!</v>
      </c>
      <c r="FI70" s="16" t="e">
        <f>((FJ69+('Vacas e Bezerros'!#REF!-(FJ69*0.64))/0.8)/1000)-'Vacas e Bezerros'!#REF!</f>
        <v>#REF!</v>
      </c>
      <c r="FJ70" s="17" t="e">
        <f>-53.07 + (304.89 * (FI70)) + (90.79 *('Vacas e Bezerros'!#REF!-'Vacas e Bezerros'!#REF!)) - (3.13 * ('Vacas e Bezerros'!#REF!-'Vacas e Bezerros'!#REF!)^2)</f>
        <v>#REF!</v>
      </c>
      <c r="FL70" s="16" t="e">
        <f>((FM69+('Vacas e Bezerros'!#REF!-(FM69*0.64))/0.8)/1000)-'Vacas e Bezerros'!#REF!</f>
        <v>#REF!</v>
      </c>
      <c r="FM70" s="17" t="e">
        <f>-53.07 + (304.89 * (FL70)) + (90.79 *('Vacas e Bezerros'!#REF!-'Vacas e Bezerros'!#REF!)) - (3.13 * ('Vacas e Bezerros'!#REF!-'Vacas e Bezerros'!#REF!)^2)</f>
        <v>#REF!</v>
      </c>
      <c r="FO70" s="16" t="e">
        <f>((FP69+('Vacas e Bezerros'!#REF!-(FP69*0.64))/0.8)/1000)-'Vacas e Bezerros'!#REF!</f>
        <v>#REF!</v>
      </c>
      <c r="FP70" s="17" t="e">
        <f>-53.07 + (304.89 * (FO70)) + (90.79 *('Vacas e Bezerros'!#REF!-'Vacas e Bezerros'!#REF!)) - (3.13 * ('Vacas e Bezerros'!#REF!-'Vacas e Bezerros'!#REF!)^2)</f>
        <v>#REF!</v>
      </c>
      <c r="FR70" s="16" t="e">
        <f>((FS69+('Vacas e Bezerros'!#REF!-(FS69*0.64))/0.8)/1000)-'Vacas e Bezerros'!#REF!</f>
        <v>#REF!</v>
      </c>
      <c r="FS70" s="17" t="e">
        <f>-53.07 + (304.89 * (FR70)) + (90.79 *('Vacas e Bezerros'!#REF!-'Vacas e Bezerros'!#REF!)) - (3.13 * ('Vacas e Bezerros'!#REF!-'Vacas e Bezerros'!#REF!)^2)</f>
        <v>#REF!</v>
      </c>
      <c r="FU70" s="16" t="e">
        <f>((FV69+('Vacas e Bezerros'!#REF!-(FV69*0.64))/0.8)/1000)-'Vacas e Bezerros'!#REF!</f>
        <v>#REF!</v>
      </c>
      <c r="FV70" s="17" t="e">
        <f>-53.07 + (304.89 * (FU70)) + (90.79 *('Vacas e Bezerros'!#REF!-'Vacas e Bezerros'!#REF!)) - (3.13 * ('Vacas e Bezerros'!#REF!-'Vacas e Bezerros'!#REF!)^2)</f>
        <v>#REF!</v>
      </c>
      <c r="FX70" s="16" t="e">
        <f>((FY69+('Vacas e Bezerros'!#REF!-(FY69*0.64))/0.8)/1000)-'Vacas e Bezerros'!#REF!</f>
        <v>#REF!</v>
      </c>
      <c r="FY70" s="17" t="e">
        <f>-53.07 + (304.89 * (FX70)) + (90.79 *('Vacas e Bezerros'!#REF!-'Vacas e Bezerros'!#REF!)) - (3.13 * ('Vacas e Bezerros'!#REF!-'Vacas e Bezerros'!#REF!)^2)</f>
        <v>#REF!</v>
      </c>
      <c r="GA70" s="16" t="e">
        <f>((GB69+('Vacas e Bezerros'!#REF!-(GB69*0.64))/0.8)/1000)-'Vacas e Bezerros'!#REF!</f>
        <v>#REF!</v>
      </c>
      <c r="GB70" s="17" t="e">
        <f>-53.07 + (304.89 * (GA70)) + (90.79 *('Vacas e Bezerros'!#REF!-'Vacas e Bezerros'!#REF!)) - (3.13 * ('Vacas e Bezerros'!#REF!-'Vacas e Bezerros'!#REF!)^2)</f>
        <v>#REF!</v>
      </c>
      <c r="GD70" s="16" t="e">
        <f>((GE69+('Vacas e Bezerros'!#REF!-(GE69*0.64))/0.8)/1000)-'Vacas e Bezerros'!#REF!</f>
        <v>#REF!</v>
      </c>
      <c r="GE70" s="17" t="e">
        <f>-53.07 + (304.89 * (GD70)) + (90.79 *('Vacas e Bezerros'!#REF!-'Vacas e Bezerros'!#REF!)) - (3.13 * ('Vacas e Bezerros'!#REF!-'Vacas e Bezerros'!#REF!)^2)</f>
        <v>#REF!</v>
      </c>
      <c r="GG70" s="16" t="e">
        <f>((GH69+('Vacas e Bezerros'!#REF!-(GH69*0.64))/0.8)/1000)-'Vacas e Bezerros'!#REF!</f>
        <v>#REF!</v>
      </c>
      <c r="GH70" s="17" t="e">
        <f>-53.07 + (304.89 * (GG70)) + (90.79 *('Vacas e Bezerros'!#REF!-'Vacas e Bezerros'!#REF!)) - (3.13 * ('Vacas e Bezerros'!#REF!-'Vacas e Bezerros'!#REF!)^2)</f>
        <v>#REF!</v>
      </c>
      <c r="GJ70" s="16" t="e">
        <f>((GK69+('Vacas e Bezerros'!#REF!-(GK69*0.64))/0.8)/1000)-'Vacas e Bezerros'!#REF!</f>
        <v>#REF!</v>
      </c>
      <c r="GK70" s="17" t="e">
        <f>-53.07 + (304.89 * (GJ70)) + (90.79 *('Vacas e Bezerros'!#REF!-'Vacas e Bezerros'!#REF!)) - (3.13 * ('Vacas e Bezerros'!#REF!-'Vacas e Bezerros'!#REF!)^2)</f>
        <v>#REF!</v>
      </c>
      <c r="GM70" s="16" t="e">
        <f>((GN69+('Vacas e Bezerros'!#REF!-(GN69*0.64))/0.8)/1000)-'Vacas e Bezerros'!#REF!</f>
        <v>#REF!</v>
      </c>
      <c r="GN70" s="17" t="e">
        <f>-53.07 + (304.89 * (GM70)) + (90.79 *('Vacas e Bezerros'!#REF!-'Vacas e Bezerros'!#REF!)) - (3.13 * ('Vacas e Bezerros'!#REF!-'Vacas e Bezerros'!#REF!)^2)</f>
        <v>#REF!</v>
      </c>
    </row>
    <row r="71" spans="3:196" x14ac:dyDescent="0.25">
      <c r="C71" s="16">
        <f>(D70+('Vacas e Bezerros'!$AA$28-(D70*0.64))/0.8)/1000</f>
        <v>0.35719668016155687</v>
      </c>
      <c r="D71" s="17">
        <f>-53.07 + (304.89 * (C71-'Vacas e Bezerros'!$C$206)) + (90.79 *('Vacas e Bezerros'!$AA$22)) - (3.13 *('Vacas e Bezerros'!$AA$22)^2)</f>
        <v>165.01876457544017</v>
      </c>
      <c r="F71" s="16" t="e">
        <f>(G70+(Crescimento!#REF!-(G70*0.64))/0.8)/1000</f>
        <v>#REF!</v>
      </c>
      <c r="G71" s="17" t="e">
        <f>-53.07 + (304.89 * (F71)) + (90.79 *Crescimento!#REF!) - (3.13 * Crescimento!#REF!*Crescimento!#REF!)</f>
        <v>#REF!</v>
      </c>
      <c r="H71" s="1"/>
      <c r="I71" s="16" t="e">
        <f>(J70+(Crescimento!#REF!-(J70*0.64))/0.8)/1000</f>
        <v>#REF!</v>
      </c>
      <c r="J71" s="17" t="e">
        <f>-53.07 + (304.89 * (I71)) + (90.79 *Crescimento!#REF!) - (3.13 * Crescimento!#REF!*Crescimento!#REF!)</f>
        <v>#REF!</v>
      </c>
      <c r="L71" s="16" t="e">
        <f>(M70+(Crescimento!#REF!-(M70*0.64))/0.8)/1000</f>
        <v>#REF!</v>
      </c>
      <c r="M71" s="17" t="e">
        <f>-53.07 + (304.89 * (L71)) + (90.79 *Crescimento!#REF!) - (3.13 * Crescimento!#REF!*Crescimento!#REF!)</f>
        <v>#REF!</v>
      </c>
      <c r="O71" s="16" t="e">
        <f>(P70+(Crescimento!#REF!-(P70*0.64))/0.8)/1000</f>
        <v>#REF!</v>
      </c>
      <c r="P71" s="17" t="e">
        <f>-53.07 + (304.89 * (O71)) + (90.79 *Crescimento!#REF!) - (3.13 * Crescimento!#REF!*Crescimento!#REF!)</f>
        <v>#REF!</v>
      </c>
      <c r="R71" s="16" t="e">
        <f>(S70+(Crescimento!#REF!-(S70*0.64))/0.8)/1000</f>
        <v>#REF!</v>
      </c>
      <c r="S71" s="17" t="e">
        <f>-53.07 + (304.89 * (R71)) + (90.79 *Crescimento!#REF!) - (3.13 * Crescimento!#REF!*Crescimento!#REF!)</f>
        <v>#REF!</v>
      </c>
      <c r="U71" s="16" t="e">
        <f>(V70+(Crescimento!#REF!-(V70*0.64))/0.8)/1000</f>
        <v>#REF!</v>
      </c>
      <c r="V71" s="17" t="e">
        <f>-53.07 + (304.89 * (U71)) + (90.79 *Crescimento!#REF!) - (3.13 * Crescimento!#REF!*Crescimento!#REF!)</f>
        <v>#REF!</v>
      </c>
      <c r="X71" s="16" t="e">
        <f>(Y70+(Crescimento!#REF!-(Y70*0.64))/0.8)/1000</f>
        <v>#REF!</v>
      </c>
      <c r="Y71" s="17" t="e">
        <f>-53.07 + (304.89 * (X71)) + (90.79 *Crescimento!#REF!) - (3.13 * Crescimento!#REF!*Crescimento!#REF!)</f>
        <v>#REF!</v>
      </c>
      <c r="Z71" s="6"/>
      <c r="AA71" s="16" t="e">
        <f>(AB70+(Crescimento!#REF!-(AB70*0.64))/0.8)/1000</f>
        <v>#REF!</v>
      </c>
      <c r="AB71" s="17" t="e">
        <f>-53.07 + (304.89 * (AA71)) + (90.79 *Crescimento!#REF!) - (3.13 * Crescimento!#REF!*Crescimento!#REF!)</f>
        <v>#REF!</v>
      </c>
      <c r="AC71" s="6"/>
      <c r="AD71" s="16" t="e">
        <f>(AE70+(Crescimento!#REF!-(AE70*0.64))/0.8)/1000</f>
        <v>#REF!</v>
      </c>
      <c r="AE71" s="17" t="e">
        <f>-53.07 + (304.89 * (AD71)) + (90.79 *Crescimento!#REF!) - (3.13 * Crescimento!#REF!*Crescimento!#REF!)</f>
        <v>#REF!</v>
      </c>
      <c r="AF71" s="17"/>
      <c r="AG71" s="16" t="e">
        <f>(AH70+(Crescimento!#REF!-(AH70*0.64))/0.8)/1000</f>
        <v>#REF!</v>
      </c>
      <c r="AH71" s="17" t="e">
        <f>-53.07 + (304.89 * (AG71)) + (90.79 *Crescimento!#REF!) - (3.13 * Crescimento!#REF!*Crescimento!#REF!)</f>
        <v>#REF!</v>
      </c>
      <c r="AJ71" s="16" t="e">
        <f>(AK70+(Crescimento!#REF!-(AK70*0.64))/0.8)/1000</f>
        <v>#REF!</v>
      </c>
      <c r="AK71" s="17" t="e">
        <f>-53.07 + (304.89 * (AJ71)) + (90.79 *Crescimento!#REF!) - (3.13 * Crescimento!#REF!*Crescimento!#REF!)</f>
        <v>#REF!</v>
      </c>
      <c r="AM71" s="16" t="e">
        <f>(AN70+(Crescimento!#REF!-(AN70*0.64))/0.8)/1000</f>
        <v>#REF!</v>
      </c>
      <c r="AN71" s="17" t="e">
        <f>-53.07 + (304.89 * (AM71)) + (90.79 *Crescimento!#REF!) - (3.13 * Crescimento!#REF!*Crescimento!#REF!)</f>
        <v>#REF!</v>
      </c>
      <c r="AP71" s="16" t="e">
        <f>(AQ70+(Crescimento!#REF!-(AQ70*0.64))/0.8)/1000</f>
        <v>#REF!</v>
      </c>
      <c r="AQ71" s="17" t="e">
        <f>-53.07 + (304.89 * (AP71)) + (90.79 *Crescimento!#REF!) - (3.13 * Crescimento!#REF!*Crescimento!#REF!)</f>
        <v>#REF!</v>
      </c>
      <c r="AS71" s="16" t="e">
        <f>(AT70+(Crescimento!#REF!-(AT70*0.64))/0.8)/1000</f>
        <v>#REF!</v>
      </c>
      <c r="AT71" s="17" t="e">
        <f>-53.07 + (304.89 * (AS71)) + (90.79 *Crescimento!#REF!) - (3.13 * Crescimento!#REF!*Crescimento!#REF!)</f>
        <v>#REF!</v>
      </c>
      <c r="AV71" s="16" t="e">
        <f>(AW70+(Crescimento!#REF!-(AW70*0.64))/0.8)/1000</f>
        <v>#REF!</v>
      </c>
      <c r="AW71" s="17" t="e">
        <f>-53.07 + (304.89 * (AV71)) + (90.79 *Crescimento!#REF!) - (3.13 * Crescimento!#REF!*Crescimento!#REF!)</f>
        <v>#REF!</v>
      </c>
      <c r="AY71" s="21" t="e">
        <f>((AZ70+(Crescimento!#REF!-(AZ70*0.64))/0.8)/1000)-Crescimento!#REF!</f>
        <v>#REF!</v>
      </c>
      <c r="AZ71" s="22" t="e">
        <f>-53.07 + (304.89 * (AY71)) + (90.79 *(Crescimento!#REF!-Crescimento!#REF!)) - (3.13 * (Crescimento!#REF!-Crescimento!#REF!)^2)</f>
        <v>#REF!</v>
      </c>
      <c r="BA71" s="23"/>
      <c r="BB71" s="21" t="e">
        <f>((BC70+(Crescimento!#REF!-(BC70*0.64))/0.8)/1000)-Crescimento!#REF!</f>
        <v>#REF!</v>
      </c>
      <c r="BC71" s="22" t="e">
        <f>-53.07 + (304.89 * (BB71)) + (90.79 *(Crescimento!#REF!-Crescimento!#REF!)) - (3.13 * (Crescimento!#REF!-Crescimento!#REF!)^2)</f>
        <v>#REF!</v>
      </c>
      <c r="BD71" s="23"/>
      <c r="BE71" s="21" t="e">
        <f>((BF70+(Crescimento!#REF!-(BF70*0.64))/0.8)/1000)-Crescimento!#REF!</f>
        <v>#REF!</v>
      </c>
      <c r="BF71" s="22" t="e">
        <f>-53.07 + (304.89 * (BE71)) + (90.79 *(Crescimento!#REF!-Crescimento!#REF!)) - (3.13 * (Crescimento!#REF!-Crescimento!#REF!)^2)</f>
        <v>#REF!</v>
      </c>
      <c r="BG71" s="23"/>
      <c r="BH71" s="21" t="e">
        <f>((BI70+(Crescimento!#REF!-(BI70*0.64))/0.8)/1000)-Crescimento!#REF!</f>
        <v>#REF!</v>
      </c>
      <c r="BI71" s="22" t="e">
        <f>-53.07 + (304.89 * (BH71)) + (90.79 *(Crescimento!#REF!-Crescimento!#REF!)) - (3.13 * (Crescimento!#REF!-Crescimento!#REF!)^2)</f>
        <v>#REF!</v>
      </c>
      <c r="BJ71" s="23"/>
      <c r="BK71" s="21" t="e">
        <f>((BL70+(Crescimento!#REF!-(BL70*0.64))/0.8)/1000)-Crescimento!#REF!</f>
        <v>#REF!</v>
      </c>
      <c r="BL71" s="22" t="e">
        <f>-53.07 + (304.89 * (BK71)) + (90.79 *(Crescimento!#REF!-Crescimento!#REF!)) - (3.13 * (Crescimento!#REF!-Crescimento!#REF!)^2)</f>
        <v>#REF!</v>
      </c>
      <c r="BM71" s="23"/>
      <c r="BN71" s="21" t="e">
        <f>((BO70+(Crescimento!#REF!-(BO70*0.64))/0.8)/1000)-Crescimento!#REF!</f>
        <v>#REF!</v>
      </c>
      <c r="BO71" s="22" t="e">
        <f>-53.07 + (304.89 * (BN71)) + (90.79 *(Crescimento!#REF!-Crescimento!#REF!)) - (3.13 * (Crescimento!#REF!-Crescimento!#REF!)^2)</f>
        <v>#REF!</v>
      </c>
      <c r="BP71" s="23"/>
      <c r="BQ71" s="21" t="e">
        <f>((BR70+(Crescimento!#REF!-(BR70*0.64))/0.8)/1000)-Crescimento!#REF!</f>
        <v>#REF!</v>
      </c>
      <c r="BR71" s="22" t="e">
        <f>-53.07 + (304.89 * (BQ71)) + (90.79 *(Crescimento!#REF!-Crescimento!#REF!)) - (3.13 * (Crescimento!#REF!-Crescimento!#REF!)^2)</f>
        <v>#REF!</v>
      </c>
      <c r="BS71" s="23"/>
      <c r="BT71" s="21" t="e">
        <f>((BU70+(Crescimento!#REF!-(BU70*0.64))/0.8)/1000)-Crescimento!#REF!</f>
        <v>#REF!</v>
      </c>
      <c r="BU71" s="22" t="e">
        <f>-53.07 + (304.89 * (BT71)) + (90.79 *(Crescimento!#REF!-Crescimento!#REF!)) - (3.13 * (Crescimento!#REF!-Crescimento!#REF!)^2)</f>
        <v>#REF!</v>
      </c>
      <c r="BV71" s="23"/>
      <c r="BW71" s="21" t="e">
        <f>((BX70+(Crescimento!#REF!-(BX70*0.64))/0.8)/1000)-Crescimento!#REF!</f>
        <v>#REF!</v>
      </c>
      <c r="BX71" s="22" t="e">
        <f>-53.07 + (304.89 * (BW71)) + (90.79 *(Crescimento!#REF!-Crescimento!#REF!)) - (3.13 * (Crescimento!#REF!-Crescimento!#REF!)^2)</f>
        <v>#REF!</v>
      </c>
      <c r="BY71" s="23"/>
      <c r="BZ71" s="21" t="e">
        <f>((CA70+(Crescimento!#REF!-(CA70*0.64))/0.8)/1000)-Crescimento!#REF!</f>
        <v>#REF!</v>
      </c>
      <c r="CA71" s="22" t="e">
        <f>-53.07 + (304.89 * (BZ71)) + (90.79 *(Crescimento!#REF!-Crescimento!#REF!)) - (3.13 * (Crescimento!#REF!-Crescimento!#REF!)^2)</f>
        <v>#REF!</v>
      </c>
      <c r="CB71" s="23"/>
      <c r="CC71" s="21" t="e">
        <f>((CD70+(Crescimento!#REF!-(CD70*0.64))/0.8)/1000)-Crescimento!#REF!</f>
        <v>#REF!</v>
      </c>
      <c r="CD71" s="22" t="e">
        <f>-53.07 + (304.89 * (CC71)) + (90.79 *(Crescimento!#REF!-Crescimento!#REF!)) - (3.13 * (Crescimento!#REF!-Crescimento!#REF!)^2)</f>
        <v>#REF!</v>
      </c>
      <c r="CE71" s="23"/>
      <c r="CF71" s="21" t="e">
        <f>((CG70+(Crescimento!#REF!-(CG70*0.64))/0.8)/1000)-Crescimento!#REF!</f>
        <v>#REF!</v>
      </c>
      <c r="CG71" s="22" t="e">
        <f>-53.07 + (304.89 * (CF71)) + (90.79 *(Crescimento!#REF!-Crescimento!#REF!)) - (3.13 * (Crescimento!#REF!-Crescimento!#REF!)^2)</f>
        <v>#REF!</v>
      </c>
      <c r="CH71" s="23"/>
      <c r="CI71" s="21" t="e">
        <f>((CJ70+(Crescimento!#REF!-(CJ70*0.64))/0.8)/1000)-Crescimento!#REF!</f>
        <v>#REF!</v>
      </c>
      <c r="CJ71" s="22" t="e">
        <f>-53.07 + (304.89 * (CI71)) + (90.79 *(Crescimento!#REF!-Crescimento!#REF!)) - (3.13 * (Crescimento!#REF!-Crescimento!#REF!)^2)</f>
        <v>#REF!</v>
      </c>
      <c r="CK71" s="23"/>
      <c r="CL71" s="21" t="e">
        <f>((CM70+(Crescimento!#REF!-(CM70*0.64))/0.8)/1000)-Crescimento!#REF!</f>
        <v>#REF!</v>
      </c>
      <c r="CM71" s="22" t="e">
        <f>-53.07 + (304.89 * (CL71)) + (90.79 *(Crescimento!#REF!-Crescimento!#REF!)) - (3.13 * (Crescimento!#REF!-Crescimento!#REF!)^2)</f>
        <v>#REF!</v>
      </c>
      <c r="CN71" s="23"/>
      <c r="CO71" s="21" t="e">
        <f>((CP70+(Crescimento!#REF!-(CP70*0.64))/0.8)/1000)-Crescimento!#REF!</f>
        <v>#REF!</v>
      </c>
      <c r="CP71" s="22" t="e">
        <f>-53.07 + (304.89 * (CO71)) + (90.79 *(Crescimento!#REF!-Crescimento!#REF!)) - (3.13 * (Crescimento!#REF!-Crescimento!#REF!)^2)</f>
        <v>#REF!</v>
      </c>
      <c r="CQ71" s="23"/>
      <c r="CR71" s="21" t="e">
        <f>((CS70+(Crescimento!#REF!-(CS70*0.64))/0.8)/1000)-Crescimento!#REF!</f>
        <v>#REF!</v>
      </c>
      <c r="CS71" s="22" t="e">
        <f>-53.07 + (304.89 * (CR71)) + (90.79 *(Crescimento!#REF!-Crescimento!#REF!)) - (3.13 * (Crescimento!#REF!-Crescimento!#REF!)^2)</f>
        <v>#REF!</v>
      </c>
      <c r="CX71" s="16" t="e">
        <f>((CY70+(Crescimento!#REF!-(CY70*0.64))/0.8)/1000)-Crescimento!#REF!</f>
        <v>#REF!</v>
      </c>
      <c r="CY71" s="17" t="e">
        <f>-53.07 + (304.89 * (CX71)) + (90.79 *(Crescimento!#REF!-Crescimento!#REF!)) - (3.13 * (Crescimento!#REF!-Crescimento!#REF!)^2)</f>
        <v>#REF!</v>
      </c>
      <c r="DA71" s="16" t="e">
        <f>((DB70+(Crescimento!#REF!-(DB70*0.64))/0.8)/1000)-Crescimento!#REF!</f>
        <v>#REF!</v>
      </c>
      <c r="DB71" s="17" t="e">
        <f>-53.07 + (304.89 * (DA71)) + (90.79 *(Crescimento!#REF!-Crescimento!#REF!)) - (3.13 * (Crescimento!#REF!-Crescimento!#REF!)^2)</f>
        <v>#REF!</v>
      </c>
      <c r="DD71" s="16" t="e">
        <f>(DE70+(Crescimento!#REF!-(DE70*0.64))/0.8)/1000</f>
        <v>#REF!</v>
      </c>
      <c r="DE71" s="17" t="e">
        <f>-53.07 + (304.89 * (DD71)) + (90.79 *Crescimento!#REF!) - (3.13 * Crescimento!#REF!*Crescimento!#REF!)</f>
        <v>#REF!</v>
      </c>
      <c r="DG71" s="16" t="e">
        <f>((DH70+(Crescimento!#REF!-(DH70*0.64))/0.8)/1000)-Crescimento!#REF!</f>
        <v>#REF!</v>
      </c>
      <c r="DH71" s="17" t="e">
        <f>-53.07 + (304.89 * (DG71)) + (90.79 *(Crescimento!#REF!-Crescimento!#REF!)) - (3.13 * (Crescimento!#REF!-Crescimento!#REF!)^2)</f>
        <v>#REF!</v>
      </c>
      <c r="DJ71" s="16" t="e">
        <f>((DK70+(Crescimento!#REF!-(DK70*0.64))/0.8)/1000)-Crescimento!#REF!</f>
        <v>#REF!</v>
      </c>
      <c r="DK71" s="17" t="e">
        <f>-53.07 + (304.89 * (DJ71)) + (90.79 *(Crescimento!#REF!-Crescimento!#REF!)) - (3.13 * (Crescimento!#REF!-Crescimento!#REF!)^2)</f>
        <v>#REF!</v>
      </c>
      <c r="DM71" s="16" t="e">
        <f>((DN70+(Crescimento!#REF!-(DN70*0.64))/0.8)/1000)-Crescimento!#REF!</f>
        <v>#REF!</v>
      </c>
      <c r="DN71" s="17" t="e">
        <f>-53.07 + (304.89 * (DM71)) + (90.79 *(Crescimento!#REF!-Crescimento!#REF!)) - (3.13 * (Crescimento!#REF!-Crescimento!#REF!)^2)</f>
        <v>#REF!</v>
      </c>
      <c r="DP71" s="16" t="e">
        <f>(DQ70+(Crescimento!#REF!-(DQ70*0.64))/0.8)/1000</f>
        <v>#REF!</v>
      </c>
      <c r="DQ71" s="17" t="e">
        <f>-53.07 + (304.89 * (DP71)) + (90.79 *(Crescimento!#REF!-Crescimento!#REF!)) - (3.13 * (Crescimento!#REF!-Crescimento!#REF!)^2)</f>
        <v>#REF!</v>
      </c>
      <c r="DS71" s="16" t="e">
        <f>((DT70+(Crescimento!#REF!-(DT70*0.64))/0.8)/1000)-Crescimento!#REF!</f>
        <v>#REF!</v>
      </c>
      <c r="DT71" s="17" t="e">
        <f>-53.07 + (304.89 * (DS71)) + (90.79 *(Crescimento!#REF!-Crescimento!#REF!)) - (3.13 * (Crescimento!#REF!-Crescimento!#REF!)^2)</f>
        <v>#REF!</v>
      </c>
      <c r="DV71" s="16" t="e">
        <f>((DW70+(Crescimento!#REF!-(DW70*0.64))/0.8)/1000)-Crescimento!#REF!</f>
        <v>#REF!</v>
      </c>
      <c r="DW71" s="17" t="e">
        <f>-53.07 + (304.89 * (DV71)) + (90.79 *(Crescimento!#REF!-Crescimento!#REF!)) - (3.13 * (Crescimento!#REF!-Crescimento!#REF!)^2)</f>
        <v>#REF!</v>
      </c>
      <c r="DY71" s="16" t="e">
        <f>((DZ70+(Crescimento!#REF!-(DZ70*0.64))/0.8)/1000)-Crescimento!#REF!</f>
        <v>#REF!</v>
      </c>
      <c r="DZ71" s="17" t="e">
        <f>-53.07 + (304.89 * (DY71)) + (90.79 *(Crescimento!#REF!-Crescimento!#REF!)) - (3.13 * (Crescimento!#REF!-Crescimento!#REF!)^2)</f>
        <v>#REF!</v>
      </c>
      <c r="EB71" s="16" t="e">
        <f>((EC70+(Crescimento!#REF!-(EC70*0.64))/0.8)/1000)-Crescimento!#REF!</f>
        <v>#REF!</v>
      </c>
      <c r="EC71" s="17" t="e">
        <f>-53.07 + (304.89 * (EB71)) + (90.79 *(Crescimento!#REF!-Crescimento!#REF!)) - (3.13 * (Crescimento!#REF!-Crescimento!#REF!)^2)</f>
        <v>#REF!</v>
      </c>
      <c r="EE71" s="16" t="e">
        <f>((EF70+(Crescimento!#REF!-(EF70*0.64))/0.8)/1000)-Crescimento!#REF!</f>
        <v>#REF!</v>
      </c>
      <c r="EF71" s="17" t="e">
        <f>-53.07 + (304.89 * (EE71)) + (90.79 *(Crescimento!#REF!-Crescimento!#REF!)) - (3.13 * (Crescimento!#REF!-Crescimento!#REF!)^2)</f>
        <v>#REF!</v>
      </c>
      <c r="EH71" s="16" t="e">
        <f>((EI70+(Crescimento!#REF!-(EI70*0.64))/0.8)/1000)-Crescimento!#REF!</f>
        <v>#REF!</v>
      </c>
      <c r="EI71" s="17" t="e">
        <f>-53.07 + (304.89 * (EH71)) + (90.79 *(Crescimento!#REF!-Crescimento!#REF!)) - (3.13 * (Crescimento!#REF!-Crescimento!#REF!)^2)</f>
        <v>#REF!</v>
      </c>
      <c r="EK71" s="16" t="e">
        <f>((EL70+(Crescimento!#REF!-(EL70*0.64))/0.8)/1000)-Crescimento!#REF!</f>
        <v>#REF!</v>
      </c>
      <c r="EL71" s="17" t="e">
        <f>-53.07 + (304.89 * (EK71)) + (90.79 *(Crescimento!#REF!-Crescimento!#REF!)) - (3.13 * (Crescimento!#REF!-Crescimento!#REF!)^2)</f>
        <v>#REF!</v>
      </c>
      <c r="EN71" s="16" t="e">
        <f>((EO70+(Crescimento!#REF!-(EO70*0.64))/0.8)/1000)-Crescimento!#REF!</f>
        <v>#REF!</v>
      </c>
      <c r="EO71" s="17" t="e">
        <f>-53.07 + (304.89 * (EN71)) + (90.79 *(Crescimento!#REF!-Crescimento!#REF!)) - (3.13 * (Crescimento!#REF!-Crescimento!#REF!)^2)</f>
        <v>#REF!</v>
      </c>
      <c r="EQ71" s="16" t="e">
        <f>((ER70+(Crescimento!#REF!-(ER70*0.64))/0.8)/1000)-Crescimento!#REF!</f>
        <v>#REF!</v>
      </c>
      <c r="ER71" s="17" t="e">
        <f>-53.07 + (304.89 * (EQ71)) + (90.79 *(Crescimento!#REF!-Crescimento!#REF!)) - (3.13 * (Crescimento!#REF!-Crescimento!#REF!)^2)</f>
        <v>#REF!</v>
      </c>
      <c r="ET71" s="16" t="e">
        <f>((EU70+(Crescimento!#REF!-(EU70*0.64))/0.8)/1000)-Crescimento!#REF!</f>
        <v>#REF!</v>
      </c>
      <c r="EU71" s="17" t="e">
        <f>-53.07 + (304.89 * (ET71)) + (90.79 *(Crescimento!#REF!-Crescimento!#REF!)) - (3.13 * (Crescimento!#REF!-Crescimento!#REF!)^2)</f>
        <v>#REF!</v>
      </c>
      <c r="EW71" s="16" t="e">
        <f>((EX70+('Vacas e Bezerros'!#REF!-(EX70*0.64))/0.8)/1000)-'Vacas e Bezerros'!#REF!</f>
        <v>#REF!</v>
      </c>
      <c r="EX71" s="17" t="e">
        <f>-53.07 + (304.89 * (EW71)) + (90.79 *('Vacas e Bezerros'!#REF!-'Vacas e Bezerros'!#REF!)) - (3.13 * ('Vacas e Bezerros'!#REF!-'Vacas e Bezerros'!#REF!)^2)</f>
        <v>#REF!</v>
      </c>
      <c r="EZ71" s="16" t="e">
        <f>((FA70+('Vacas e Bezerros'!#REF!-(FA70*0.64))/0.8)/1000)-'Vacas e Bezerros'!#REF!</f>
        <v>#REF!</v>
      </c>
      <c r="FA71" s="17" t="e">
        <f>-53.07 + (304.89 * (EZ71)) + (90.79 *('Vacas e Bezerros'!#REF!-'Vacas e Bezerros'!#REF!)) - (3.13 * ('Vacas e Bezerros'!#REF!-'Vacas e Bezerros'!#REF!)^2)</f>
        <v>#REF!</v>
      </c>
      <c r="FC71" s="16" t="e">
        <f>((FD70+('Vacas e Bezerros'!#REF!-(FD70*0.64))/0.8)/1000)-'Vacas e Bezerros'!#REF!</f>
        <v>#REF!</v>
      </c>
      <c r="FD71" s="17" t="e">
        <f>-53.07 + (304.89 * (FC71)) + (90.79 *('Vacas e Bezerros'!#REF!-'Vacas e Bezerros'!#REF!)) - (3.13 * ('Vacas e Bezerros'!#REF!-'Vacas e Bezerros'!#REF!)^2)</f>
        <v>#REF!</v>
      </c>
      <c r="FF71" s="16" t="e">
        <f>((FG70+('Vacas e Bezerros'!#REF!-(FG70*0.64))/0.8)/1000)-'Vacas e Bezerros'!#REF!</f>
        <v>#REF!</v>
      </c>
      <c r="FG71" s="17" t="e">
        <f>-53.07 + (304.89 * (FF71)) + (90.79 *('Vacas e Bezerros'!#REF!-'Vacas e Bezerros'!#REF!)) - (3.13 * ('Vacas e Bezerros'!#REF!-'Vacas e Bezerros'!#REF!)^2)</f>
        <v>#REF!</v>
      </c>
      <c r="FI71" s="16" t="e">
        <f>((FJ70+('Vacas e Bezerros'!#REF!-(FJ70*0.64))/0.8)/1000)-'Vacas e Bezerros'!#REF!</f>
        <v>#REF!</v>
      </c>
      <c r="FJ71" s="17" t="e">
        <f>-53.07 + (304.89 * (FI71)) + (90.79 *('Vacas e Bezerros'!#REF!-'Vacas e Bezerros'!#REF!)) - (3.13 * ('Vacas e Bezerros'!#REF!-'Vacas e Bezerros'!#REF!)^2)</f>
        <v>#REF!</v>
      </c>
      <c r="FL71" s="16" t="e">
        <f>((FM70+('Vacas e Bezerros'!#REF!-(FM70*0.64))/0.8)/1000)-'Vacas e Bezerros'!#REF!</f>
        <v>#REF!</v>
      </c>
      <c r="FM71" s="17" t="e">
        <f>-53.07 + (304.89 * (FL71)) + (90.79 *('Vacas e Bezerros'!#REF!-'Vacas e Bezerros'!#REF!)) - (3.13 * ('Vacas e Bezerros'!#REF!-'Vacas e Bezerros'!#REF!)^2)</f>
        <v>#REF!</v>
      </c>
      <c r="FO71" s="16" t="e">
        <f>((FP70+('Vacas e Bezerros'!#REF!-(FP70*0.64))/0.8)/1000)-'Vacas e Bezerros'!#REF!</f>
        <v>#REF!</v>
      </c>
      <c r="FP71" s="17" t="e">
        <f>-53.07 + (304.89 * (FO71)) + (90.79 *('Vacas e Bezerros'!#REF!-'Vacas e Bezerros'!#REF!)) - (3.13 * ('Vacas e Bezerros'!#REF!-'Vacas e Bezerros'!#REF!)^2)</f>
        <v>#REF!</v>
      </c>
      <c r="FR71" s="16" t="e">
        <f>((FS70+('Vacas e Bezerros'!#REF!-(FS70*0.64))/0.8)/1000)-'Vacas e Bezerros'!#REF!</f>
        <v>#REF!</v>
      </c>
      <c r="FS71" s="17" t="e">
        <f>-53.07 + (304.89 * (FR71)) + (90.79 *('Vacas e Bezerros'!#REF!-'Vacas e Bezerros'!#REF!)) - (3.13 * ('Vacas e Bezerros'!#REF!-'Vacas e Bezerros'!#REF!)^2)</f>
        <v>#REF!</v>
      </c>
      <c r="FU71" s="16" t="e">
        <f>((FV70+('Vacas e Bezerros'!#REF!-(FV70*0.64))/0.8)/1000)-'Vacas e Bezerros'!#REF!</f>
        <v>#REF!</v>
      </c>
      <c r="FV71" s="17" t="e">
        <f>-53.07 + (304.89 * (FU71)) + (90.79 *('Vacas e Bezerros'!#REF!-'Vacas e Bezerros'!#REF!)) - (3.13 * ('Vacas e Bezerros'!#REF!-'Vacas e Bezerros'!#REF!)^2)</f>
        <v>#REF!</v>
      </c>
      <c r="FX71" s="16" t="e">
        <f>((FY70+('Vacas e Bezerros'!#REF!-(FY70*0.64))/0.8)/1000)-'Vacas e Bezerros'!#REF!</f>
        <v>#REF!</v>
      </c>
      <c r="FY71" s="17" t="e">
        <f>-53.07 + (304.89 * (FX71)) + (90.79 *('Vacas e Bezerros'!#REF!-'Vacas e Bezerros'!#REF!)) - (3.13 * ('Vacas e Bezerros'!#REF!-'Vacas e Bezerros'!#REF!)^2)</f>
        <v>#REF!</v>
      </c>
      <c r="GA71" s="16" t="e">
        <f>((GB70+('Vacas e Bezerros'!#REF!-(GB70*0.64))/0.8)/1000)-'Vacas e Bezerros'!#REF!</f>
        <v>#REF!</v>
      </c>
      <c r="GB71" s="17" t="e">
        <f>-53.07 + (304.89 * (GA71)) + (90.79 *('Vacas e Bezerros'!#REF!-'Vacas e Bezerros'!#REF!)) - (3.13 * ('Vacas e Bezerros'!#REF!-'Vacas e Bezerros'!#REF!)^2)</f>
        <v>#REF!</v>
      </c>
      <c r="GD71" s="16" t="e">
        <f>((GE70+('Vacas e Bezerros'!#REF!-(GE70*0.64))/0.8)/1000)-'Vacas e Bezerros'!#REF!</f>
        <v>#REF!</v>
      </c>
      <c r="GE71" s="17" t="e">
        <f>-53.07 + (304.89 * (GD71)) + (90.79 *('Vacas e Bezerros'!#REF!-'Vacas e Bezerros'!#REF!)) - (3.13 * ('Vacas e Bezerros'!#REF!-'Vacas e Bezerros'!#REF!)^2)</f>
        <v>#REF!</v>
      </c>
      <c r="GG71" s="16" t="e">
        <f>((GH70+('Vacas e Bezerros'!#REF!-(GH70*0.64))/0.8)/1000)-'Vacas e Bezerros'!#REF!</f>
        <v>#REF!</v>
      </c>
      <c r="GH71" s="17" t="e">
        <f>-53.07 + (304.89 * (GG71)) + (90.79 *('Vacas e Bezerros'!#REF!-'Vacas e Bezerros'!#REF!)) - (3.13 * ('Vacas e Bezerros'!#REF!-'Vacas e Bezerros'!#REF!)^2)</f>
        <v>#REF!</v>
      </c>
      <c r="GJ71" s="16" t="e">
        <f>((GK70+('Vacas e Bezerros'!#REF!-(GK70*0.64))/0.8)/1000)-'Vacas e Bezerros'!#REF!</f>
        <v>#REF!</v>
      </c>
      <c r="GK71" s="17" t="e">
        <f>-53.07 + (304.89 * (GJ71)) + (90.79 *('Vacas e Bezerros'!#REF!-'Vacas e Bezerros'!#REF!)) - (3.13 * ('Vacas e Bezerros'!#REF!-'Vacas e Bezerros'!#REF!)^2)</f>
        <v>#REF!</v>
      </c>
      <c r="GM71" s="16" t="e">
        <f>((GN70+('Vacas e Bezerros'!#REF!-(GN70*0.64))/0.8)/1000)-'Vacas e Bezerros'!#REF!</f>
        <v>#REF!</v>
      </c>
      <c r="GN71" s="17" t="e">
        <f>-53.07 + (304.89 * (GM71)) + (90.79 *('Vacas e Bezerros'!#REF!-'Vacas e Bezerros'!#REF!)) - (3.13 * ('Vacas e Bezerros'!#REF!-'Vacas e Bezerros'!#REF!)^2)</f>
        <v>#REF!</v>
      </c>
    </row>
    <row r="72" spans="3:196" x14ac:dyDescent="0.25">
      <c r="C72" s="16">
        <f>(D71+('Vacas e Bezerros'!$AA$28-(D71*0.64))/0.8)/1000</f>
        <v>0.35719668016155687</v>
      </c>
      <c r="D72" s="17">
        <f>-53.07 + (304.89 * (C72-'Vacas e Bezerros'!$C$206)) + (90.79 *('Vacas e Bezerros'!$AA$22)) - (3.13 *('Vacas e Bezerros'!$AA$22)^2)</f>
        <v>165.01876457544017</v>
      </c>
      <c r="F72" s="16" t="e">
        <f>(G71+(Crescimento!#REF!-(G71*0.64))/0.8)/1000</f>
        <v>#REF!</v>
      </c>
      <c r="G72" s="17" t="e">
        <f>-53.07 + (304.89 * (F72)) + (90.79 *Crescimento!#REF!) - (3.13 * Crescimento!#REF!*Crescimento!#REF!)</f>
        <v>#REF!</v>
      </c>
      <c r="H72" s="1"/>
      <c r="I72" s="16" t="e">
        <f>(J71+(Crescimento!#REF!-(J71*0.64))/0.8)/1000</f>
        <v>#REF!</v>
      </c>
      <c r="J72" s="17" t="e">
        <f>-53.07 + (304.89 * (I72)) + (90.79 *Crescimento!#REF!) - (3.13 * Crescimento!#REF!*Crescimento!#REF!)</f>
        <v>#REF!</v>
      </c>
      <c r="L72" s="16" t="e">
        <f>(M71+(Crescimento!#REF!-(M71*0.64))/0.8)/1000</f>
        <v>#REF!</v>
      </c>
      <c r="M72" s="17" t="e">
        <f>-53.07 + (304.89 * (L72)) + (90.79 *Crescimento!#REF!) - (3.13 * Crescimento!#REF!*Crescimento!#REF!)</f>
        <v>#REF!</v>
      </c>
      <c r="O72" s="16" t="e">
        <f>(P71+(Crescimento!#REF!-(P71*0.64))/0.8)/1000</f>
        <v>#REF!</v>
      </c>
      <c r="P72" s="17" t="e">
        <f>-53.07 + (304.89 * (O72)) + (90.79 *Crescimento!#REF!) - (3.13 * Crescimento!#REF!*Crescimento!#REF!)</f>
        <v>#REF!</v>
      </c>
      <c r="R72" s="16" t="e">
        <f>(S71+(Crescimento!#REF!-(S71*0.64))/0.8)/1000</f>
        <v>#REF!</v>
      </c>
      <c r="S72" s="17" t="e">
        <f>-53.07 + (304.89 * (R72)) + (90.79 *Crescimento!#REF!) - (3.13 * Crescimento!#REF!*Crescimento!#REF!)</f>
        <v>#REF!</v>
      </c>
      <c r="U72" s="16" t="e">
        <f>(V71+(Crescimento!#REF!-(V71*0.64))/0.8)/1000</f>
        <v>#REF!</v>
      </c>
      <c r="V72" s="17" t="e">
        <f>-53.07 + (304.89 * (U72)) + (90.79 *Crescimento!#REF!) - (3.13 * Crescimento!#REF!*Crescimento!#REF!)</f>
        <v>#REF!</v>
      </c>
      <c r="X72" s="16" t="e">
        <f>(Y71+(Crescimento!#REF!-(Y71*0.64))/0.8)/1000</f>
        <v>#REF!</v>
      </c>
      <c r="Y72" s="17" t="e">
        <f>-53.07 + (304.89 * (X72)) + (90.79 *Crescimento!#REF!) - (3.13 * Crescimento!#REF!*Crescimento!#REF!)</f>
        <v>#REF!</v>
      </c>
      <c r="Z72" s="6"/>
      <c r="AA72" s="16" t="e">
        <f>(AB71+(Crescimento!#REF!-(AB71*0.64))/0.8)/1000</f>
        <v>#REF!</v>
      </c>
      <c r="AB72" s="17" t="e">
        <f>-53.07 + (304.89 * (AA72)) + (90.79 *Crescimento!#REF!) - (3.13 * Crescimento!#REF!*Crescimento!#REF!)</f>
        <v>#REF!</v>
      </c>
      <c r="AC72" s="6"/>
      <c r="AD72" s="16" t="e">
        <f>(AE71+(Crescimento!#REF!-(AE71*0.64))/0.8)/1000</f>
        <v>#REF!</v>
      </c>
      <c r="AE72" s="17" t="e">
        <f>-53.07 + (304.89 * (AD72)) + (90.79 *Crescimento!#REF!) - (3.13 * Crescimento!#REF!*Crescimento!#REF!)</f>
        <v>#REF!</v>
      </c>
      <c r="AF72" s="17"/>
      <c r="AG72" s="16" t="e">
        <f>(AH71+(Crescimento!#REF!-(AH71*0.64))/0.8)/1000</f>
        <v>#REF!</v>
      </c>
      <c r="AH72" s="17" t="e">
        <f>-53.07 + (304.89 * (AG72)) + (90.79 *Crescimento!#REF!) - (3.13 * Crescimento!#REF!*Crescimento!#REF!)</f>
        <v>#REF!</v>
      </c>
      <c r="AJ72" s="16" t="e">
        <f>(AK71+(Crescimento!#REF!-(AK71*0.64))/0.8)/1000</f>
        <v>#REF!</v>
      </c>
      <c r="AK72" s="17" t="e">
        <f>-53.07 + (304.89 * (AJ72)) + (90.79 *Crescimento!#REF!) - (3.13 * Crescimento!#REF!*Crescimento!#REF!)</f>
        <v>#REF!</v>
      </c>
      <c r="AM72" s="16" t="e">
        <f>(AN71+(Crescimento!#REF!-(AN71*0.64))/0.8)/1000</f>
        <v>#REF!</v>
      </c>
      <c r="AN72" s="17" t="e">
        <f>-53.07 + (304.89 * (AM72)) + (90.79 *Crescimento!#REF!) - (3.13 * Crescimento!#REF!*Crescimento!#REF!)</f>
        <v>#REF!</v>
      </c>
      <c r="AP72" s="16" t="e">
        <f>(AQ71+(Crescimento!#REF!-(AQ71*0.64))/0.8)/1000</f>
        <v>#REF!</v>
      </c>
      <c r="AQ72" s="17" t="e">
        <f>-53.07 + (304.89 * (AP72)) + (90.79 *Crescimento!#REF!) - (3.13 * Crescimento!#REF!*Crescimento!#REF!)</f>
        <v>#REF!</v>
      </c>
      <c r="AS72" s="16" t="e">
        <f>(AT71+(Crescimento!#REF!-(AT71*0.64))/0.8)/1000</f>
        <v>#REF!</v>
      </c>
      <c r="AT72" s="17" t="e">
        <f>-53.07 + (304.89 * (AS72)) + (90.79 *Crescimento!#REF!) - (3.13 * Crescimento!#REF!*Crescimento!#REF!)</f>
        <v>#REF!</v>
      </c>
      <c r="AV72" s="16" t="e">
        <f>(AW71+(Crescimento!#REF!-(AW71*0.64))/0.8)/1000</f>
        <v>#REF!</v>
      </c>
      <c r="AW72" s="17" t="e">
        <f>-53.07 + (304.89 * (AV72)) + (90.79 *Crescimento!#REF!) - (3.13 * Crescimento!#REF!*Crescimento!#REF!)</f>
        <v>#REF!</v>
      </c>
      <c r="AY72" s="21" t="e">
        <f>((AZ71+(Crescimento!#REF!-(AZ71*0.64))/0.8)/1000)-Crescimento!#REF!</f>
        <v>#REF!</v>
      </c>
      <c r="AZ72" s="22" t="e">
        <f>-53.07 + (304.89 * (AY72)) + (90.79 *(Crescimento!#REF!-Crescimento!#REF!)) - (3.13 * (Crescimento!#REF!-Crescimento!#REF!)^2)</f>
        <v>#REF!</v>
      </c>
      <c r="BA72" s="23"/>
      <c r="BB72" s="21" t="e">
        <f>((BC71+(Crescimento!#REF!-(BC71*0.64))/0.8)/1000)-Crescimento!#REF!</f>
        <v>#REF!</v>
      </c>
      <c r="BC72" s="22" t="e">
        <f>-53.07 + (304.89 * (BB72)) + (90.79 *(Crescimento!#REF!-Crescimento!#REF!)) - (3.13 * (Crescimento!#REF!-Crescimento!#REF!)^2)</f>
        <v>#REF!</v>
      </c>
      <c r="BD72" s="23"/>
      <c r="BE72" s="21" t="e">
        <f>((BF71+(Crescimento!#REF!-(BF71*0.64))/0.8)/1000)-Crescimento!#REF!</f>
        <v>#REF!</v>
      </c>
      <c r="BF72" s="22" t="e">
        <f>-53.07 + (304.89 * (BE72)) + (90.79 *(Crescimento!#REF!-Crescimento!#REF!)) - (3.13 * (Crescimento!#REF!-Crescimento!#REF!)^2)</f>
        <v>#REF!</v>
      </c>
      <c r="BG72" s="23"/>
      <c r="BH72" s="21" t="e">
        <f>((BI71+(Crescimento!#REF!-(BI71*0.64))/0.8)/1000)-Crescimento!#REF!</f>
        <v>#REF!</v>
      </c>
      <c r="BI72" s="22" t="e">
        <f>-53.07 + (304.89 * (BH72)) + (90.79 *(Crescimento!#REF!-Crescimento!#REF!)) - (3.13 * (Crescimento!#REF!-Crescimento!#REF!)^2)</f>
        <v>#REF!</v>
      </c>
      <c r="BJ72" s="23"/>
      <c r="BK72" s="21" t="e">
        <f>((BL71+(Crescimento!#REF!-(BL71*0.64))/0.8)/1000)-Crescimento!#REF!</f>
        <v>#REF!</v>
      </c>
      <c r="BL72" s="22" t="e">
        <f>-53.07 + (304.89 * (BK72)) + (90.79 *(Crescimento!#REF!-Crescimento!#REF!)) - (3.13 * (Crescimento!#REF!-Crescimento!#REF!)^2)</f>
        <v>#REF!</v>
      </c>
      <c r="BM72" s="23"/>
      <c r="BN72" s="21" t="e">
        <f>((BO71+(Crescimento!#REF!-(BO71*0.64))/0.8)/1000)-Crescimento!#REF!</f>
        <v>#REF!</v>
      </c>
      <c r="BO72" s="22" t="e">
        <f>-53.07 + (304.89 * (BN72)) + (90.79 *(Crescimento!#REF!-Crescimento!#REF!)) - (3.13 * (Crescimento!#REF!-Crescimento!#REF!)^2)</f>
        <v>#REF!</v>
      </c>
      <c r="BP72" s="23"/>
      <c r="BQ72" s="21" t="e">
        <f>((BR71+(Crescimento!#REF!-(BR71*0.64))/0.8)/1000)-Crescimento!#REF!</f>
        <v>#REF!</v>
      </c>
      <c r="BR72" s="22" t="e">
        <f>-53.07 + (304.89 * (BQ72)) + (90.79 *(Crescimento!#REF!-Crescimento!#REF!)) - (3.13 * (Crescimento!#REF!-Crescimento!#REF!)^2)</f>
        <v>#REF!</v>
      </c>
      <c r="BS72" s="23"/>
      <c r="BT72" s="21" t="e">
        <f>((BU71+(Crescimento!#REF!-(BU71*0.64))/0.8)/1000)-Crescimento!#REF!</f>
        <v>#REF!</v>
      </c>
      <c r="BU72" s="22" t="e">
        <f>-53.07 + (304.89 * (BT72)) + (90.79 *(Crescimento!#REF!-Crescimento!#REF!)) - (3.13 * (Crescimento!#REF!-Crescimento!#REF!)^2)</f>
        <v>#REF!</v>
      </c>
      <c r="BV72" s="23"/>
      <c r="BW72" s="21" t="e">
        <f>((BX71+(Crescimento!#REF!-(BX71*0.64))/0.8)/1000)-Crescimento!#REF!</f>
        <v>#REF!</v>
      </c>
      <c r="BX72" s="22" t="e">
        <f>-53.07 + (304.89 * (BW72)) + (90.79 *(Crescimento!#REF!-Crescimento!#REF!)) - (3.13 * (Crescimento!#REF!-Crescimento!#REF!)^2)</f>
        <v>#REF!</v>
      </c>
      <c r="BY72" s="23"/>
      <c r="BZ72" s="21" t="e">
        <f>((CA71+(Crescimento!#REF!-(CA71*0.64))/0.8)/1000)-Crescimento!#REF!</f>
        <v>#REF!</v>
      </c>
      <c r="CA72" s="22" t="e">
        <f>-53.07 + (304.89 * (BZ72)) + (90.79 *(Crescimento!#REF!-Crescimento!#REF!)) - (3.13 * (Crescimento!#REF!-Crescimento!#REF!)^2)</f>
        <v>#REF!</v>
      </c>
      <c r="CB72" s="23"/>
      <c r="CC72" s="21" t="e">
        <f>((CD71+(Crescimento!#REF!-(CD71*0.64))/0.8)/1000)-Crescimento!#REF!</f>
        <v>#REF!</v>
      </c>
      <c r="CD72" s="22" t="e">
        <f>-53.07 + (304.89 * (CC72)) + (90.79 *(Crescimento!#REF!-Crescimento!#REF!)) - (3.13 * (Crescimento!#REF!-Crescimento!#REF!)^2)</f>
        <v>#REF!</v>
      </c>
      <c r="CE72" s="23"/>
      <c r="CF72" s="21" t="e">
        <f>((CG71+(Crescimento!#REF!-(CG71*0.64))/0.8)/1000)-Crescimento!#REF!</f>
        <v>#REF!</v>
      </c>
      <c r="CG72" s="22" t="e">
        <f>-53.07 + (304.89 * (CF72)) + (90.79 *(Crescimento!#REF!-Crescimento!#REF!)) - (3.13 * (Crescimento!#REF!-Crescimento!#REF!)^2)</f>
        <v>#REF!</v>
      </c>
      <c r="CH72" s="23"/>
      <c r="CI72" s="21" t="e">
        <f>((CJ71+(Crescimento!#REF!-(CJ71*0.64))/0.8)/1000)-Crescimento!#REF!</f>
        <v>#REF!</v>
      </c>
      <c r="CJ72" s="22" t="e">
        <f>-53.07 + (304.89 * (CI72)) + (90.79 *(Crescimento!#REF!-Crescimento!#REF!)) - (3.13 * (Crescimento!#REF!-Crescimento!#REF!)^2)</f>
        <v>#REF!</v>
      </c>
      <c r="CK72" s="23"/>
      <c r="CL72" s="21" t="e">
        <f>((CM71+(Crescimento!#REF!-(CM71*0.64))/0.8)/1000)-Crescimento!#REF!</f>
        <v>#REF!</v>
      </c>
      <c r="CM72" s="22" t="e">
        <f>-53.07 + (304.89 * (CL72)) + (90.79 *(Crescimento!#REF!-Crescimento!#REF!)) - (3.13 * (Crescimento!#REF!-Crescimento!#REF!)^2)</f>
        <v>#REF!</v>
      </c>
      <c r="CN72" s="23"/>
      <c r="CO72" s="21" t="e">
        <f>((CP71+(Crescimento!#REF!-(CP71*0.64))/0.8)/1000)-Crescimento!#REF!</f>
        <v>#REF!</v>
      </c>
      <c r="CP72" s="22" t="e">
        <f>-53.07 + (304.89 * (CO72)) + (90.79 *(Crescimento!#REF!-Crescimento!#REF!)) - (3.13 * (Crescimento!#REF!-Crescimento!#REF!)^2)</f>
        <v>#REF!</v>
      </c>
      <c r="CQ72" s="23"/>
      <c r="CR72" s="21" t="e">
        <f>((CS71+(Crescimento!#REF!-(CS71*0.64))/0.8)/1000)-Crescimento!#REF!</f>
        <v>#REF!</v>
      </c>
      <c r="CS72" s="22" t="e">
        <f>-53.07 + (304.89 * (CR72)) + (90.79 *(Crescimento!#REF!-Crescimento!#REF!)) - (3.13 * (Crescimento!#REF!-Crescimento!#REF!)^2)</f>
        <v>#REF!</v>
      </c>
      <c r="CX72" s="16" t="e">
        <f>((CY71+(Crescimento!#REF!-(CY71*0.64))/0.8)/1000)-Crescimento!#REF!</f>
        <v>#REF!</v>
      </c>
      <c r="CY72" s="17" t="e">
        <f>-53.07 + (304.89 * (CX72)) + (90.79 *(Crescimento!#REF!-Crescimento!#REF!)) - (3.13 * (Crescimento!#REF!-Crescimento!#REF!)^2)</f>
        <v>#REF!</v>
      </c>
      <c r="DA72" s="16" t="e">
        <f>((DB71+(Crescimento!#REF!-(DB71*0.64))/0.8)/1000)-Crescimento!#REF!</f>
        <v>#REF!</v>
      </c>
      <c r="DB72" s="17" t="e">
        <f>-53.07 + (304.89 * (DA72)) + (90.79 *(Crescimento!#REF!-Crescimento!#REF!)) - (3.13 * (Crescimento!#REF!-Crescimento!#REF!)^2)</f>
        <v>#REF!</v>
      </c>
      <c r="DD72" s="16" t="e">
        <f>(DE71+(Crescimento!#REF!-(DE71*0.64))/0.8)/1000</f>
        <v>#REF!</v>
      </c>
      <c r="DE72" s="17" t="e">
        <f>-53.07 + (304.89 * (DD72)) + (90.79 *Crescimento!#REF!) - (3.13 * Crescimento!#REF!*Crescimento!#REF!)</f>
        <v>#REF!</v>
      </c>
      <c r="DG72" s="16" t="e">
        <f>((DH71+(Crescimento!#REF!-(DH71*0.64))/0.8)/1000)-Crescimento!#REF!</f>
        <v>#REF!</v>
      </c>
      <c r="DH72" s="17" t="e">
        <f>-53.07 + (304.89 * (DG72)) + (90.79 *(Crescimento!#REF!-Crescimento!#REF!)) - (3.13 * (Crescimento!#REF!-Crescimento!#REF!)^2)</f>
        <v>#REF!</v>
      </c>
      <c r="DJ72" s="16" t="e">
        <f>((DK71+(Crescimento!#REF!-(DK71*0.64))/0.8)/1000)-Crescimento!#REF!</f>
        <v>#REF!</v>
      </c>
      <c r="DK72" s="17" t="e">
        <f>-53.07 + (304.89 * (DJ72)) + (90.79 *(Crescimento!#REF!-Crescimento!#REF!)) - (3.13 * (Crescimento!#REF!-Crescimento!#REF!)^2)</f>
        <v>#REF!</v>
      </c>
      <c r="DM72" s="16" t="e">
        <f>((DN71+(Crescimento!#REF!-(DN71*0.64))/0.8)/1000)-Crescimento!#REF!</f>
        <v>#REF!</v>
      </c>
      <c r="DN72" s="17" t="e">
        <f>-53.07 + (304.89 * (DM72)) + (90.79 *(Crescimento!#REF!-Crescimento!#REF!)) - (3.13 * (Crescimento!#REF!-Crescimento!#REF!)^2)</f>
        <v>#REF!</v>
      </c>
      <c r="DP72" s="16" t="e">
        <f>(DQ71+(Crescimento!#REF!-(DQ71*0.64))/0.8)/1000</f>
        <v>#REF!</v>
      </c>
      <c r="DQ72" s="17" t="e">
        <f>-53.07 + (304.89 * (DP72)) + (90.79 *(Crescimento!#REF!-Crescimento!#REF!)) - (3.13 * (Crescimento!#REF!-Crescimento!#REF!)^2)</f>
        <v>#REF!</v>
      </c>
      <c r="DS72" s="16" t="e">
        <f>((DT71+(Crescimento!#REF!-(DT71*0.64))/0.8)/1000)-Crescimento!#REF!</f>
        <v>#REF!</v>
      </c>
      <c r="DT72" s="17" t="e">
        <f>-53.07 + (304.89 * (DS72)) + (90.79 *(Crescimento!#REF!-Crescimento!#REF!)) - (3.13 * (Crescimento!#REF!-Crescimento!#REF!)^2)</f>
        <v>#REF!</v>
      </c>
      <c r="DV72" s="16" t="e">
        <f>((DW71+(Crescimento!#REF!-(DW71*0.64))/0.8)/1000)-Crescimento!#REF!</f>
        <v>#REF!</v>
      </c>
      <c r="DW72" s="17" t="e">
        <f>-53.07 + (304.89 * (DV72)) + (90.79 *(Crescimento!#REF!-Crescimento!#REF!)) - (3.13 * (Crescimento!#REF!-Crescimento!#REF!)^2)</f>
        <v>#REF!</v>
      </c>
      <c r="DY72" s="16" t="e">
        <f>((DZ71+(Crescimento!#REF!-(DZ71*0.64))/0.8)/1000)-Crescimento!#REF!</f>
        <v>#REF!</v>
      </c>
      <c r="DZ72" s="17" t="e">
        <f>-53.07 + (304.89 * (DY72)) + (90.79 *(Crescimento!#REF!-Crescimento!#REF!)) - (3.13 * (Crescimento!#REF!-Crescimento!#REF!)^2)</f>
        <v>#REF!</v>
      </c>
      <c r="EB72" s="16" t="e">
        <f>((EC71+(Crescimento!#REF!-(EC71*0.64))/0.8)/1000)-Crescimento!#REF!</f>
        <v>#REF!</v>
      </c>
      <c r="EC72" s="17" t="e">
        <f>-53.07 + (304.89 * (EB72)) + (90.79 *(Crescimento!#REF!-Crescimento!#REF!)) - (3.13 * (Crescimento!#REF!-Crescimento!#REF!)^2)</f>
        <v>#REF!</v>
      </c>
      <c r="EE72" s="16" t="e">
        <f>((EF71+(Crescimento!#REF!-(EF71*0.64))/0.8)/1000)-Crescimento!#REF!</f>
        <v>#REF!</v>
      </c>
      <c r="EF72" s="17" t="e">
        <f>-53.07 + (304.89 * (EE72)) + (90.79 *(Crescimento!#REF!-Crescimento!#REF!)) - (3.13 * (Crescimento!#REF!-Crescimento!#REF!)^2)</f>
        <v>#REF!</v>
      </c>
      <c r="EH72" s="16" t="e">
        <f>((EI71+(Crescimento!#REF!-(EI71*0.64))/0.8)/1000)-Crescimento!#REF!</f>
        <v>#REF!</v>
      </c>
      <c r="EI72" s="17" t="e">
        <f>-53.07 + (304.89 * (EH72)) + (90.79 *(Crescimento!#REF!-Crescimento!#REF!)) - (3.13 * (Crescimento!#REF!-Crescimento!#REF!)^2)</f>
        <v>#REF!</v>
      </c>
      <c r="EK72" s="16" t="e">
        <f>((EL71+(Crescimento!#REF!-(EL71*0.64))/0.8)/1000)-Crescimento!#REF!</f>
        <v>#REF!</v>
      </c>
      <c r="EL72" s="17" t="e">
        <f>-53.07 + (304.89 * (EK72)) + (90.79 *(Crescimento!#REF!-Crescimento!#REF!)) - (3.13 * (Crescimento!#REF!-Crescimento!#REF!)^2)</f>
        <v>#REF!</v>
      </c>
      <c r="EN72" s="16" t="e">
        <f>((EO71+(Crescimento!#REF!-(EO71*0.64))/0.8)/1000)-Crescimento!#REF!</f>
        <v>#REF!</v>
      </c>
      <c r="EO72" s="17" t="e">
        <f>-53.07 + (304.89 * (EN72)) + (90.79 *(Crescimento!#REF!-Crescimento!#REF!)) - (3.13 * (Crescimento!#REF!-Crescimento!#REF!)^2)</f>
        <v>#REF!</v>
      </c>
      <c r="EQ72" s="16" t="e">
        <f>((ER71+(Crescimento!#REF!-(ER71*0.64))/0.8)/1000)-Crescimento!#REF!</f>
        <v>#REF!</v>
      </c>
      <c r="ER72" s="17" t="e">
        <f>-53.07 + (304.89 * (EQ72)) + (90.79 *(Crescimento!#REF!-Crescimento!#REF!)) - (3.13 * (Crescimento!#REF!-Crescimento!#REF!)^2)</f>
        <v>#REF!</v>
      </c>
      <c r="ET72" s="16" t="e">
        <f>((EU71+(Crescimento!#REF!-(EU71*0.64))/0.8)/1000)-Crescimento!#REF!</f>
        <v>#REF!</v>
      </c>
      <c r="EU72" s="17" t="e">
        <f>-53.07 + (304.89 * (ET72)) + (90.79 *(Crescimento!#REF!-Crescimento!#REF!)) - (3.13 * (Crescimento!#REF!-Crescimento!#REF!)^2)</f>
        <v>#REF!</v>
      </c>
      <c r="EW72" s="16" t="e">
        <f>((EX71+('Vacas e Bezerros'!#REF!-(EX71*0.64))/0.8)/1000)-'Vacas e Bezerros'!#REF!</f>
        <v>#REF!</v>
      </c>
      <c r="EX72" s="17" t="e">
        <f>-53.07 + (304.89 * (EW72)) + (90.79 *('Vacas e Bezerros'!#REF!-'Vacas e Bezerros'!#REF!)) - (3.13 * ('Vacas e Bezerros'!#REF!-'Vacas e Bezerros'!#REF!)^2)</f>
        <v>#REF!</v>
      </c>
      <c r="EZ72" s="16" t="e">
        <f>((FA71+('Vacas e Bezerros'!#REF!-(FA71*0.64))/0.8)/1000)-'Vacas e Bezerros'!#REF!</f>
        <v>#REF!</v>
      </c>
      <c r="FA72" s="17" t="e">
        <f>-53.07 + (304.89 * (EZ72)) + (90.79 *('Vacas e Bezerros'!#REF!-'Vacas e Bezerros'!#REF!)) - (3.13 * ('Vacas e Bezerros'!#REF!-'Vacas e Bezerros'!#REF!)^2)</f>
        <v>#REF!</v>
      </c>
      <c r="FC72" s="16" t="e">
        <f>((FD71+('Vacas e Bezerros'!#REF!-(FD71*0.64))/0.8)/1000)-'Vacas e Bezerros'!#REF!</f>
        <v>#REF!</v>
      </c>
      <c r="FD72" s="17" t="e">
        <f>-53.07 + (304.89 * (FC72)) + (90.79 *('Vacas e Bezerros'!#REF!-'Vacas e Bezerros'!#REF!)) - (3.13 * ('Vacas e Bezerros'!#REF!-'Vacas e Bezerros'!#REF!)^2)</f>
        <v>#REF!</v>
      </c>
      <c r="FF72" s="16" t="e">
        <f>((FG71+('Vacas e Bezerros'!#REF!-(FG71*0.64))/0.8)/1000)-'Vacas e Bezerros'!#REF!</f>
        <v>#REF!</v>
      </c>
      <c r="FG72" s="17" t="e">
        <f>-53.07 + (304.89 * (FF72)) + (90.79 *('Vacas e Bezerros'!#REF!-'Vacas e Bezerros'!#REF!)) - (3.13 * ('Vacas e Bezerros'!#REF!-'Vacas e Bezerros'!#REF!)^2)</f>
        <v>#REF!</v>
      </c>
      <c r="FI72" s="16" t="e">
        <f>((FJ71+('Vacas e Bezerros'!#REF!-(FJ71*0.64))/0.8)/1000)-'Vacas e Bezerros'!#REF!</f>
        <v>#REF!</v>
      </c>
      <c r="FJ72" s="17" t="e">
        <f>-53.07 + (304.89 * (FI72)) + (90.79 *('Vacas e Bezerros'!#REF!-'Vacas e Bezerros'!#REF!)) - (3.13 * ('Vacas e Bezerros'!#REF!-'Vacas e Bezerros'!#REF!)^2)</f>
        <v>#REF!</v>
      </c>
      <c r="FL72" s="16" t="e">
        <f>((FM71+('Vacas e Bezerros'!#REF!-(FM71*0.64))/0.8)/1000)-'Vacas e Bezerros'!#REF!</f>
        <v>#REF!</v>
      </c>
      <c r="FM72" s="17" t="e">
        <f>-53.07 + (304.89 * (FL72)) + (90.79 *('Vacas e Bezerros'!#REF!-'Vacas e Bezerros'!#REF!)) - (3.13 * ('Vacas e Bezerros'!#REF!-'Vacas e Bezerros'!#REF!)^2)</f>
        <v>#REF!</v>
      </c>
      <c r="FO72" s="16" t="e">
        <f>((FP71+('Vacas e Bezerros'!#REF!-(FP71*0.64))/0.8)/1000)-'Vacas e Bezerros'!#REF!</f>
        <v>#REF!</v>
      </c>
      <c r="FP72" s="17" t="e">
        <f>-53.07 + (304.89 * (FO72)) + (90.79 *('Vacas e Bezerros'!#REF!-'Vacas e Bezerros'!#REF!)) - (3.13 * ('Vacas e Bezerros'!#REF!-'Vacas e Bezerros'!#REF!)^2)</f>
        <v>#REF!</v>
      </c>
      <c r="FR72" s="16" t="e">
        <f>((FS71+('Vacas e Bezerros'!#REF!-(FS71*0.64))/0.8)/1000)-'Vacas e Bezerros'!#REF!</f>
        <v>#REF!</v>
      </c>
      <c r="FS72" s="17" t="e">
        <f>-53.07 + (304.89 * (FR72)) + (90.79 *('Vacas e Bezerros'!#REF!-'Vacas e Bezerros'!#REF!)) - (3.13 * ('Vacas e Bezerros'!#REF!-'Vacas e Bezerros'!#REF!)^2)</f>
        <v>#REF!</v>
      </c>
      <c r="FU72" s="16" t="e">
        <f>((FV71+('Vacas e Bezerros'!#REF!-(FV71*0.64))/0.8)/1000)-'Vacas e Bezerros'!#REF!</f>
        <v>#REF!</v>
      </c>
      <c r="FV72" s="17" t="e">
        <f>-53.07 + (304.89 * (FU72)) + (90.79 *('Vacas e Bezerros'!#REF!-'Vacas e Bezerros'!#REF!)) - (3.13 * ('Vacas e Bezerros'!#REF!-'Vacas e Bezerros'!#REF!)^2)</f>
        <v>#REF!</v>
      </c>
      <c r="FX72" s="16" t="e">
        <f>((FY71+('Vacas e Bezerros'!#REF!-(FY71*0.64))/0.8)/1000)-'Vacas e Bezerros'!#REF!</f>
        <v>#REF!</v>
      </c>
      <c r="FY72" s="17" t="e">
        <f>-53.07 + (304.89 * (FX72)) + (90.79 *('Vacas e Bezerros'!#REF!-'Vacas e Bezerros'!#REF!)) - (3.13 * ('Vacas e Bezerros'!#REF!-'Vacas e Bezerros'!#REF!)^2)</f>
        <v>#REF!</v>
      </c>
      <c r="GA72" s="16" t="e">
        <f>((GB71+('Vacas e Bezerros'!#REF!-(GB71*0.64))/0.8)/1000)-'Vacas e Bezerros'!#REF!</f>
        <v>#REF!</v>
      </c>
      <c r="GB72" s="17" t="e">
        <f>-53.07 + (304.89 * (GA72)) + (90.79 *('Vacas e Bezerros'!#REF!-'Vacas e Bezerros'!#REF!)) - (3.13 * ('Vacas e Bezerros'!#REF!-'Vacas e Bezerros'!#REF!)^2)</f>
        <v>#REF!</v>
      </c>
      <c r="GD72" s="16" t="e">
        <f>((GE71+('Vacas e Bezerros'!#REF!-(GE71*0.64))/0.8)/1000)-'Vacas e Bezerros'!#REF!</f>
        <v>#REF!</v>
      </c>
      <c r="GE72" s="17" t="e">
        <f>-53.07 + (304.89 * (GD72)) + (90.79 *('Vacas e Bezerros'!#REF!-'Vacas e Bezerros'!#REF!)) - (3.13 * ('Vacas e Bezerros'!#REF!-'Vacas e Bezerros'!#REF!)^2)</f>
        <v>#REF!</v>
      </c>
      <c r="GG72" s="16" t="e">
        <f>((GH71+('Vacas e Bezerros'!#REF!-(GH71*0.64))/0.8)/1000)-'Vacas e Bezerros'!#REF!</f>
        <v>#REF!</v>
      </c>
      <c r="GH72" s="17" t="e">
        <f>-53.07 + (304.89 * (GG72)) + (90.79 *('Vacas e Bezerros'!#REF!-'Vacas e Bezerros'!#REF!)) - (3.13 * ('Vacas e Bezerros'!#REF!-'Vacas e Bezerros'!#REF!)^2)</f>
        <v>#REF!</v>
      </c>
      <c r="GJ72" s="16" t="e">
        <f>((GK71+('Vacas e Bezerros'!#REF!-(GK71*0.64))/0.8)/1000)-'Vacas e Bezerros'!#REF!</f>
        <v>#REF!</v>
      </c>
      <c r="GK72" s="17" t="e">
        <f>-53.07 + (304.89 * (GJ72)) + (90.79 *('Vacas e Bezerros'!#REF!-'Vacas e Bezerros'!#REF!)) - (3.13 * ('Vacas e Bezerros'!#REF!-'Vacas e Bezerros'!#REF!)^2)</f>
        <v>#REF!</v>
      </c>
      <c r="GM72" s="16" t="e">
        <f>((GN71+('Vacas e Bezerros'!#REF!-(GN71*0.64))/0.8)/1000)-'Vacas e Bezerros'!#REF!</f>
        <v>#REF!</v>
      </c>
      <c r="GN72" s="17" t="e">
        <f>-53.07 + (304.89 * (GM72)) + (90.79 *('Vacas e Bezerros'!#REF!-'Vacas e Bezerros'!#REF!)) - (3.13 * ('Vacas e Bezerros'!#REF!-'Vacas e Bezerros'!#REF!)^2)</f>
        <v>#REF!</v>
      </c>
    </row>
    <row r="73" spans="3:196" x14ac:dyDescent="0.25">
      <c r="C73" s="16">
        <f>(D72+('Vacas e Bezerros'!$AA$28-(D72*0.64))/0.8)/1000</f>
        <v>0.35719668016155687</v>
      </c>
      <c r="D73" s="17">
        <f>-53.07 + (304.89 * (C73-'Vacas e Bezerros'!$C$206)) + (90.79 *('Vacas e Bezerros'!$AA$22)) - (3.13 *('Vacas e Bezerros'!$AA$22)^2)</f>
        <v>165.01876457544017</v>
      </c>
      <c r="F73" s="16" t="e">
        <f>(G72+(Crescimento!#REF!-(G72*0.64))/0.8)/1000</f>
        <v>#REF!</v>
      </c>
      <c r="G73" s="17" t="e">
        <f>-53.07 + (304.89 * (F73)) + (90.79 *Crescimento!#REF!) - (3.13 * Crescimento!#REF!*Crescimento!#REF!)</f>
        <v>#REF!</v>
      </c>
      <c r="H73" s="1"/>
      <c r="I73" s="16" t="e">
        <f>(J72+(Crescimento!#REF!-(J72*0.64))/0.8)/1000</f>
        <v>#REF!</v>
      </c>
      <c r="J73" s="17" t="e">
        <f>-53.07 + (304.89 * (I73)) + (90.79 *Crescimento!#REF!) - (3.13 * Crescimento!#REF!*Crescimento!#REF!)</f>
        <v>#REF!</v>
      </c>
      <c r="L73" s="16" t="e">
        <f>(M72+(Crescimento!#REF!-(M72*0.64))/0.8)/1000</f>
        <v>#REF!</v>
      </c>
      <c r="M73" s="17" t="e">
        <f>-53.07 + (304.89 * (L73)) + (90.79 *Crescimento!#REF!) - (3.13 * Crescimento!#REF!*Crescimento!#REF!)</f>
        <v>#REF!</v>
      </c>
      <c r="O73" s="16" t="e">
        <f>(P72+(Crescimento!#REF!-(P72*0.64))/0.8)/1000</f>
        <v>#REF!</v>
      </c>
      <c r="P73" s="17" t="e">
        <f>-53.07 + (304.89 * (O73)) + (90.79 *Crescimento!#REF!) - (3.13 * Crescimento!#REF!*Crescimento!#REF!)</f>
        <v>#REF!</v>
      </c>
      <c r="R73" s="16" t="e">
        <f>(S72+(Crescimento!#REF!-(S72*0.64))/0.8)/1000</f>
        <v>#REF!</v>
      </c>
      <c r="S73" s="17" t="e">
        <f>-53.07 + (304.89 * (R73)) + (90.79 *Crescimento!#REF!) - (3.13 * Crescimento!#REF!*Crescimento!#REF!)</f>
        <v>#REF!</v>
      </c>
      <c r="U73" s="16" t="e">
        <f>(V72+(Crescimento!#REF!-(V72*0.64))/0.8)/1000</f>
        <v>#REF!</v>
      </c>
      <c r="V73" s="17" t="e">
        <f>-53.07 + (304.89 * (U73)) + (90.79 *Crescimento!#REF!) - (3.13 * Crescimento!#REF!*Crescimento!#REF!)</f>
        <v>#REF!</v>
      </c>
      <c r="X73" s="16" t="e">
        <f>(Y72+(Crescimento!#REF!-(Y72*0.64))/0.8)/1000</f>
        <v>#REF!</v>
      </c>
      <c r="Y73" s="17" t="e">
        <f>-53.07 + (304.89 * (X73)) + (90.79 *Crescimento!#REF!) - (3.13 * Crescimento!#REF!*Crescimento!#REF!)</f>
        <v>#REF!</v>
      </c>
      <c r="Z73" s="6"/>
      <c r="AA73" s="16" t="e">
        <f>(AB72+(Crescimento!#REF!-(AB72*0.64))/0.8)/1000</f>
        <v>#REF!</v>
      </c>
      <c r="AB73" s="17" t="e">
        <f>-53.07 + (304.89 * (AA73)) + (90.79 *Crescimento!#REF!) - (3.13 * Crescimento!#REF!*Crescimento!#REF!)</f>
        <v>#REF!</v>
      </c>
      <c r="AC73" s="6"/>
      <c r="AD73" s="16" t="e">
        <f>(AE72+(Crescimento!#REF!-(AE72*0.64))/0.8)/1000</f>
        <v>#REF!</v>
      </c>
      <c r="AE73" s="17" t="e">
        <f>-53.07 + (304.89 * (AD73)) + (90.79 *Crescimento!#REF!) - (3.13 * Crescimento!#REF!*Crescimento!#REF!)</f>
        <v>#REF!</v>
      </c>
      <c r="AF73" s="17"/>
      <c r="AG73" s="16" t="e">
        <f>(AH72+(Crescimento!#REF!-(AH72*0.64))/0.8)/1000</f>
        <v>#REF!</v>
      </c>
      <c r="AH73" s="17" t="e">
        <f>-53.07 + (304.89 * (AG73)) + (90.79 *Crescimento!#REF!) - (3.13 * Crescimento!#REF!*Crescimento!#REF!)</f>
        <v>#REF!</v>
      </c>
      <c r="AJ73" s="16" t="e">
        <f>(AK72+(Crescimento!#REF!-(AK72*0.64))/0.8)/1000</f>
        <v>#REF!</v>
      </c>
      <c r="AK73" s="17" t="e">
        <f>-53.07 + (304.89 * (AJ73)) + (90.79 *Crescimento!#REF!) - (3.13 * Crescimento!#REF!*Crescimento!#REF!)</f>
        <v>#REF!</v>
      </c>
      <c r="AM73" s="16" t="e">
        <f>(AN72+(Crescimento!#REF!-(AN72*0.64))/0.8)/1000</f>
        <v>#REF!</v>
      </c>
      <c r="AN73" s="17" t="e">
        <f>-53.07 + (304.89 * (AM73)) + (90.79 *Crescimento!#REF!) - (3.13 * Crescimento!#REF!*Crescimento!#REF!)</f>
        <v>#REF!</v>
      </c>
      <c r="AP73" s="16" t="e">
        <f>(AQ72+(Crescimento!#REF!-(AQ72*0.64))/0.8)/1000</f>
        <v>#REF!</v>
      </c>
      <c r="AQ73" s="17" t="e">
        <f>-53.07 + (304.89 * (AP73)) + (90.79 *Crescimento!#REF!) - (3.13 * Crescimento!#REF!*Crescimento!#REF!)</f>
        <v>#REF!</v>
      </c>
      <c r="AS73" s="16" t="e">
        <f>(AT72+(Crescimento!#REF!-(AT72*0.64))/0.8)/1000</f>
        <v>#REF!</v>
      </c>
      <c r="AT73" s="17" t="e">
        <f>-53.07 + (304.89 * (AS73)) + (90.79 *Crescimento!#REF!) - (3.13 * Crescimento!#REF!*Crescimento!#REF!)</f>
        <v>#REF!</v>
      </c>
      <c r="AV73" s="16" t="e">
        <f>(AW72+(Crescimento!#REF!-(AW72*0.64))/0.8)/1000</f>
        <v>#REF!</v>
      </c>
      <c r="AW73" s="17" t="e">
        <f>-53.07 + (304.89 * (AV73)) + (90.79 *Crescimento!#REF!) - (3.13 * Crescimento!#REF!*Crescimento!#REF!)</f>
        <v>#REF!</v>
      </c>
      <c r="AY73" s="21" t="e">
        <f>((AZ72+(Crescimento!#REF!-(AZ72*0.64))/0.8)/1000)-Crescimento!#REF!</f>
        <v>#REF!</v>
      </c>
      <c r="AZ73" s="22" t="e">
        <f>-53.07 + (304.89 * (AY73)) + (90.79 *(Crescimento!#REF!-Crescimento!#REF!)) - (3.13 * (Crescimento!#REF!-Crescimento!#REF!)^2)</f>
        <v>#REF!</v>
      </c>
      <c r="BA73" s="23"/>
      <c r="BB73" s="21" t="e">
        <f>((BC72+(Crescimento!#REF!-(BC72*0.64))/0.8)/1000)-Crescimento!#REF!</f>
        <v>#REF!</v>
      </c>
      <c r="BC73" s="22" t="e">
        <f>-53.07 + (304.89 * (BB73)) + (90.79 *(Crescimento!#REF!-Crescimento!#REF!)) - (3.13 * (Crescimento!#REF!-Crescimento!#REF!)^2)</f>
        <v>#REF!</v>
      </c>
      <c r="BD73" s="23"/>
      <c r="BE73" s="21" t="e">
        <f>((BF72+(Crescimento!#REF!-(BF72*0.64))/0.8)/1000)-Crescimento!#REF!</f>
        <v>#REF!</v>
      </c>
      <c r="BF73" s="22" t="e">
        <f>-53.07 + (304.89 * (BE73)) + (90.79 *(Crescimento!#REF!-Crescimento!#REF!)) - (3.13 * (Crescimento!#REF!-Crescimento!#REF!)^2)</f>
        <v>#REF!</v>
      </c>
      <c r="BG73" s="23"/>
      <c r="BH73" s="21" t="e">
        <f>((BI72+(Crescimento!#REF!-(BI72*0.64))/0.8)/1000)-Crescimento!#REF!</f>
        <v>#REF!</v>
      </c>
      <c r="BI73" s="22" t="e">
        <f>-53.07 + (304.89 * (BH73)) + (90.79 *(Crescimento!#REF!-Crescimento!#REF!)) - (3.13 * (Crescimento!#REF!-Crescimento!#REF!)^2)</f>
        <v>#REF!</v>
      </c>
      <c r="BJ73" s="23"/>
      <c r="BK73" s="21" t="e">
        <f>((BL72+(Crescimento!#REF!-(BL72*0.64))/0.8)/1000)-Crescimento!#REF!</f>
        <v>#REF!</v>
      </c>
      <c r="BL73" s="22" t="e">
        <f>-53.07 + (304.89 * (BK73)) + (90.79 *(Crescimento!#REF!-Crescimento!#REF!)) - (3.13 * (Crescimento!#REF!-Crescimento!#REF!)^2)</f>
        <v>#REF!</v>
      </c>
      <c r="BM73" s="23"/>
      <c r="BN73" s="21" t="e">
        <f>((BO72+(Crescimento!#REF!-(BO72*0.64))/0.8)/1000)-Crescimento!#REF!</f>
        <v>#REF!</v>
      </c>
      <c r="BO73" s="22" t="e">
        <f>-53.07 + (304.89 * (BN73)) + (90.79 *(Crescimento!#REF!-Crescimento!#REF!)) - (3.13 * (Crescimento!#REF!-Crescimento!#REF!)^2)</f>
        <v>#REF!</v>
      </c>
      <c r="BP73" s="23"/>
      <c r="BQ73" s="21" t="e">
        <f>((BR72+(Crescimento!#REF!-(BR72*0.64))/0.8)/1000)-Crescimento!#REF!</f>
        <v>#REF!</v>
      </c>
      <c r="BR73" s="22" t="e">
        <f>-53.07 + (304.89 * (BQ73)) + (90.79 *(Crescimento!#REF!-Crescimento!#REF!)) - (3.13 * (Crescimento!#REF!-Crescimento!#REF!)^2)</f>
        <v>#REF!</v>
      </c>
      <c r="BS73" s="23"/>
      <c r="BT73" s="21" t="e">
        <f>((BU72+(Crescimento!#REF!-(BU72*0.64))/0.8)/1000)-Crescimento!#REF!</f>
        <v>#REF!</v>
      </c>
      <c r="BU73" s="22" t="e">
        <f>-53.07 + (304.89 * (BT73)) + (90.79 *(Crescimento!#REF!-Crescimento!#REF!)) - (3.13 * (Crescimento!#REF!-Crescimento!#REF!)^2)</f>
        <v>#REF!</v>
      </c>
      <c r="BV73" s="23"/>
      <c r="BW73" s="21" t="e">
        <f>((BX72+(Crescimento!#REF!-(BX72*0.64))/0.8)/1000)-Crescimento!#REF!</f>
        <v>#REF!</v>
      </c>
      <c r="BX73" s="22" t="e">
        <f>-53.07 + (304.89 * (BW73)) + (90.79 *(Crescimento!#REF!-Crescimento!#REF!)) - (3.13 * (Crescimento!#REF!-Crescimento!#REF!)^2)</f>
        <v>#REF!</v>
      </c>
      <c r="BY73" s="23"/>
      <c r="BZ73" s="21" t="e">
        <f>((CA72+(Crescimento!#REF!-(CA72*0.64))/0.8)/1000)-Crescimento!#REF!</f>
        <v>#REF!</v>
      </c>
      <c r="CA73" s="22" t="e">
        <f>-53.07 + (304.89 * (BZ73)) + (90.79 *(Crescimento!#REF!-Crescimento!#REF!)) - (3.13 * (Crescimento!#REF!-Crescimento!#REF!)^2)</f>
        <v>#REF!</v>
      </c>
      <c r="CB73" s="23"/>
      <c r="CC73" s="21" t="e">
        <f>((CD72+(Crescimento!#REF!-(CD72*0.64))/0.8)/1000)-Crescimento!#REF!</f>
        <v>#REF!</v>
      </c>
      <c r="CD73" s="22" t="e">
        <f>-53.07 + (304.89 * (CC73)) + (90.79 *(Crescimento!#REF!-Crescimento!#REF!)) - (3.13 * (Crescimento!#REF!-Crescimento!#REF!)^2)</f>
        <v>#REF!</v>
      </c>
      <c r="CE73" s="23"/>
      <c r="CF73" s="21" t="e">
        <f>((CG72+(Crescimento!#REF!-(CG72*0.64))/0.8)/1000)-Crescimento!#REF!</f>
        <v>#REF!</v>
      </c>
      <c r="CG73" s="22" t="e">
        <f>-53.07 + (304.89 * (CF73)) + (90.79 *(Crescimento!#REF!-Crescimento!#REF!)) - (3.13 * (Crescimento!#REF!-Crescimento!#REF!)^2)</f>
        <v>#REF!</v>
      </c>
      <c r="CH73" s="23"/>
      <c r="CI73" s="21" t="e">
        <f>((CJ72+(Crescimento!#REF!-(CJ72*0.64))/0.8)/1000)-Crescimento!#REF!</f>
        <v>#REF!</v>
      </c>
      <c r="CJ73" s="22" t="e">
        <f>-53.07 + (304.89 * (CI73)) + (90.79 *(Crescimento!#REF!-Crescimento!#REF!)) - (3.13 * (Crescimento!#REF!-Crescimento!#REF!)^2)</f>
        <v>#REF!</v>
      </c>
      <c r="CK73" s="23"/>
      <c r="CL73" s="21" t="e">
        <f>((CM72+(Crescimento!#REF!-(CM72*0.64))/0.8)/1000)-Crescimento!#REF!</f>
        <v>#REF!</v>
      </c>
      <c r="CM73" s="22" t="e">
        <f>-53.07 + (304.89 * (CL73)) + (90.79 *(Crescimento!#REF!-Crescimento!#REF!)) - (3.13 * (Crescimento!#REF!-Crescimento!#REF!)^2)</f>
        <v>#REF!</v>
      </c>
      <c r="CN73" s="23"/>
      <c r="CO73" s="21" t="e">
        <f>((CP72+(Crescimento!#REF!-(CP72*0.64))/0.8)/1000)-Crescimento!#REF!</f>
        <v>#REF!</v>
      </c>
      <c r="CP73" s="22" t="e">
        <f>-53.07 + (304.89 * (CO73)) + (90.79 *(Crescimento!#REF!-Crescimento!#REF!)) - (3.13 * (Crescimento!#REF!-Crescimento!#REF!)^2)</f>
        <v>#REF!</v>
      </c>
      <c r="CQ73" s="23"/>
      <c r="CR73" s="21" t="e">
        <f>((CS72+(Crescimento!#REF!-(CS72*0.64))/0.8)/1000)-Crescimento!#REF!</f>
        <v>#REF!</v>
      </c>
      <c r="CS73" s="22" t="e">
        <f>-53.07 + (304.89 * (CR73)) + (90.79 *(Crescimento!#REF!-Crescimento!#REF!)) - (3.13 * (Crescimento!#REF!-Crescimento!#REF!)^2)</f>
        <v>#REF!</v>
      </c>
      <c r="CX73" s="16" t="e">
        <f>((CY72+(Crescimento!#REF!-(CY72*0.64))/0.8)/1000)-Crescimento!#REF!</f>
        <v>#REF!</v>
      </c>
      <c r="CY73" s="17" t="e">
        <f>-53.07 + (304.89 * (CX73)) + (90.79 *(Crescimento!#REF!-Crescimento!#REF!)) - (3.13 * (Crescimento!#REF!-Crescimento!#REF!)^2)</f>
        <v>#REF!</v>
      </c>
      <c r="DA73" s="16" t="e">
        <f>((DB72+(Crescimento!#REF!-(DB72*0.64))/0.8)/1000)-Crescimento!#REF!</f>
        <v>#REF!</v>
      </c>
      <c r="DB73" s="17" t="e">
        <f>-53.07 + (304.89 * (DA73)) + (90.79 *(Crescimento!#REF!-Crescimento!#REF!)) - (3.13 * (Crescimento!#REF!-Crescimento!#REF!)^2)</f>
        <v>#REF!</v>
      </c>
      <c r="DD73" s="16" t="e">
        <f>(DE72+(Crescimento!#REF!-(DE72*0.64))/0.8)/1000</f>
        <v>#REF!</v>
      </c>
      <c r="DE73" s="17" t="e">
        <f>-53.07 + (304.89 * (DD73)) + (90.79 *Crescimento!#REF!) - (3.13 * Crescimento!#REF!*Crescimento!#REF!)</f>
        <v>#REF!</v>
      </c>
      <c r="DG73" s="16" t="e">
        <f>((DH72+(Crescimento!#REF!-(DH72*0.64))/0.8)/1000)-Crescimento!#REF!</f>
        <v>#REF!</v>
      </c>
      <c r="DH73" s="17" t="e">
        <f>-53.07 + (304.89 * (DG73)) + (90.79 *(Crescimento!#REF!-Crescimento!#REF!)) - (3.13 * (Crescimento!#REF!-Crescimento!#REF!)^2)</f>
        <v>#REF!</v>
      </c>
      <c r="DJ73" s="16" t="e">
        <f>((DK72+(Crescimento!#REF!-(DK72*0.64))/0.8)/1000)-Crescimento!#REF!</f>
        <v>#REF!</v>
      </c>
      <c r="DK73" s="17" t="e">
        <f>-53.07 + (304.89 * (DJ73)) + (90.79 *(Crescimento!#REF!-Crescimento!#REF!)) - (3.13 * (Crescimento!#REF!-Crescimento!#REF!)^2)</f>
        <v>#REF!</v>
      </c>
      <c r="DM73" s="16" t="e">
        <f>((DN72+(Crescimento!#REF!-(DN72*0.64))/0.8)/1000)-Crescimento!#REF!</f>
        <v>#REF!</v>
      </c>
      <c r="DN73" s="17" t="e">
        <f>-53.07 + (304.89 * (DM73)) + (90.79 *(Crescimento!#REF!-Crescimento!#REF!)) - (3.13 * (Crescimento!#REF!-Crescimento!#REF!)^2)</f>
        <v>#REF!</v>
      </c>
      <c r="DP73" s="16" t="e">
        <f>(DQ72+(Crescimento!#REF!-(DQ72*0.64))/0.8)/1000</f>
        <v>#REF!</v>
      </c>
      <c r="DQ73" s="17" t="e">
        <f>-53.07 + (304.89 * (DP73)) + (90.79 *(Crescimento!#REF!-Crescimento!#REF!)) - (3.13 * (Crescimento!#REF!-Crescimento!#REF!)^2)</f>
        <v>#REF!</v>
      </c>
      <c r="DS73" s="16" t="e">
        <f>((DT72+(Crescimento!#REF!-(DT72*0.64))/0.8)/1000)-Crescimento!#REF!</f>
        <v>#REF!</v>
      </c>
      <c r="DT73" s="17" t="e">
        <f>-53.07 + (304.89 * (DS73)) + (90.79 *(Crescimento!#REF!-Crescimento!#REF!)) - (3.13 * (Crescimento!#REF!-Crescimento!#REF!)^2)</f>
        <v>#REF!</v>
      </c>
      <c r="DV73" s="16" t="e">
        <f>((DW72+(Crescimento!#REF!-(DW72*0.64))/0.8)/1000)-Crescimento!#REF!</f>
        <v>#REF!</v>
      </c>
      <c r="DW73" s="17" t="e">
        <f>-53.07 + (304.89 * (DV73)) + (90.79 *(Crescimento!#REF!-Crescimento!#REF!)) - (3.13 * (Crescimento!#REF!-Crescimento!#REF!)^2)</f>
        <v>#REF!</v>
      </c>
      <c r="DY73" s="16" t="e">
        <f>((DZ72+(Crescimento!#REF!-(DZ72*0.64))/0.8)/1000)-Crescimento!#REF!</f>
        <v>#REF!</v>
      </c>
      <c r="DZ73" s="17" t="e">
        <f>-53.07 + (304.89 * (DY73)) + (90.79 *(Crescimento!#REF!-Crescimento!#REF!)) - (3.13 * (Crescimento!#REF!-Crescimento!#REF!)^2)</f>
        <v>#REF!</v>
      </c>
      <c r="EB73" s="16" t="e">
        <f>((EC72+(Crescimento!#REF!-(EC72*0.64))/0.8)/1000)-Crescimento!#REF!</f>
        <v>#REF!</v>
      </c>
      <c r="EC73" s="17" t="e">
        <f>-53.07 + (304.89 * (EB73)) + (90.79 *(Crescimento!#REF!-Crescimento!#REF!)) - (3.13 * (Crescimento!#REF!-Crescimento!#REF!)^2)</f>
        <v>#REF!</v>
      </c>
      <c r="EE73" s="16" t="e">
        <f>((EF72+(Crescimento!#REF!-(EF72*0.64))/0.8)/1000)-Crescimento!#REF!</f>
        <v>#REF!</v>
      </c>
      <c r="EF73" s="17" t="e">
        <f>-53.07 + (304.89 * (EE73)) + (90.79 *(Crescimento!#REF!-Crescimento!#REF!)) - (3.13 * (Crescimento!#REF!-Crescimento!#REF!)^2)</f>
        <v>#REF!</v>
      </c>
      <c r="EH73" s="16" t="e">
        <f>((EI72+(Crescimento!#REF!-(EI72*0.64))/0.8)/1000)-Crescimento!#REF!</f>
        <v>#REF!</v>
      </c>
      <c r="EI73" s="17" t="e">
        <f>-53.07 + (304.89 * (EH73)) + (90.79 *(Crescimento!#REF!-Crescimento!#REF!)) - (3.13 * (Crescimento!#REF!-Crescimento!#REF!)^2)</f>
        <v>#REF!</v>
      </c>
      <c r="EK73" s="16" t="e">
        <f>((EL72+(Crescimento!#REF!-(EL72*0.64))/0.8)/1000)-Crescimento!#REF!</f>
        <v>#REF!</v>
      </c>
      <c r="EL73" s="17" t="e">
        <f>-53.07 + (304.89 * (EK73)) + (90.79 *(Crescimento!#REF!-Crescimento!#REF!)) - (3.13 * (Crescimento!#REF!-Crescimento!#REF!)^2)</f>
        <v>#REF!</v>
      </c>
      <c r="EN73" s="16" t="e">
        <f>((EO72+(Crescimento!#REF!-(EO72*0.64))/0.8)/1000)-Crescimento!#REF!</f>
        <v>#REF!</v>
      </c>
      <c r="EO73" s="17" t="e">
        <f>-53.07 + (304.89 * (EN73)) + (90.79 *(Crescimento!#REF!-Crescimento!#REF!)) - (3.13 * (Crescimento!#REF!-Crescimento!#REF!)^2)</f>
        <v>#REF!</v>
      </c>
      <c r="EQ73" s="16" t="e">
        <f>((ER72+(Crescimento!#REF!-(ER72*0.64))/0.8)/1000)-Crescimento!#REF!</f>
        <v>#REF!</v>
      </c>
      <c r="ER73" s="17" t="e">
        <f>-53.07 + (304.89 * (EQ73)) + (90.79 *(Crescimento!#REF!-Crescimento!#REF!)) - (3.13 * (Crescimento!#REF!-Crescimento!#REF!)^2)</f>
        <v>#REF!</v>
      </c>
      <c r="ET73" s="16" t="e">
        <f>((EU72+(Crescimento!#REF!-(EU72*0.64))/0.8)/1000)-Crescimento!#REF!</f>
        <v>#REF!</v>
      </c>
      <c r="EU73" s="17" t="e">
        <f>-53.07 + (304.89 * (ET73)) + (90.79 *(Crescimento!#REF!-Crescimento!#REF!)) - (3.13 * (Crescimento!#REF!-Crescimento!#REF!)^2)</f>
        <v>#REF!</v>
      </c>
      <c r="EW73" s="16" t="e">
        <f>((EX72+('Vacas e Bezerros'!#REF!-(EX72*0.64))/0.8)/1000)-'Vacas e Bezerros'!#REF!</f>
        <v>#REF!</v>
      </c>
      <c r="EX73" s="17" t="e">
        <f>-53.07 + (304.89 * (EW73)) + (90.79 *('Vacas e Bezerros'!#REF!-'Vacas e Bezerros'!#REF!)) - (3.13 * ('Vacas e Bezerros'!#REF!-'Vacas e Bezerros'!#REF!)^2)</f>
        <v>#REF!</v>
      </c>
      <c r="EZ73" s="16" t="e">
        <f>((FA72+('Vacas e Bezerros'!#REF!-(FA72*0.64))/0.8)/1000)-'Vacas e Bezerros'!#REF!</f>
        <v>#REF!</v>
      </c>
      <c r="FA73" s="17" t="e">
        <f>-53.07 + (304.89 * (EZ73)) + (90.79 *('Vacas e Bezerros'!#REF!-'Vacas e Bezerros'!#REF!)) - (3.13 * ('Vacas e Bezerros'!#REF!-'Vacas e Bezerros'!#REF!)^2)</f>
        <v>#REF!</v>
      </c>
      <c r="FC73" s="16" t="e">
        <f>((FD72+('Vacas e Bezerros'!#REF!-(FD72*0.64))/0.8)/1000)-'Vacas e Bezerros'!#REF!</f>
        <v>#REF!</v>
      </c>
      <c r="FD73" s="17" t="e">
        <f>-53.07 + (304.89 * (FC73)) + (90.79 *('Vacas e Bezerros'!#REF!-'Vacas e Bezerros'!#REF!)) - (3.13 * ('Vacas e Bezerros'!#REF!-'Vacas e Bezerros'!#REF!)^2)</f>
        <v>#REF!</v>
      </c>
      <c r="FF73" s="16" t="e">
        <f>((FG72+('Vacas e Bezerros'!#REF!-(FG72*0.64))/0.8)/1000)-'Vacas e Bezerros'!#REF!</f>
        <v>#REF!</v>
      </c>
      <c r="FG73" s="17" t="e">
        <f>-53.07 + (304.89 * (FF73)) + (90.79 *('Vacas e Bezerros'!#REF!-'Vacas e Bezerros'!#REF!)) - (3.13 * ('Vacas e Bezerros'!#REF!-'Vacas e Bezerros'!#REF!)^2)</f>
        <v>#REF!</v>
      </c>
      <c r="FI73" s="16" t="e">
        <f>((FJ72+('Vacas e Bezerros'!#REF!-(FJ72*0.64))/0.8)/1000)-'Vacas e Bezerros'!#REF!</f>
        <v>#REF!</v>
      </c>
      <c r="FJ73" s="17" t="e">
        <f>-53.07 + (304.89 * (FI73)) + (90.79 *('Vacas e Bezerros'!#REF!-'Vacas e Bezerros'!#REF!)) - (3.13 * ('Vacas e Bezerros'!#REF!-'Vacas e Bezerros'!#REF!)^2)</f>
        <v>#REF!</v>
      </c>
      <c r="FL73" s="16" t="e">
        <f>((FM72+('Vacas e Bezerros'!#REF!-(FM72*0.64))/0.8)/1000)-'Vacas e Bezerros'!#REF!</f>
        <v>#REF!</v>
      </c>
      <c r="FM73" s="17" t="e">
        <f>-53.07 + (304.89 * (FL73)) + (90.79 *('Vacas e Bezerros'!#REF!-'Vacas e Bezerros'!#REF!)) - (3.13 * ('Vacas e Bezerros'!#REF!-'Vacas e Bezerros'!#REF!)^2)</f>
        <v>#REF!</v>
      </c>
      <c r="FO73" s="16" t="e">
        <f>((FP72+('Vacas e Bezerros'!#REF!-(FP72*0.64))/0.8)/1000)-'Vacas e Bezerros'!#REF!</f>
        <v>#REF!</v>
      </c>
      <c r="FP73" s="17" t="e">
        <f>-53.07 + (304.89 * (FO73)) + (90.79 *('Vacas e Bezerros'!#REF!-'Vacas e Bezerros'!#REF!)) - (3.13 * ('Vacas e Bezerros'!#REF!-'Vacas e Bezerros'!#REF!)^2)</f>
        <v>#REF!</v>
      </c>
      <c r="FR73" s="16" t="e">
        <f>((FS72+('Vacas e Bezerros'!#REF!-(FS72*0.64))/0.8)/1000)-'Vacas e Bezerros'!#REF!</f>
        <v>#REF!</v>
      </c>
      <c r="FS73" s="17" t="e">
        <f>-53.07 + (304.89 * (FR73)) + (90.79 *('Vacas e Bezerros'!#REF!-'Vacas e Bezerros'!#REF!)) - (3.13 * ('Vacas e Bezerros'!#REF!-'Vacas e Bezerros'!#REF!)^2)</f>
        <v>#REF!</v>
      </c>
      <c r="FU73" s="16" t="e">
        <f>((FV72+('Vacas e Bezerros'!#REF!-(FV72*0.64))/0.8)/1000)-'Vacas e Bezerros'!#REF!</f>
        <v>#REF!</v>
      </c>
      <c r="FV73" s="17" t="e">
        <f>-53.07 + (304.89 * (FU73)) + (90.79 *('Vacas e Bezerros'!#REF!-'Vacas e Bezerros'!#REF!)) - (3.13 * ('Vacas e Bezerros'!#REF!-'Vacas e Bezerros'!#REF!)^2)</f>
        <v>#REF!</v>
      </c>
      <c r="FX73" s="16" t="e">
        <f>((FY72+('Vacas e Bezerros'!#REF!-(FY72*0.64))/0.8)/1000)-'Vacas e Bezerros'!#REF!</f>
        <v>#REF!</v>
      </c>
      <c r="FY73" s="17" t="e">
        <f>-53.07 + (304.89 * (FX73)) + (90.79 *('Vacas e Bezerros'!#REF!-'Vacas e Bezerros'!#REF!)) - (3.13 * ('Vacas e Bezerros'!#REF!-'Vacas e Bezerros'!#REF!)^2)</f>
        <v>#REF!</v>
      </c>
      <c r="GA73" s="16" t="e">
        <f>((GB72+('Vacas e Bezerros'!#REF!-(GB72*0.64))/0.8)/1000)-'Vacas e Bezerros'!#REF!</f>
        <v>#REF!</v>
      </c>
      <c r="GB73" s="17" t="e">
        <f>-53.07 + (304.89 * (GA73)) + (90.79 *('Vacas e Bezerros'!#REF!-'Vacas e Bezerros'!#REF!)) - (3.13 * ('Vacas e Bezerros'!#REF!-'Vacas e Bezerros'!#REF!)^2)</f>
        <v>#REF!</v>
      </c>
      <c r="GD73" s="16" t="e">
        <f>((GE72+('Vacas e Bezerros'!#REF!-(GE72*0.64))/0.8)/1000)-'Vacas e Bezerros'!#REF!</f>
        <v>#REF!</v>
      </c>
      <c r="GE73" s="17" t="e">
        <f>-53.07 + (304.89 * (GD73)) + (90.79 *('Vacas e Bezerros'!#REF!-'Vacas e Bezerros'!#REF!)) - (3.13 * ('Vacas e Bezerros'!#REF!-'Vacas e Bezerros'!#REF!)^2)</f>
        <v>#REF!</v>
      </c>
      <c r="GG73" s="16" t="e">
        <f>((GH72+('Vacas e Bezerros'!#REF!-(GH72*0.64))/0.8)/1000)-'Vacas e Bezerros'!#REF!</f>
        <v>#REF!</v>
      </c>
      <c r="GH73" s="17" t="e">
        <f>-53.07 + (304.89 * (GG73)) + (90.79 *('Vacas e Bezerros'!#REF!-'Vacas e Bezerros'!#REF!)) - (3.13 * ('Vacas e Bezerros'!#REF!-'Vacas e Bezerros'!#REF!)^2)</f>
        <v>#REF!</v>
      </c>
      <c r="GJ73" s="16" t="e">
        <f>((GK72+('Vacas e Bezerros'!#REF!-(GK72*0.64))/0.8)/1000)-'Vacas e Bezerros'!#REF!</f>
        <v>#REF!</v>
      </c>
      <c r="GK73" s="17" t="e">
        <f>-53.07 + (304.89 * (GJ73)) + (90.79 *('Vacas e Bezerros'!#REF!-'Vacas e Bezerros'!#REF!)) - (3.13 * ('Vacas e Bezerros'!#REF!-'Vacas e Bezerros'!#REF!)^2)</f>
        <v>#REF!</v>
      </c>
      <c r="GM73" s="16" t="e">
        <f>((GN72+('Vacas e Bezerros'!#REF!-(GN72*0.64))/0.8)/1000)-'Vacas e Bezerros'!#REF!</f>
        <v>#REF!</v>
      </c>
      <c r="GN73" s="17" t="e">
        <f>-53.07 + (304.89 * (GM73)) + (90.79 *('Vacas e Bezerros'!#REF!-'Vacas e Bezerros'!#REF!)) - (3.13 * ('Vacas e Bezerros'!#REF!-'Vacas e Bezerros'!#REF!)^2)</f>
        <v>#REF!</v>
      </c>
    </row>
    <row r="74" spans="3:196" x14ac:dyDescent="0.25">
      <c r="C74" s="16">
        <f>(D73+('Vacas e Bezerros'!$AA$28-(D73*0.64))/0.8)/1000</f>
        <v>0.35719668016155687</v>
      </c>
      <c r="D74" s="17">
        <f>-53.07 + (304.89 * (C74-'Vacas e Bezerros'!$C$206)) + (90.79 *('Vacas e Bezerros'!$AA$22)) - (3.13 *('Vacas e Bezerros'!$AA$22)^2)</f>
        <v>165.01876457544017</v>
      </c>
      <c r="F74" s="16" t="e">
        <f>(G73+(Crescimento!#REF!-(G73*0.64))/0.8)/1000</f>
        <v>#REF!</v>
      </c>
      <c r="G74" s="17" t="e">
        <f>-53.07 + (304.89 * (F74)) + (90.79 *Crescimento!#REF!) - (3.13 * Crescimento!#REF!*Crescimento!#REF!)</f>
        <v>#REF!</v>
      </c>
      <c r="H74" s="1"/>
      <c r="I74" s="16" t="e">
        <f>(J73+(Crescimento!#REF!-(J73*0.64))/0.8)/1000</f>
        <v>#REF!</v>
      </c>
      <c r="J74" s="17" t="e">
        <f>-53.07 + (304.89 * (I74)) + (90.79 *Crescimento!#REF!) - (3.13 * Crescimento!#REF!*Crescimento!#REF!)</f>
        <v>#REF!</v>
      </c>
      <c r="L74" s="16" t="e">
        <f>(M73+(Crescimento!#REF!-(M73*0.64))/0.8)/1000</f>
        <v>#REF!</v>
      </c>
      <c r="M74" s="17" t="e">
        <f>-53.07 + (304.89 * (L74)) + (90.79 *Crescimento!#REF!) - (3.13 * Crescimento!#REF!*Crescimento!#REF!)</f>
        <v>#REF!</v>
      </c>
      <c r="O74" s="16" t="e">
        <f>(P73+(Crescimento!#REF!-(P73*0.64))/0.8)/1000</f>
        <v>#REF!</v>
      </c>
      <c r="P74" s="17" t="e">
        <f>-53.07 + (304.89 * (O74)) + (90.79 *Crescimento!#REF!) - (3.13 * Crescimento!#REF!*Crescimento!#REF!)</f>
        <v>#REF!</v>
      </c>
      <c r="R74" s="16" t="e">
        <f>(S73+(Crescimento!#REF!-(S73*0.64))/0.8)/1000</f>
        <v>#REF!</v>
      </c>
      <c r="S74" s="17" t="e">
        <f>-53.07 + (304.89 * (R74)) + (90.79 *Crescimento!#REF!) - (3.13 * Crescimento!#REF!*Crescimento!#REF!)</f>
        <v>#REF!</v>
      </c>
      <c r="U74" s="16" t="e">
        <f>(V73+(Crescimento!#REF!-(V73*0.64))/0.8)/1000</f>
        <v>#REF!</v>
      </c>
      <c r="V74" s="17" t="e">
        <f>-53.07 + (304.89 * (U74)) + (90.79 *Crescimento!#REF!) - (3.13 * Crescimento!#REF!*Crescimento!#REF!)</f>
        <v>#REF!</v>
      </c>
      <c r="X74" s="16" t="e">
        <f>(Y73+(Crescimento!#REF!-(Y73*0.64))/0.8)/1000</f>
        <v>#REF!</v>
      </c>
      <c r="Y74" s="17" t="e">
        <f>-53.07 + (304.89 * (X74)) + (90.79 *Crescimento!#REF!) - (3.13 * Crescimento!#REF!*Crescimento!#REF!)</f>
        <v>#REF!</v>
      </c>
      <c r="Z74" s="6"/>
      <c r="AA74" s="16" t="e">
        <f>(AB73+(Crescimento!#REF!-(AB73*0.64))/0.8)/1000</f>
        <v>#REF!</v>
      </c>
      <c r="AB74" s="17" t="e">
        <f>-53.07 + (304.89 * (AA74)) + (90.79 *Crescimento!#REF!) - (3.13 * Crescimento!#REF!*Crescimento!#REF!)</f>
        <v>#REF!</v>
      </c>
      <c r="AC74" s="6"/>
      <c r="AD74" s="16" t="e">
        <f>(AE73+(Crescimento!#REF!-(AE73*0.64))/0.8)/1000</f>
        <v>#REF!</v>
      </c>
      <c r="AE74" s="17" t="e">
        <f>-53.07 + (304.89 * (AD74)) + (90.79 *Crescimento!#REF!) - (3.13 * Crescimento!#REF!*Crescimento!#REF!)</f>
        <v>#REF!</v>
      </c>
      <c r="AF74" s="17"/>
      <c r="AG74" s="16" t="e">
        <f>(AH73+(Crescimento!#REF!-(AH73*0.64))/0.8)/1000</f>
        <v>#REF!</v>
      </c>
      <c r="AH74" s="17" t="e">
        <f>-53.07 + (304.89 * (AG74)) + (90.79 *Crescimento!#REF!) - (3.13 * Crescimento!#REF!*Crescimento!#REF!)</f>
        <v>#REF!</v>
      </c>
      <c r="AJ74" s="16" t="e">
        <f>(AK73+(Crescimento!#REF!-(AK73*0.64))/0.8)/1000</f>
        <v>#REF!</v>
      </c>
      <c r="AK74" s="17" t="e">
        <f>-53.07 + (304.89 * (AJ74)) + (90.79 *Crescimento!#REF!) - (3.13 * Crescimento!#REF!*Crescimento!#REF!)</f>
        <v>#REF!</v>
      </c>
      <c r="AM74" s="16" t="e">
        <f>(AN73+(Crescimento!#REF!-(AN73*0.64))/0.8)/1000</f>
        <v>#REF!</v>
      </c>
      <c r="AN74" s="17" t="e">
        <f>-53.07 + (304.89 * (AM74)) + (90.79 *Crescimento!#REF!) - (3.13 * Crescimento!#REF!*Crescimento!#REF!)</f>
        <v>#REF!</v>
      </c>
      <c r="AP74" s="16" t="e">
        <f>(AQ73+(Crescimento!#REF!-(AQ73*0.64))/0.8)/1000</f>
        <v>#REF!</v>
      </c>
      <c r="AQ74" s="17" t="e">
        <f>-53.07 + (304.89 * (AP74)) + (90.79 *Crescimento!#REF!) - (3.13 * Crescimento!#REF!*Crescimento!#REF!)</f>
        <v>#REF!</v>
      </c>
      <c r="AS74" s="16" t="e">
        <f>(AT73+(Crescimento!#REF!-(AT73*0.64))/0.8)/1000</f>
        <v>#REF!</v>
      </c>
      <c r="AT74" s="17" t="e">
        <f>-53.07 + (304.89 * (AS74)) + (90.79 *Crescimento!#REF!) - (3.13 * Crescimento!#REF!*Crescimento!#REF!)</f>
        <v>#REF!</v>
      </c>
      <c r="AV74" s="16" t="e">
        <f>(AW73+(Crescimento!#REF!-(AW73*0.64))/0.8)/1000</f>
        <v>#REF!</v>
      </c>
      <c r="AW74" s="17" t="e">
        <f>-53.07 + (304.89 * (AV74)) + (90.79 *Crescimento!#REF!) - (3.13 * Crescimento!#REF!*Crescimento!#REF!)</f>
        <v>#REF!</v>
      </c>
      <c r="AY74" s="21" t="e">
        <f>((AZ73+(Crescimento!#REF!-(AZ73*0.64))/0.8)/1000)-Crescimento!#REF!</f>
        <v>#REF!</v>
      </c>
      <c r="AZ74" s="22" t="e">
        <f>-53.07 + (304.89 * (AY74)) + (90.79 *(Crescimento!#REF!-Crescimento!#REF!)) - (3.13 * (Crescimento!#REF!-Crescimento!#REF!)^2)</f>
        <v>#REF!</v>
      </c>
      <c r="BA74" s="23"/>
      <c r="BB74" s="21" t="e">
        <f>((BC73+(Crescimento!#REF!-(BC73*0.64))/0.8)/1000)-Crescimento!#REF!</f>
        <v>#REF!</v>
      </c>
      <c r="BC74" s="22" t="e">
        <f>-53.07 + (304.89 * (BB74)) + (90.79 *(Crescimento!#REF!-Crescimento!#REF!)) - (3.13 * (Crescimento!#REF!-Crescimento!#REF!)^2)</f>
        <v>#REF!</v>
      </c>
      <c r="BD74" s="23"/>
      <c r="BE74" s="21" t="e">
        <f>((BF73+(Crescimento!#REF!-(BF73*0.64))/0.8)/1000)-Crescimento!#REF!</f>
        <v>#REF!</v>
      </c>
      <c r="BF74" s="22" t="e">
        <f>-53.07 + (304.89 * (BE74)) + (90.79 *(Crescimento!#REF!-Crescimento!#REF!)) - (3.13 * (Crescimento!#REF!-Crescimento!#REF!)^2)</f>
        <v>#REF!</v>
      </c>
      <c r="BG74" s="23"/>
      <c r="BH74" s="21" t="e">
        <f>((BI73+(Crescimento!#REF!-(BI73*0.64))/0.8)/1000)-Crescimento!#REF!</f>
        <v>#REF!</v>
      </c>
      <c r="BI74" s="22" t="e">
        <f>-53.07 + (304.89 * (BH74)) + (90.79 *(Crescimento!#REF!-Crescimento!#REF!)) - (3.13 * (Crescimento!#REF!-Crescimento!#REF!)^2)</f>
        <v>#REF!</v>
      </c>
      <c r="BJ74" s="23"/>
      <c r="BK74" s="21" t="e">
        <f>((BL73+(Crescimento!#REF!-(BL73*0.64))/0.8)/1000)-Crescimento!#REF!</f>
        <v>#REF!</v>
      </c>
      <c r="BL74" s="22" t="e">
        <f>-53.07 + (304.89 * (BK74)) + (90.79 *(Crescimento!#REF!-Crescimento!#REF!)) - (3.13 * (Crescimento!#REF!-Crescimento!#REF!)^2)</f>
        <v>#REF!</v>
      </c>
      <c r="BM74" s="23"/>
      <c r="BN74" s="21" t="e">
        <f>((BO73+(Crescimento!#REF!-(BO73*0.64))/0.8)/1000)-Crescimento!#REF!</f>
        <v>#REF!</v>
      </c>
      <c r="BO74" s="22" t="e">
        <f>-53.07 + (304.89 * (BN74)) + (90.79 *(Crescimento!#REF!-Crescimento!#REF!)) - (3.13 * (Crescimento!#REF!-Crescimento!#REF!)^2)</f>
        <v>#REF!</v>
      </c>
      <c r="BP74" s="23"/>
      <c r="BQ74" s="21" t="e">
        <f>((BR73+(Crescimento!#REF!-(BR73*0.64))/0.8)/1000)-Crescimento!#REF!</f>
        <v>#REF!</v>
      </c>
      <c r="BR74" s="22" t="e">
        <f>-53.07 + (304.89 * (BQ74)) + (90.79 *(Crescimento!#REF!-Crescimento!#REF!)) - (3.13 * (Crescimento!#REF!-Crescimento!#REF!)^2)</f>
        <v>#REF!</v>
      </c>
      <c r="BS74" s="23"/>
      <c r="BT74" s="21" t="e">
        <f>((BU73+(Crescimento!#REF!-(BU73*0.64))/0.8)/1000)-Crescimento!#REF!</f>
        <v>#REF!</v>
      </c>
      <c r="BU74" s="22" t="e">
        <f>-53.07 + (304.89 * (BT74)) + (90.79 *(Crescimento!#REF!-Crescimento!#REF!)) - (3.13 * (Crescimento!#REF!-Crescimento!#REF!)^2)</f>
        <v>#REF!</v>
      </c>
      <c r="BV74" s="23"/>
      <c r="BW74" s="21" t="e">
        <f>((BX73+(Crescimento!#REF!-(BX73*0.64))/0.8)/1000)-Crescimento!#REF!</f>
        <v>#REF!</v>
      </c>
      <c r="BX74" s="22" t="e">
        <f>-53.07 + (304.89 * (BW74)) + (90.79 *(Crescimento!#REF!-Crescimento!#REF!)) - (3.13 * (Crescimento!#REF!-Crescimento!#REF!)^2)</f>
        <v>#REF!</v>
      </c>
      <c r="BY74" s="23"/>
      <c r="BZ74" s="21" t="e">
        <f>((CA73+(Crescimento!#REF!-(CA73*0.64))/0.8)/1000)-Crescimento!#REF!</f>
        <v>#REF!</v>
      </c>
      <c r="CA74" s="22" t="e">
        <f>-53.07 + (304.89 * (BZ74)) + (90.79 *(Crescimento!#REF!-Crescimento!#REF!)) - (3.13 * (Crescimento!#REF!-Crescimento!#REF!)^2)</f>
        <v>#REF!</v>
      </c>
      <c r="CB74" s="23"/>
      <c r="CC74" s="21" t="e">
        <f>((CD73+(Crescimento!#REF!-(CD73*0.64))/0.8)/1000)-Crescimento!#REF!</f>
        <v>#REF!</v>
      </c>
      <c r="CD74" s="22" t="e">
        <f>-53.07 + (304.89 * (CC74)) + (90.79 *(Crescimento!#REF!-Crescimento!#REF!)) - (3.13 * (Crescimento!#REF!-Crescimento!#REF!)^2)</f>
        <v>#REF!</v>
      </c>
      <c r="CE74" s="23"/>
      <c r="CF74" s="21" t="e">
        <f>((CG73+(Crescimento!#REF!-(CG73*0.64))/0.8)/1000)-Crescimento!#REF!</f>
        <v>#REF!</v>
      </c>
      <c r="CG74" s="22" t="e">
        <f>-53.07 + (304.89 * (CF74)) + (90.79 *(Crescimento!#REF!-Crescimento!#REF!)) - (3.13 * (Crescimento!#REF!-Crescimento!#REF!)^2)</f>
        <v>#REF!</v>
      </c>
      <c r="CH74" s="23"/>
      <c r="CI74" s="21" t="e">
        <f>((CJ73+(Crescimento!#REF!-(CJ73*0.64))/0.8)/1000)-Crescimento!#REF!</f>
        <v>#REF!</v>
      </c>
      <c r="CJ74" s="22" t="e">
        <f>-53.07 + (304.89 * (CI74)) + (90.79 *(Crescimento!#REF!-Crescimento!#REF!)) - (3.13 * (Crescimento!#REF!-Crescimento!#REF!)^2)</f>
        <v>#REF!</v>
      </c>
      <c r="CK74" s="23"/>
      <c r="CL74" s="21" t="e">
        <f>((CM73+(Crescimento!#REF!-(CM73*0.64))/0.8)/1000)-Crescimento!#REF!</f>
        <v>#REF!</v>
      </c>
      <c r="CM74" s="22" t="e">
        <f>-53.07 + (304.89 * (CL74)) + (90.79 *(Crescimento!#REF!-Crescimento!#REF!)) - (3.13 * (Crescimento!#REF!-Crescimento!#REF!)^2)</f>
        <v>#REF!</v>
      </c>
      <c r="CN74" s="23"/>
      <c r="CO74" s="21" t="e">
        <f>((CP73+(Crescimento!#REF!-(CP73*0.64))/0.8)/1000)-Crescimento!#REF!</f>
        <v>#REF!</v>
      </c>
      <c r="CP74" s="22" t="e">
        <f>-53.07 + (304.89 * (CO74)) + (90.79 *(Crescimento!#REF!-Crescimento!#REF!)) - (3.13 * (Crescimento!#REF!-Crescimento!#REF!)^2)</f>
        <v>#REF!</v>
      </c>
      <c r="CQ74" s="23"/>
      <c r="CR74" s="21" t="e">
        <f>((CS73+(Crescimento!#REF!-(CS73*0.64))/0.8)/1000)-Crescimento!#REF!</f>
        <v>#REF!</v>
      </c>
      <c r="CS74" s="22" t="e">
        <f>-53.07 + (304.89 * (CR74)) + (90.79 *(Crescimento!#REF!-Crescimento!#REF!)) - (3.13 * (Crescimento!#REF!-Crescimento!#REF!)^2)</f>
        <v>#REF!</v>
      </c>
      <c r="CX74" s="16" t="e">
        <f>((CY73+(Crescimento!#REF!-(CY73*0.64))/0.8)/1000)-Crescimento!#REF!</f>
        <v>#REF!</v>
      </c>
      <c r="CY74" s="17" t="e">
        <f>-53.07 + (304.89 * (CX74)) + (90.79 *(Crescimento!#REF!-Crescimento!#REF!)) - (3.13 * (Crescimento!#REF!-Crescimento!#REF!)^2)</f>
        <v>#REF!</v>
      </c>
      <c r="DA74" s="16" t="e">
        <f>((DB73+(Crescimento!#REF!-(DB73*0.64))/0.8)/1000)-Crescimento!#REF!</f>
        <v>#REF!</v>
      </c>
      <c r="DB74" s="17" t="e">
        <f>-53.07 + (304.89 * (DA74)) + (90.79 *(Crescimento!#REF!-Crescimento!#REF!)) - (3.13 * (Crescimento!#REF!-Crescimento!#REF!)^2)</f>
        <v>#REF!</v>
      </c>
      <c r="DD74" s="16" t="e">
        <f>(DE73+(Crescimento!#REF!-(DE73*0.64))/0.8)/1000</f>
        <v>#REF!</v>
      </c>
      <c r="DE74" s="17" t="e">
        <f>-53.07 + (304.89 * (DD74)) + (90.79 *Crescimento!#REF!) - (3.13 * Crescimento!#REF!*Crescimento!#REF!)</f>
        <v>#REF!</v>
      </c>
      <c r="DG74" s="16" t="e">
        <f>((DH73+(Crescimento!#REF!-(DH73*0.64))/0.8)/1000)-Crescimento!#REF!</f>
        <v>#REF!</v>
      </c>
      <c r="DH74" s="17" t="e">
        <f>-53.07 + (304.89 * (DG74)) + (90.79 *(Crescimento!#REF!-Crescimento!#REF!)) - (3.13 * (Crescimento!#REF!-Crescimento!#REF!)^2)</f>
        <v>#REF!</v>
      </c>
      <c r="DJ74" s="16" t="e">
        <f>((DK73+(Crescimento!#REF!-(DK73*0.64))/0.8)/1000)-Crescimento!#REF!</f>
        <v>#REF!</v>
      </c>
      <c r="DK74" s="17" t="e">
        <f>-53.07 + (304.89 * (DJ74)) + (90.79 *(Crescimento!#REF!-Crescimento!#REF!)) - (3.13 * (Crescimento!#REF!-Crescimento!#REF!)^2)</f>
        <v>#REF!</v>
      </c>
      <c r="DM74" s="16" t="e">
        <f>((DN73+(Crescimento!#REF!-(DN73*0.64))/0.8)/1000)-Crescimento!#REF!</f>
        <v>#REF!</v>
      </c>
      <c r="DN74" s="17" t="e">
        <f>-53.07 + (304.89 * (DM74)) + (90.79 *(Crescimento!#REF!-Crescimento!#REF!)) - (3.13 * (Crescimento!#REF!-Crescimento!#REF!)^2)</f>
        <v>#REF!</v>
      </c>
      <c r="DP74" s="16" t="e">
        <f>(DQ73+(Crescimento!#REF!-(DQ73*0.64))/0.8)/1000</f>
        <v>#REF!</v>
      </c>
      <c r="DQ74" s="17" t="e">
        <f>-53.07 + (304.89 * (DP74)) + (90.79 *(Crescimento!#REF!-Crescimento!#REF!)) - (3.13 * (Crescimento!#REF!-Crescimento!#REF!)^2)</f>
        <v>#REF!</v>
      </c>
      <c r="DS74" s="16" t="e">
        <f>((DT73+(Crescimento!#REF!-(DT73*0.64))/0.8)/1000)-Crescimento!#REF!</f>
        <v>#REF!</v>
      </c>
      <c r="DT74" s="17" t="e">
        <f>-53.07 + (304.89 * (DS74)) + (90.79 *(Crescimento!#REF!-Crescimento!#REF!)) - (3.13 * (Crescimento!#REF!-Crescimento!#REF!)^2)</f>
        <v>#REF!</v>
      </c>
      <c r="DV74" s="16" t="e">
        <f>((DW73+(Crescimento!#REF!-(DW73*0.64))/0.8)/1000)-Crescimento!#REF!</f>
        <v>#REF!</v>
      </c>
      <c r="DW74" s="17" t="e">
        <f>-53.07 + (304.89 * (DV74)) + (90.79 *(Crescimento!#REF!-Crescimento!#REF!)) - (3.13 * (Crescimento!#REF!-Crescimento!#REF!)^2)</f>
        <v>#REF!</v>
      </c>
      <c r="DY74" s="16" t="e">
        <f>((DZ73+(Crescimento!#REF!-(DZ73*0.64))/0.8)/1000)-Crescimento!#REF!</f>
        <v>#REF!</v>
      </c>
      <c r="DZ74" s="17" t="e">
        <f>-53.07 + (304.89 * (DY74)) + (90.79 *(Crescimento!#REF!-Crescimento!#REF!)) - (3.13 * (Crescimento!#REF!-Crescimento!#REF!)^2)</f>
        <v>#REF!</v>
      </c>
      <c r="EB74" s="16" t="e">
        <f>((EC73+(Crescimento!#REF!-(EC73*0.64))/0.8)/1000)-Crescimento!#REF!</f>
        <v>#REF!</v>
      </c>
      <c r="EC74" s="17" t="e">
        <f>-53.07 + (304.89 * (EB74)) + (90.79 *(Crescimento!#REF!-Crescimento!#REF!)) - (3.13 * (Crescimento!#REF!-Crescimento!#REF!)^2)</f>
        <v>#REF!</v>
      </c>
      <c r="EE74" s="16" t="e">
        <f>((EF73+(Crescimento!#REF!-(EF73*0.64))/0.8)/1000)-Crescimento!#REF!</f>
        <v>#REF!</v>
      </c>
      <c r="EF74" s="17" t="e">
        <f>-53.07 + (304.89 * (EE74)) + (90.79 *(Crescimento!#REF!-Crescimento!#REF!)) - (3.13 * (Crescimento!#REF!-Crescimento!#REF!)^2)</f>
        <v>#REF!</v>
      </c>
      <c r="EH74" s="16" t="e">
        <f>((EI73+(Crescimento!#REF!-(EI73*0.64))/0.8)/1000)-Crescimento!#REF!</f>
        <v>#REF!</v>
      </c>
      <c r="EI74" s="17" t="e">
        <f>-53.07 + (304.89 * (EH74)) + (90.79 *(Crescimento!#REF!-Crescimento!#REF!)) - (3.13 * (Crescimento!#REF!-Crescimento!#REF!)^2)</f>
        <v>#REF!</v>
      </c>
      <c r="EK74" s="16" t="e">
        <f>((EL73+(Crescimento!#REF!-(EL73*0.64))/0.8)/1000)-Crescimento!#REF!</f>
        <v>#REF!</v>
      </c>
      <c r="EL74" s="17" t="e">
        <f>-53.07 + (304.89 * (EK74)) + (90.79 *(Crescimento!#REF!-Crescimento!#REF!)) - (3.13 * (Crescimento!#REF!-Crescimento!#REF!)^2)</f>
        <v>#REF!</v>
      </c>
      <c r="EN74" s="16" t="e">
        <f>((EO73+(Crescimento!#REF!-(EO73*0.64))/0.8)/1000)-Crescimento!#REF!</f>
        <v>#REF!</v>
      </c>
      <c r="EO74" s="17" t="e">
        <f>-53.07 + (304.89 * (EN74)) + (90.79 *(Crescimento!#REF!-Crescimento!#REF!)) - (3.13 * (Crescimento!#REF!-Crescimento!#REF!)^2)</f>
        <v>#REF!</v>
      </c>
      <c r="EQ74" s="16" t="e">
        <f>((ER73+(Crescimento!#REF!-(ER73*0.64))/0.8)/1000)-Crescimento!#REF!</f>
        <v>#REF!</v>
      </c>
      <c r="ER74" s="17" t="e">
        <f>-53.07 + (304.89 * (EQ74)) + (90.79 *(Crescimento!#REF!-Crescimento!#REF!)) - (3.13 * (Crescimento!#REF!-Crescimento!#REF!)^2)</f>
        <v>#REF!</v>
      </c>
      <c r="ET74" s="16" t="e">
        <f>((EU73+(Crescimento!#REF!-(EU73*0.64))/0.8)/1000)-Crescimento!#REF!</f>
        <v>#REF!</v>
      </c>
      <c r="EU74" s="17" t="e">
        <f>-53.07 + (304.89 * (ET74)) + (90.79 *(Crescimento!#REF!-Crescimento!#REF!)) - (3.13 * (Crescimento!#REF!-Crescimento!#REF!)^2)</f>
        <v>#REF!</v>
      </c>
      <c r="EW74" s="16" t="e">
        <f>((EX73+('Vacas e Bezerros'!#REF!-(EX73*0.64))/0.8)/1000)-'Vacas e Bezerros'!#REF!</f>
        <v>#REF!</v>
      </c>
      <c r="EX74" s="17" t="e">
        <f>-53.07 + (304.89 * (EW74)) + (90.79 *('Vacas e Bezerros'!#REF!-'Vacas e Bezerros'!#REF!)) - (3.13 * ('Vacas e Bezerros'!#REF!-'Vacas e Bezerros'!#REF!)^2)</f>
        <v>#REF!</v>
      </c>
      <c r="EZ74" s="16" t="e">
        <f>((FA73+('Vacas e Bezerros'!#REF!-(FA73*0.64))/0.8)/1000)-'Vacas e Bezerros'!#REF!</f>
        <v>#REF!</v>
      </c>
      <c r="FA74" s="17" t="e">
        <f>-53.07 + (304.89 * (EZ74)) + (90.79 *('Vacas e Bezerros'!#REF!-'Vacas e Bezerros'!#REF!)) - (3.13 * ('Vacas e Bezerros'!#REF!-'Vacas e Bezerros'!#REF!)^2)</f>
        <v>#REF!</v>
      </c>
      <c r="FC74" s="16" t="e">
        <f>((FD73+('Vacas e Bezerros'!#REF!-(FD73*0.64))/0.8)/1000)-'Vacas e Bezerros'!#REF!</f>
        <v>#REF!</v>
      </c>
      <c r="FD74" s="17" t="e">
        <f>-53.07 + (304.89 * (FC74)) + (90.79 *('Vacas e Bezerros'!#REF!-'Vacas e Bezerros'!#REF!)) - (3.13 * ('Vacas e Bezerros'!#REF!-'Vacas e Bezerros'!#REF!)^2)</f>
        <v>#REF!</v>
      </c>
      <c r="FF74" s="16" t="e">
        <f>((FG73+('Vacas e Bezerros'!#REF!-(FG73*0.64))/0.8)/1000)-'Vacas e Bezerros'!#REF!</f>
        <v>#REF!</v>
      </c>
      <c r="FG74" s="17" t="e">
        <f>-53.07 + (304.89 * (FF74)) + (90.79 *('Vacas e Bezerros'!#REF!-'Vacas e Bezerros'!#REF!)) - (3.13 * ('Vacas e Bezerros'!#REF!-'Vacas e Bezerros'!#REF!)^2)</f>
        <v>#REF!</v>
      </c>
      <c r="FI74" s="16" t="e">
        <f>((FJ73+('Vacas e Bezerros'!#REF!-(FJ73*0.64))/0.8)/1000)-'Vacas e Bezerros'!#REF!</f>
        <v>#REF!</v>
      </c>
      <c r="FJ74" s="17" t="e">
        <f>-53.07 + (304.89 * (FI74)) + (90.79 *('Vacas e Bezerros'!#REF!-'Vacas e Bezerros'!#REF!)) - (3.13 * ('Vacas e Bezerros'!#REF!-'Vacas e Bezerros'!#REF!)^2)</f>
        <v>#REF!</v>
      </c>
      <c r="FL74" s="16" t="e">
        <f>((FM73+('Vacas e Bezerros'!#REF!-(FM73*0.64))/0.8)/1000)-'Vacas e Bezerros'!#REF!</f>
        <v>#REF!</v>
      </c>
      <c r="FM74" s="17" t="e">
        <f>-53.07 + (304.89 * (FL74)) + (90.79 *('Vacas e Bezerros'!#REF!-'Vacas e Bezerros'!#REF!)) - (3.13 * ('Vacas e Bezerros'!#REF!-'Vacas e Bezerros'!#REF!)^2)</f>
        <v>#REF!</v>
      </c>
      <c r="FO74" s="16" t="e">
        <f>((FP73+('Vacas e Bezerros'!#REF!-(FP73*0.64))/0.8)/1000)-'Vacas e Bezerros'!#REF!</f>
        <v>#REF!</v>
      </c>
      <c r="FP74" s="17" t="e">
        <f>-53.07 + (304.89 * (FO74)) + (90.79 *('Vacas e Bezerros'!#REF!-'Vacas e Bezerros'!#REF!)) - (3.13 * ('Vacas e Bezerros'!#REF!-'Vacas e Bezerros'!#REF!)^2)</f>
        <v>#REF!</v>
      </c>
      <c r="FR74" s="16" t="e">
        <f>((FS73+('Vacas e Bezerros'!#REF!-(FS73*0.64))/0.8)/1000)-'Vacas e Bezerros'!#REF!</f>
        <v>#REF!</v>
      </c>
      <c r="FS74" s="17" t="e">
        <f>-53.07 + (304.89 * (FR74)) + (90.79 *('Vacas e Bezerros'!#REF!-'Vacas e Bezerros'!#REF!)) - (3.13 * ('Vacas e Bezerros'!#REF!-'Vacas e Bezerros'!#REF!)^2)</f>
        <v>#REF!</v>
      </c>
      <c r="FU74" s="16" t="e">
        <f>((FV73+('Vacas e Bezerros'!#REF!-(FV73*0.64))/0.8)/1000)-'Vacas e Bezerros'!#REF!</f>
        <v>#REF!</v>
      </c>
      <c r="FV74" s="17" t="e">
        <f>-53.07 + (304.89 * (FU74)) + (90.79 *('Vacas e Bezerros'!#REF!-'Vacas e Bezerros'!#REF!)) - (3.13 * ('Vacas e Bezerros'!#REF!-'Vacas e Bezerros'!#REF!)^2)</f>
        <v>#REF!</v>
      </c>
      <c r="FX74" s="16" t="e">
        <f>((FY73+('Vacas e Bezerros'!#REF!-(FY73*0.64))/0.8)/1000)-'Vacas e Bezerros'!#REF!</f>
        <v>#REF!</v>
      </c>
      <c r="FY74" s="17" t="e">
        <f>-53.07 + (304.89 * (FX74)) + (90.79 *('Vacas e Bezerros'!#REF!-'Vacas e Bezerros'!#REF!)) - (3.13 * ('Vacas e Bezerros'!#REF!-'Vacas e Bezerros'!#REF!)^2)</f>
        <v>#REF!</v>
      </c>
      <c r="GA74" s="16" t="e">
        <f>((GB73+('Vacas e Bezerros'!#REF!-(GB73*0.64))/0.8)/1000)-'Vacas e Bezerros'!#REF!</f>
        <v>#REF!</v>
      </c>
      <c r="GB74" s="17" t="e">
        <f>-53.07 + (304.89 * (GA74)) + (90.79 *('Vacas e Bezerros'!#REF!-'Vacas e Bezerros'!#REF!)) - (3.13 * ('Vacas e Bezerros'!#REF!-'Vacas e Bezerros'!#REF!)^2)</f>
        <v>#REF!</v>
      </c>
      <c r="GD74" s="16" t="e">
        <f>((GE73+('Vacas e Bezerros'!#REF!-(GE73*0.64))/0.8)/1000)-'Vacas e Bezerros'!#REF!</f>
        <v>#REF!</v>
      </c>
      <c r="GE74" s="17" t="e">
        <f>-53.07 + (304.89 * (GD74)) + (90.79 *('Vacas e Bezerros'!#REF!-'Vacas e Bezerros'!#REF!)) - (3.13 * ('Vacas e Bezerros'!#REF!-'Vacas e Bezerros'!#REF!)^2)</f>
        <v>#REF!</v>
      </c>
      <c r="GG74" s="16" t="e">
        <f>((GH73+('Vacas e Bezerros'!#REF!-(GH73*0.64))/0.8)/1000)-'Vacas e Bezerros'!#REF!</f>
        <v>#REF!</v>
      </c>
      <c r="GH74" s="17" t="e">
        <f>-53.07 + (304.89 * (GG74)) + (90.79 *('Vacas e Bezerros'!#REF!-'Vacas e Bezerros'!#REF!)) - (3.13 * ('Vacas e Bezerros'!#REF!-'Vacas e Bezerros'!#REF!)^2)</f>
        <v>#REF!</v>
      </c>
      <c r="GJ74" s="16" t="e">
        <f>((GK73+('Vacas e Bezerros'!#REF!-(GK73*0.64))/0.8)/1000)-'Vacas e Bezerros'!#REF!</f>
        <v>#REF!</v>
      </c>
      <c r="GK74" s="17" t="e">
        <f>-53.07 + (304.89 * (GJ74)) + (90.79 *('Vacas e Bezerros'!#REF!-'Vacas e Bezerros'!#REF!)) - (3.13 * ('Vacas e Bezerros'!#REF!-'Vacas e Bezerros'!#REF!)^2)</f>
        <v>#REF!</v>
      </c>
      <c r="GM74" s="16" t="e">
        <f>((GN73+('Vacas e Bezerros'!#REF!-(GN73*0.64))/0.8)/1000)-'Vacas e Bezerros'!#REF!</f>
        <v>#REF!</v>
      </c>
      <c r="GN74" s="17" t="e">
        <f>-53.07 + (304.89 * (GM74)) + (90.79 *('Vacas e Bezerros'!#REF!-'Vacas e Bezerros'!#REF!)) - (3.13 * ('Vacas e Bezerros'!#REF!-'Vacas e Bezerros'!#REF!)^2)</f>
        <v>#REF!</v>
      </c>
    </row>
    <row r="75" spans="3:196" x14ac:dyDescent="0.25">
      <c r="C75" s="16">
        <f>(D74+('Vacas e Bezerros'!$AA$28-(D74*0.64))/0.8)/1000</f>
        <v>0.35719668016155687</v>
      </c>
      <c r="D75" s="17">
        <f>-53.07 + (304.89 * (C75-'Vacas e Bezerros'!$C$206)) + (90.79 *('Vacas e Bezerros'!$AA$22)) - (3.13 *('Vacas e Bezerros'!$AA$22)^2)</f>
        <v>165.01876457544017</v>
      </c>
      <c r="F75" s="16" t="e">
        <f>(G74+(Crescimento!#REF!-(G74*0.64))/0.8)/1000</f>
        <v>#REF!</v>
      </c>
      <c r="G75" s="17" t="e">
        <f>-53.07 + (304.89 * (F75)) + (90.79 *Crescimento!#REF!) - (3.13 * Crescimento!#REF!*Crescimento!#REF!)</f>
        <v>#REF!</v>
      </c>
      <c r="H75" s="1"/>
      <c r="I75" s="16" t="e">
        <f>(J74+(Crescimento!#REF!-(J74*0.64))/0.8)/1000</f>
        <v>#REF!</v>
      </c>
      <c r="J75" s="17" t="e">
        <f>-53.07 + (304.89 * (I75)) + (90.79 *Crescimento!#REF!) - (3.13 * Crescimento!#REF!*Crescimento!#REF!)</f>
        <v>#REF!</v>
      </c>
      <c r="L75" s="16" t="e">
        <f>(M74+(Crescimento!#REF!-(M74*0.64))/0.8)/1000</f>
        <v>#REF!</v>
      </c>
      <c r="M75" s="17" t="e">
        <f>-53.07 + (304.89 * (L75)) + (90.79 *Crescimento!#REF!) - (3.13 * Crescimento!#REF!*Crescimento!#REF!)</f>
        <v>#REF!</v>
      </c>
      <c r="O75" s="16" t="e">
        <f>(P74+(Crescimento!#REF!-(P74*0.64))/0.8)/1000</f>
        <v>#REF!</v>
      </c>
      <c r="P75" s="17" t="e">
        <f>-53.07 + (304.89 * (O75)) + (90.79 *Crescimento!#REF!) - (3.13 * Crescimento!#REF!*Crescimento!#REF!)</f>
        <v>#REF!</v>
      </c>
      <c r="R75" s="16" t="e">
        <f>(S74+(Crescimento!#REF!-(S74*0.64))/0.8)/1000</f>
        <v>#REF!</v>
      </c>
      <c r="S75" s="17" t="e">
        <f>-53.07 + (304.89 * (R75)) + (90.79 *Crescimento!#REF!) - (3.13 * Crescimento!#REF!*Crescimento!#REF!)</f>
        <v>#REF!</v>
      </c>
      <c r="U75" s="16" t="e">
        <f>(V74+(Crescimento!#REF!-(V74*0.64))/0.8)/1000</f>
        <v>#REF!</v>
      </c>
      <c r="V75" s="17" t="e">
        <f>-53.07 + (304.89 * (U75)) + (90.79 *Crescimento!#REF!) - (3.13 * Crescimento!#REF!*Crescimento!#REF!)</f>
        <v>#REF!</v>
      </c>
      <c r="X75" s="16" t="e">
        <f>(Y74+(Crescimento!#REF!-(Y74*0.64))/0.8)/1000</f>
        <v>#REF!</v>
      </c>
      <c r="Y75" s="17" t="e">
        <f>-53.07 + (304.89 * (X75)) + (90.79 *Crescimento!#REF!) - (3.13 * Crescimento!#REF!*Crescimento!#REF!)</f>
        <v>#REF!</v>
      </c>
      <c r="Z75" s="6"/>
      <c r="AA75" s="16" t="e">
        <f>(AB74+(Crescimento!#REF!-(AB74*0.64))/0.8)/1000</f>
        <v>#REF!</v>
      </c>
      <c r="AB75" s="17" t="e">
        <f>-53.07 + (304.89 * (AA75)) + (90.79 *Crescimento!#REF!) - (3.13 * Crescimento!#REF!*Crescimento!#REF!)</f>
        <v>#REF!</v>
      </c>
      <c r="AC75" s="6"/>
      <c r="AD75" s="16" t="e">
        <f>(AE74+(Crescimento!#REF!-(AE74*0.64))/0.8)/1000</f>
        <v>#REF!</v>
      </c>
      <c r="AE75" s="17" t="e">
        <f>-53.07 + (304.89 * (AD75)) + (90.79 *Crescimento!#REF!) - (3.13 * Crescimento!#REF!*Crescimento!#REF!)</f>
        <v>#REF!</v>
      </c>
      <c r="AF75" s="17"/>
      <c r="AG75" s="16" t="e">
        <f>(AH74+(Crescimento!#REF!-(AH74*0.64))/0.8)/1000</f>
        <v>#REF!</v>
      </c>
      <c r="AH75" s="17" t="e">
        <f>-53.07 + (304.89 * (AG75)) + (90.79 *Crescimento!#REF!) - (3.13 * Crescimento!#REF!*Crescimento!#REF!)</f>
        <v>#REF!</v>
      </c>
      <c r="AJ75" s="16" t="e">
        <f>(AK74+(Crescimento!#REF!-(AK74*0.64))/0.8)/1000</f>
        <v>#REF!</v>
      </c>
      <c r="AK75" s="17" t="e">
        <f>-53.07 + (304.89 * (AJ75)) + (90.79 *Crescimento!#REF!) - (3.13 * Crescimento!#REF!*Crescimento!#REF!)</f>
        <v>#REF!</v>
      </c>
      <c r="AM75" s="16" t="e">
        <f>(AN74+(Crescimento!#REF!-(AN74*0.64))/0.8)/1000</f>
        <v>#REF!</v>
      </c>
      <c r="AN75" s="17" t="e">
        <f>-53.07 + (304.89 * (AM75)) + (90.79 *Crescimento!#REF!) - (3.13 * Crescimento!#REF!*Crescimento!#REF!)</f>
        <v>#REF!</v>
      </c>
      <c r="AP75" s="16" t="e">
        <f>(AQ74+(Crescimento!#REF!-(AQ74*0.64))/0.8)/1000</f>
        <v>#REF!</v>
      </c>
      <c r="AQ75" s="17" t="e">
        <f>-53.07 + (304.89 * (AP75)) + (90.79 *Crescimento!#REF!) - (3.13 * Crescimento!#REF!*Crescimento!#REF!)</f>
        <v>#REF!</v>
      </c>
      <c r="AS75" s="16" t="e">
        <f>(AT74+(Crescimento!#REF!-(AT74*0.64))/0.8)/1000</f>
        <v>#REF!</v>
      </c>
      <c r="AT75" s="17" t="e">
        <f>-53.07 + (304.89 * (AS75)) + (90.79 *Crescimento!#REF!) - (3.13 * Crescimento!#REF!*Crescimento!#REF!)</f>
        <v>#REF!</v>
      </c>
      <c r="AV75" s="16" t="e">
        <f>(AW74+(Crescimento!#REF!-(AW74*0.64))/0.8)/1000</f>
        <v>#REF!</v>
      </c>
      <c r="AW75" s="17" t="e">
        <f>-53.07 + (304.89 * (AV75)) + (90.79 *Crescimento!#REF!) - (3.13 * Crescimento!#REF!*Crescimento!#REF!)</f>
        <v>#REF!</v>
      </c>
      <c r="AY75" s="21" t="e">
        <f>((AZ74+(Crescimento!#REF!-(AZ74*0.64))/0.8)/1000)-Crescimento!#REF!</f>
        <v>#REF!</v>
      </c>
      <c r="AZ75" s="22" t="e">
        <f>-53.07 + (304.89 * (AY75)) + (90.79 *(Crescimento!#REF!-Crescimento!#REF!)) - (3.13 * (Crescimento!#REF!-Crescimento!#REF!)^2)</f>
        <v>#REF!</v>
      </c>
      <c r="BA75" s="23"/>
      <c r="BB75" s="21" t="e">
        <f>((BC74+(Crescimento!#REF!-(BC74*0.64))/0.8)/1000)-Crescimento!#REF!</f>
        <v>#REF!</v>
      </c>
      <c r="BC75" s="22" t="e">
        <f>-53.07 + (304.89 * (BB75)) + (90.79 *(Crescimento!#REF!-Crescimento!#REF!)) - (3.13 * (Crescimento!#REF!-Crescimento!#REF!)^2)</f>
        <v>#REF!</v>
      </c>
      <c r="BD75" s="23"/>
      <c r="BE75" s="21" t="e">
        <f>((BF74+(Crescimento!#REF!-(BF74*0.64))/0.8)/1000)-Crescimento!#REF!</f>
        <v>#REF!</v>
      </c>
      <c r="BF75" s="22" t="e">
        <f>-53.07 + (304.89 * (BE75)) + (90.79 *(Crescimento!#REF!-Crescimento!#REF!)) - (3.13 * (Crescimento!#REF!-Crescimento!#REF!)^2)</f>
        <v>#REF!</v>
      </c>
      <c r="BG75" s="23"/>
      <c r="BH75" s="21" t="e">
        <f>((BI74+(Crescimento!#REF!-(BI74*0.64))/0.8)/1000)-Crescimento!#REF!</f>
        <v>#REF!</v>
      </c>
      <c r="BI75" s="22" t="e">
        <f>-53.07 + (304.89 * (BH75)) + (90.79 *(Crescimento!#REF!-Crescimento!#REF!)) - (3.13 * (Crescimento!#REF!-Crescimento!#REF!)^2)</f>
        <v>#REF!</v>
      </c>
      <c r="BJ75" s="23"/>
      <c r="BK75" s="21" t="e">
        <f>((BL74+(Crescimento!#REF!-(BL74*0.64))/0.8)/1000)-Crescimento!#REF!</f>
        <v>#REF!</v>
      </c>
      <c r="BL75" s="22" t="e">
        <f>-53.07 + (304.89 * (BK75)) + (90.79 *(Crescimento!#REF!-Crescimento!#REF!)) - (3.13 * (Crescimento!#REF!-Crescimento!#REF!)^2)</f>
        <v>#REF!</v>
      </c>
      <c r="BM75" s="23"/>
      <c r="BN75" s="21" t="e">
        <f>((BO74+(Crescimento!#REF!-(BO74*0.64))/0.8)/1000)-Crescimento!#REF!</f>
        <v>#REF!</v>
      </c>
      <c r="BO75" s="22" t="e">
        <f>-53.07 + (304.89 * (BN75)) + (90.79 *(Crescimento!#REF!-Crescimento!#REF!)) - (3.13 * (Crescimento!#REF!-Crescimento!#REF!)^2)</f>
        <v>#REF!</v>
      </c>
      <c r="BP75" s="23"/>
      <c r="BQ75" s="21" t="e">
        <f>((BR74+(Crescimento!#REF!-(BR74*0.64))/0.8)/1000)-Crescimento!#REF!</f>
        <v>#REF!</v>
      </c>
      <c r="BR75" s="22" t="e">
        <f>-53.07 + (304.89 * (BQ75)) + (90.79 *(Crescimento!#REF!-Crescimento!#REF!)) - (3.13 * (Crescimento!#REF!-Crescimento!#REF!)^2)</f>
        <v>#REF!</v>
      </c>
      <c r="BS75" s="23"/>
      <c r="BT75" s="21" t="e">
        <f>((BU74+(Crescimento!#REF!-(BU74*0.64))/0.8)/1000)-Crescimento!#REF!</f>
        <v>#REF!</v>
      </c>
      <c r="BU75" s="22" t="e">
        <f>-53.07 + (304.89 * (BT75)) + (90.79 *(Crescimento!#REF!-Crescimento!#REF!)) - (3.13 * (Crescimento!#REF!-Crescimento!#REF!)^2)</f>
        <v>#REF!</v>
      </c>
      <c r="BV75" s="23"/>
      <c r="BW75" s="21" t="e">
        <f>((BX74+(Crescimento!#REF!-(BX74*0.64))/0.8)/1000)-Crescimento!#REF!</f>
        <v>#REF!</v>
      </c>
      <c r="BX75" s="22" t="e">
        <f>-53.07 + (304.89 * (BW75)) + (90.79 *(Crescimento!#REF!-Crescimento!#REF!)) - (3.13 * (Crescimento!#REF!-Crescimento!#REF!)^2)</f>
        <v>#REF!</v>
      </c>
      <c r="BY75" s="23"/>
      <c r="BZ75" s="21" t="e">
        <f>((CA74+(Crescimento!#REF!-(CA74*0.64))/0.8)/1000)-Crescimento!#REF!</f>
        <v>#REF!</v>
      </c>
      <c r="CA75" s="22" t="e">
        <f>-53.07 + (304.89 * (BZ75)) + (90.79 *(Crescimento!#REF!-Crescimento!#REF!)) - (3.13 * (Crescimento!#REF!-Crescimento!#REF!)^2)</f>
        <v>#REF!</v>
      </c>
      <c r="CB75" s="23"/>
      <c r="CC75" s="21" t="e">
        <f>((CD74+(Crescimento!#REF!-(CD74*0.64))/0.8)/1000)-Crescimento!#REF!</f>
        <v>#REF!</v>
      </c>
      <c r="CD75" s="22" t="e">
        <f>-53.07 + (304.89 * (CC75)) + (90.79 *(Crescimento!#REF!-Crescimento!#REF!)) - (3.13 * (Crescimento!#REF!-Crescimento!#REF!)^2)</f>
        <v>#REF!</v>
      </c>
      <c r="CE75" s="23"/>
      <c r="CF75" s="21" t="e">
        <f>((CG74+(Crescimento!#REF!-(CG74*0.64))/0.8)/1000)-Crescimento!#REF!</f>
        <v>#REF!</v>
      </c>
      <c r="CG75" s="22" t="e">
        <f>-53.07 + (304.89 * (CF75)) + (90.79 *(Crescimento!#REF!-Crescimento!#REF!)) - (3.13 * (Crescimento!#REF!-Crescimento!#REF!)^2)</f>
        <v>#REF!</v>
      </c>
      <c r="CH75" s="23"/>
      <c r="CI75" s="21" t="e">
        <f>((CJ74+(Crescimento!#REF!-(CJ74*0.64))/0.8)/1000)-Crescimento!#REF!</f>
        <v>#REF!</v>
      </c>
      <c r="CJ75" s="22" t="e">
        <f>-53.07 + (304.89 * (CI75)) + (90.79 *(Crescimento!#REF!-Crescimento!#REF!)) - (3.13 * (Crescimento!#REF!-Crescimento!#REF!)^2)</f>
        <v>#REF!</v>
      </c>
      <c r="CK75" s="23"/>
      <c r="CL75" s="21" t="e">
        <f>((CM74+(Crescimento!#REF!-(CM74*0.64))/0.8)/1000)-Crescimento!#REF!</f>
        <v>#REF!</v>
      </c>
      <c r="CM75" s="22" t="e">
        <f>-53.07 + (304.89 * (CL75)) + (90.79 *(Crescimento!#REF!-Crescimento!#REF!)) - (3.13 * (Crescimento!#REF!-Crescimento!#REF!)^2)</f>
        <v>#REF!</v>
      </c>
      <c r="CN75" s="23"/>
      <c r="CO75" s="21" t="e">
        <f>((CP74+(Crescimento!#REF!-(CP74*0.64))/0.8)/1000)-Crescimento!#REF!</f>
        <v>#REF!</v>
      </c>
      <c r="CP75" s="22" t="e">
        <f>-53.07 + (304.89 * (CO75)) + (90.79 *(Crescimento!#REF!-Crescimento!#REF!)) - (3.13 * (Crescimento!#REF!-Crescimento!#REF!)^2)</f>
        <v>#REF!</v>
      </c>
      <c r="CQ75" s="23"/>
      <c r="CR75" s="21" t="e">
        <f>((CS74+(Crescimento!#REF!-(CS74*0.64))/0.8)/1000)-Crescimento!#REF!</f>
        <v>#REF!</v>
      </c>
      <c r="CS75" s="22" t="e">
        <f>-53.07 + (304.89 * (CR75)) + (90.79 *(Crescimento!#REF!-Crescimento!#REF!)) - (3.13 * (Crescimento!#REF!-Crescimento!#REF!)^2)</f>
        <v>#REF!</v>
      </c>
      <c r="CX75" s="16" t="e">
        <f>((CY74+(Crescimento!#REF!-(CY74*0.64))/0.8)/1000)-Crescimento!#REF!</f>
        <v>#REF!</v>
      </c>
      <c r="CY75" s="17" t="e">
        <f>-53.07 + (304.89 * (CX75)) + (90.79 *(Crescimento!#REF!-Crescimento!#REF!)) - (3.13 * (Crescimento!#REF!-Crescimento!#REF!)^2)</f>
        <v>#REF!</v>
      </c>
      <c r="DA75" s="16" t="e">
        <f>((DB74+(Crescimento!#REF!-(DB74*0.64))/0.8)/1000)-Crescimento!#REF!</f>
        <v>#REF!</v>
      </c>
      <c r="DB75" s="17" t="e">
        <f>-53.07 + (304.89 * (DA75)) + (90.79 *(Crescimento!#REF!-Crescimento!#REF!)) - (3.13 * (Crescimento!#REF!-Crescimento!#REF!)^2)</f>
        <v>#REF!</v>
      </c>
      <c r="DD75" s="16" t="e">
        <f>(DE74+(Crescimento!#REF!-(DE74*0.64))/0.8)/1000</f>
        <v>#REF!</v>
      </c>
      <c r="DE75" s="17" t="e">
        <f>-53.07 + (304.89 * (DD75)) + (90.79 *Crescimento!#REF!) - (3.13 * Crescimento!#REF!*Crescimento!#REF!)</f>
        <v>#REF!</v>
      </c>
      <c r="DG75" s="16" t="e">
        <f>((DH74+(Crescimento!#REF!-(DH74*0.64))/0.8)/1000)-Crescimento!#REF!</f>
        <v>#REF!</v>
      </c>
      <c r="DH75" s="17" t="e">
        <f>-53.07 + (304.89 * (DG75)) + (90.79 *(Crescimento!#REF!-Crescimento!#REF!)) - (3.13 * (Crescimento!#REF!-Crescimento!#REF!)^2)</f>
        <v>#REF!</v>
      </c>
      <c r="DJ75" s="16" t="e">
        <f>((DK74+(Crescimento!#REF!-(DK74*0.64))/0.8)/1000)-Crescimento!#REF!</f>
        <v>#REF!</v>
      </c>
      <c r="DK75" s="17" t="e">
        <f>-53.07 + (304.89 * (DJ75)) + (90.79 *(Crescimento!#REF!-Crescimento!#REF!)) - (3.13 * (Crescimento!#REF!-Crescimento!#REF!)^2)</f>
        <v>#REF!</v>
      </c>
      <c r="DM75" s="16" t="e">
        <f>((DN74+(Crescimento!#REF!-(DN74*0.64))/0.8)/1000)-Crescimento!#REF!</f>
        <v>#REF!</v>
      </c>
      <c r="DN75" s="17" t="e">
        <f>-53.07 + (304.89 * (DM75)) + (90.79 *(Crescimento!#REF!-Crescimento!#REF!)) - (3.13 * (Crescimento!#REF!-Crescimento!#REF!)^2)</f>
        <v>#REF!</v>
      </c>
      <c r="DP75" s="16" t="e">
        <f>(DQ74+(Crescimento!#REF!-(DQ74*0.64))/0.8)/1000</f>
        <v>#REF!</v>
      </c>
      <c r="DQ75" s="17" t="e">
        <f>-53.07 + (304.89 * (DP75)) + (90.79 *(Crescimento!#REF!-Crescimento!#REF!)) - (3.13 * (Crescimento!#REF!-Crescimento!#REF!)^2)</f>
        <v>#REF!</v>
      </c>
      <c r="DS75" s="16" t="e">
        <f>((DT74+(Crescimento!#REF!-(DT74*0.64))/0.8)/1000)-Crescimento!#REF!</f>
        <v>#REF!</v>
      </c>
      <c r="DT75" s="17" t="e">
        <f>-53.07 + (304.89 * (DS75)) + (90.79 *(Crescimento!#REF!-Crescimento!#REF!)) - (3.13 * (Crescimento!#REF!-Crescimento!#REF!)^2)</f>
        <v>#REF!</v>
      </c>
      <c r="DV75" s="16" t="e">
        <f>((DW74+(Crescimento!#REF!-(DW74*0.64))/0.8)/1000)-Crescimento!#REF!</f>
        <v>#REF!</v>
      </c>
      <c r="DW75" s="17" t="e">
        <f>-53.07 + (304.89 * (DV75)) + (90.79 *(Crescimento!#REF!-Crescimento!#REF!)) - (3.13 * (Crescimento!#REF!-Crescimento!#REF!)^2)</f>
        <v>#REF!</v>
      </c>
      <c r="DY75" s="16" t="e">
        <f>((DZ74+(Crescimento!#REF!-(DZ74*0.64))/0.8)/1000)-Crescimento!#REF!</f>
        <v>#REF!</v>
      </c>
      <c r="DZ75" s="17" t="e">
        <f>-53.07 + (304.89 * (DY75)) + (90.79 *(Crescimento!#REF!-Crescimento!#REF!)) - (3.13 * (Crescimento!#REF!-Crescimento!#REF!)^2)</f>
        <v>#REF!</v>
      </c>
      <c r="EB75" s="16" t="e">
        <f>((EC74+(Crescimento!#REF!-(EC74*0.64))/0.8)/1000)-Crescimento!#REF!</f>
        <v>#REF!</v>
      </c>
      <c r="EC75" s="17" t="e">
        <f>-53.07 + (304.89 * (EB75)) + (90.79 *(Crescimento!#REF!-Crescimento!#REF!)) - (3.13 * (Crescimento!#REF!-Crescimento!#REF!)^2)</f>
        <v>#REF!</v>
      </c>
      <c r="EE75" s="16" t="e">
        <f>((EF74+(Crescimento!#REF!-(EF74*0.64))/0.8)/1000)-Crescimento!#REF!</f>
        <v>#REF!</v>
      </c>
      <c r="EF75" s="17" t="e">
        <f>-53.07 + (304.89 * (EE75)) + (90.79 *(Crescimento!#REF!-Crescimento!#REF!)) - (3.13 * (Crescimento!#REF!-Crescimento!#REF!)^2)</f>
        <v>#REF!</v>
      </c>
      <c r="EH75" s="16" t="e">
        <f>((EI74+(Crescimento!#REF!-(EI74*0.64))/0.8)/1000)-Crescimento!#REF!</f>
        <v>#REF!</v>
      </c>
      <c r="EI75" s="17" t="e">
        <f>-53.07 + (304.89 * (EH75)) + (90.79 *(Crescimento!#REF!-Crescimento!#REF!)) - (3.13 * (Crescimento!#REF!-Crescimento!#REF!)^2)</f>
        <v>#REF!</v>
      </c>
      <c r="EK75" s="16" t="e">
        <f>((EL74+(Crescimento!#REF!-(EL74*0.64))/0.8)/1000)-Crescimento!#REF!</f>
        <v>#REF!</v>
      </c>
      <c r="EL75" s="17" t="e">
        <f>-53.07 + (304.89 * (EK75)) + (90.79 *(Crescimento!#REF!-Crescimento!#REF!)) - (3.13 * (Crescimento!#REF!-Crescimento!#REF!)^2)</f>
        <v>#REF!</v>
      </c>
      <c r="EN75" s="16" t="e">
        <f>((EO74+(Crescimento!#REF!-(EO74*0.64))/0.8)/1000)-Crescimento!#REF!</f>
        <v>#REF!</v>
      </c>
      <c r="EO75" s="17" t="e">
        <f>-53.07 + (304.89 * (EN75)) + (90.79 *(Crescimento!#REF!-Crescimento!#REF!)) - (3.13 * (Crescimento!#REF!-Crescimento!#REF!)^2)</f>
        <v>#REF!</v>
      </c>
      <c r="EQ75" s="16" t="e">
        <f>((ER74+(Crescimento!#REF!-(ER74*0.64))/0.8)/1000)-Crescimento!#REF!</f>
        <v>#REF!</v>
      </c>
      <c r="ER75" s="17" t="e">
        <f>-53.07 + (304.89 * (EQ75)) + (90.79 *(Crescimento!#REF!-Crescimento!#REF!)) - (3.13 * (Crescimento!#REF!-Crescimento!#REF!)^2)</f>
        <v>#REF!</v>
      </c>
      <c r="ET75" s="16" t="e">
        <f>((EU74+(Crescimento!#REF!-(EU74*0.64))/0.8)/1000)-Crescimento!#REF!</f>
        <v>#REF!</v>
      </c>
      <c r="EU75" s="17" t="e">
        <f>-53.07 + (304.89 * (ET75)) + (90.79 *(Crescimento!#REF!-Crescimento!#REF!)) - (3.13 * (Crescimento!#REF!-Crescimento!#REF!)^2)</f>
        <v>#REF!</v>
      </c>
      <c r="EW75" s="16" t="e">
        <f>((EX74+('Vacas e Bezerros'!#REF!-(EX74*0.64))/0.8)/1000)-'Vacas e Bezerros'!#REF!</f>
        <v>#REF!</v>
      </c>
      <c r="EX75" s="17" t="e">
        <f>-53.07 + (304.89 * (EW75)) + (90.79 *('Vacas e Bezerros'!#REF!-'Vacas e Bezerros'!#REF!)) - (3.13 * ('Vacas e Bezerros'!#REF!-'Vacas e Bezerros'!#REF!)^2)</f>
        <v>#REF!</v>
      </c>
      <c r="EZ75" s="16" t="e">
        <f>((FA74+('Vacas e Bezerros'!#REF!-(FA74*0.64))/0.8)/1000)-'Vacas e Bezerros'!#REF!</f>
        <v>#REF!</v>
      </c>
      <c r="FA75" s="17" t="e">
        <f>-53.07 + (304.89 * (EZ75)) + (90.79 *('Vacas e Bezerros'!#REF!-'Vacas e Bezerros'!#REF!)) - (3.13 * ('Vacas e Bezerros'!#REF!-'Vacas e Bezerros'!#REF!)^2)</f>
        <v>#REF!</v>
      </c>
      <c r="FC75" s="16" t="e">
        <f>((FD74+('Vacas e Bezerros'!#REF!-(FD74*0.64))/0.8)/1000)-'Vacas e Bezerros'!#REF!</f>
        <v>#REF!</v>
      </c>
      <c r="FD75" s="17" t="e">
        <f>-53.07 + (304.89 * (FC75)) + (90.79 *('Vacas e Bezerros'!#REF!-'Vacas e Bezerros'!#REF!)) - (3.13 * ('Vacas e Bezerros'!#REF!-'Vacas e Bezerros'!#REF!)^2)</f>
        <v>#REF!</v>
      </c>
      <c r="FF75" s="16" t="e">
        <f>((FG74+('Vacas e Bezerros'!#REF!-(FG74*0.64))/0.8)/1000)-'Vacas e Bezerros'!#REF!</f>
        <v>#REF!</v>
      </c>
      <c r="FG75" s="17" t="e">
        <f>-53.07 + (304.89 * (FF75)) + (90.79 *('Vacas e Bezerros'!#REF!-'Vacas e Bezerros'!#REF!)) - (3.13 * ('Vacas e Bezerros'!#REF!-'Vacas e Bezerros'!#REF!)^2)</f>
        <v>#REF!</v>
      </c>
      <c r="FI75" s="16" t="e">
        <f>((FJ74+('Vacas e Bezerros'!#REF!-(FJ74*0.64))/0.8)/1000)-'Vacas e Bezerros'!#REF!</f>
        <v>#REF!</v>
      </c>
      <c r="FJ75" s="17" t="e">
        <f>-53.07 + (304.89 * (FI75)) + (90.79 *('Vacas e Bezerros'!#REF!-'Vacas e Bezerros'!#REF!)) - (3.13 * ('Vacas e Bezerros'!#REF!-'Vacas e Bezerros'!#REF!)^2)</f>
        <v>#REF!</v>
      </c>
      <c r="FL75" s="16" t="e">
        <f>((FM74+('Vacas e Bezerros'!#REF!-(FM74*0.64))/0.8)/1000)-'Vacas e Bezerros'!#REF!</f>
        <v>#REF!</v>
      </c>
      <c r="FM75" s="17" t="e">
        <f>-53.07 + (304.89 * (FL75)) + (90.79 *('Vacas e Bezerros'!#REF!-'Vacas e Bezerros'!#REF!)) - (3.13 * ('Vacas e Bezerros'!#REF!-'Vacas e Bezerros'!#REF!)^2)</f>
        <v>#REF!</v>
      </c>
      <c r="FO75" s="16" t="e">
        <f>((FP74+('Vacas e Bezerros'!#REF!-(FP74*0.64))/0.8)/1000)-'Vacas e Bezerros'!#REF!</f>
        <v>#REF!</v>
      </c>
      <c r="FP75" s="17" t="e">
        <f>-53.07 + (304.89 * (FO75)) + (90.79 *('Vacas e Bezerros'!#REF!-'Vacas e Bezerros'!#REF!)) - (3.13 * ('Vacas e Bezerros'!#REF!-'Vacas e Bezerros'!#REF!)^2)</f>
        <v>#REF!</v>
      </c>
      <c r="FR75" s="16" t="e">
        <f>((FS74+('Vacas e Bezerros'!#REF!-(FS74*0.64))/0.8)/1000)-'Vacas e Bezerros'!#REF!</f>
        <v>#REF!</v>
      </c>
      <c r="FS75" s="17" t="e">
        <f>-53.07 + (304.89 * (FR75)) + (90.79 *('Vacas e Bezerros'!#REF!-'Vacas e Bezerros'!#REF!)) - (3.13 * ('Vacas e Bezerros'!#REF!-'Vacas e Bezerros'!#REF!)^2)</f>
        <v>#REF!</v>
      </c>
      <c r="FU75" s="16" t="e">
        <f>((FV74+('Vacas e Bezerros'!#REF!-(FV74*0.64))/0.8)/1000)-'Vacas e Bezerros'!#REF!</f>
        <v>#REF!</v>
      </c>
      <c r="FV75" s="17" t="e">
        <f>-53.07 + (304.89 * (FU75)) + (90.79 *('Vacas e Bezerros'!#REF!-'Vacas e Bezerros'!#REF!)) - (3.13 * ('Vacas e Bezerros'!#REF!-'Vacas e Bezerros'!#REF!)^2)</f>
        <v>#REF!</v>
      </c>
      <c r="FX75" s="16" t="e">
        <f>((FY74+('Vacas e Bezerros'!#REF!-(FY74*0.64))/0.8)/1000)-'Vacas e Bezerros'!#REF!</f>
        <v>#REF!</v>
      </c>
      <c r="FY75" s="17" t="e">
        <f>-53.07 + (304.89 * (FX75)) + (90.79 *('Vacas e Bezerros'!#REF!-'Vacas e Bezerros'!#REF!)) - (3.13 * ('Vacas e Bezerros'!#REF!-'Vacas e Bezerros'!#REF!)^2)</f>
        <v>#REF!</v>
      </c>
      <c r="GA75" s="16" t="e">
        <f>((GB74+('Vacas e Bezerros'!#REF!-(GB74*0.64))/0.8)/1000)-'Vacas e Bezerros'!#REF!</f>
        <v>#REF!</v>
      </c>
      <c r="GB75" s="17" t="e">
        <f>-53.07 + (304.89 * (GA75)) + (90.79 *('Vacas e Bezerros'!#REF!-'Vacas e Bezerros'!#REF!)) - (3.13 * ('Vacas e Bezerros'!#REF!-'Vacas e Bezerros'!#REF!)^2)</f>
        <v>#REF!</v>
      </c>
      <c r="GD75" s="16" t="e">
        <f>((GE74+('Vacas e Bezerros'!#REF!-(GE74*0.64))/0.8)/1000)-'Vacas e Bezerros'!#REF!</f>
        <v>#REF!</v>
      </c>
      <c r="GE75" s="17" t="e">
        <f>-53.07 + (304.89 * (GD75)) + (90.79 *('Vacas e Bezerros'!#REF!-'Vacas e Bezerros'!#REF!)) - (3.13 * ('Vacas e Bezerros'!#REF!-'Vacas e Bezerros'!#REF!)^2)</f>
        <v>#REF!</v>
      </c>
      <c r="GG75" s="16" t="e">
        <f>((GH74+('Vacas e Bezerros'!#REF!-(GH74*0.64))/0.8)/1000)-'Vacas e Bezerros'!#REF!</f>
        <v>#REF!</v>
      </c>
      <c r="GH75" s="17" t="e">
        <f>-53.07 + (304.89 * (GG75)) + (90.79 *('Vacas e Bezerros'!#REF!-'Vacas e Bezerros'!#REF!)) - (3.13 * ('Vacas e Bezerros'!#REF!-'Vacas e Bezerros'!#REF!)^2)</f>
        <v>#REF!</v>
      </c>
      <c r="GJ75" s="16" t="e">
        <f>((GK74+('Vacas e Bezerros'!#REF!-(GK74*0.64))/0.8)/1000)-'Vacas e Bezerros'!#REF!</f>
        <v>#REF!</v>
      </c>
      <c r="GK75" s="17" t="e">
        <f>-53.07 + (304.89 * (GJ75)) + (90.79 *('Vacas e Bezerros'!#REF!-'Vacas e Bezerros'!#REF!)) - (3.13 * ('Vacas e Bezerros'!#REF!-'Vacas e Bezerros'!#REF!)^2)</f>
        <v>#REF!</v>
      </c>
      <c r="GM75" s="16" t="e">
        <f>((GN74+('Vacas e Bezerros'!#REF!-(GN74*0.64))/0.8)/1000)-'Vacas e Bezerros'!#REF!</f>
        <v>#REF!</v>
      </c>
      <c r="GN75" s="17" t="e">
        <f>-53.07 + (304.89 * (GM75)) + (90.79 *('Vacas e Bezerros'!#REF!-'Vacas e Bezerros'!#REF!)) - (3.13 * ('Vacas e Bezerros'!#REF!-'Vacas e Bezerros'!#REF!)^2)</f>
        <v>#REF!</v>
      </c>
    </row>
    <row r="76" spans="3:196" x14ac:dyDescent="0.25">
      <c r="C76" s="16">
        <f>(D75+('Vacas e Bezerros'!$AA$28-(D75*0.64))/0.8)/1000</f>
        <v>0.35719668016155687</v>
      </c>
      <c r="D76" s="17">
        <f>-53.07 + (304.89 * (C76-'Vacas e Bezerros'!$C$206)) + (90.79 *('Vacas e Bezerros'!$AA$22)) - (3.13 *('Vacas e Bezerros'!$AA$22)^2)</f>
        <v>165.01876457544017</v>
      </c>
      <c r="F76" s="16" t="e">
        <f>(G75+(Crescimento!#REF!-(G75*0.64))/0.8)/1000</f>
        <v>#REF!</v>
      </c>
      <c r="G76" s="17" t="e">
        <f>-53.07 + (304.89 * (F76)) + (90.79 *Crescimento!#REF!) - (3.13 * Crescimento!#REF!*Crescimento!#REF!)</f>
        <v>#REF!</v>
      </c>
      <c r="H76" s="1"/>
      <c r="I76" s="16" t="e">
        <f>(J75+(Crescimento!#REF!-(J75*0.64))/0.8)/1000</f>
        <v>#REF!</v>
      </c>
      <c r="J76" s="17" t="e">
        <f>-53.07 + (304.89 * (I76)) + (90.79 *Crescimento!#REF!) - (3.13 * Crescimento!#REF!*Crescimento!#REF!)</f>
        <v>#REF!</v>
      </c>
      <c r="L76" s="16" t="e">
        <f>(M75+(Crescimento!#REF!-(M75*0.64))/0.8)/1000</f>
        <v>#REF!</v>
      </c>
      <c r="M76" s="17" t="e">
        <f>-53.07 + (304.89 * (L76)) + (90.79 *Crescimento!#REF!) - (3.13 * Crescimento!#REF!*Crescimento!#REF!)</f>
        <v>#REF!</v>
      </c>
      <c r="O76" s="16" t="e">
        <f>(P75+(Crescimento!#REF!-(P75*0.64))/0.8)/1000</f>
        <v>#REF!</v>
      </c>
      <c r="P76" s="17" t="e">
        <f>-53.07 + (304.89 * (O76)) + (90.79 *Crescimento!#REF!) - (3.13 * Crescimento!#REF!*Crescimento!#REF!)</f>
        <v>#REF!</v>
      </c>
      <c r="R76" s="16" t="e">
        <f>(S75+(Crescimento!#REF!-(S75*0.64))/0.8)/1000</f>
        <v>#REF!</v>
      </c>
      <c r="S76" s="17" t="e">
        <f>-53.07 + (304.89 * (R76)) + (90.79 *Crescimento!#REF!) - (3.13 * Crescimento!#REF!*Crescimento!#REF!)</f>
        <v>#REF!</v>
      </c>
      <c r="U76" s="16" t="e">
        <f>(V75+(Crescimento!#REF!-(V75*0.64))/0.8)/1000</f>
        <v>#REF!</v>
      </c>
      <c r="V76" s="17" t="e">
        <f>-53.07 + (304.89 * (U76)) + (90.79 *Crescimento!#REF!) - (3.13 * Crescimento!#REF!*Crescimento!#REF!)</f>
        <v>#REF!</v>
      </c>
      <c r="X76" s="16" t="e">
        <f>(Y75+(Crescimento!#REF!-(Y75*0.64))/0.8)/1000</f>
        <v>#REF!</v>
      </c>
      <c r="Y76" s="17" t="e">
        <f>-53.07 + (304.89 * (X76)) + (90.79 *Crescimento!#REF!) - (3.13 * Crescimento!#REF!*Crescimento!#REF!)</f>
        <v>#REF!</v>
      </c>
      <c r="Z76" s="6"/>
      <c r="AA76" s="16" t="e">
        <f>(AB75+(Crescimento!#REF!-(AB75*0.64))/0.8)/1000</f>
        <v>#REF!</v>
      </c>
      <c r="AB76" s="17" t="e">
        <f>-53.07 + (304.89 * (AA76)) + (90.79 *Crescimento!#REF!) - (3.13 * Crescimento!#REF!*Crescimento!#REF!)</f>
        <v>#REF!</v>
      </c>
      <c r="AC76" s="6"/>
      <c r="AD76" s="16" t="e">
        <f>(AE75+(Crescimento!#REF!-(AE75*0.64))/0.8)/1000</f>
        <v>#REF!</v>
      </c>
      <c r="AE76" s="17" t="e">
        <f>-53.07 + (304.89 * (AD76)) + (90.79 *Crescimento!#REF!) - (3.13 * Crescimento!#REF!*Crescimento!#REF!)</f>
        <v>#REF!</v>
      </c>
      <c r="AF76" s="17"/>
      <c r="AG76" s="16" t="e">
        <f>(AH75+(Crescimento!#REF!-(AH75*0.64))/0.8)/1000</f>
        <v>#REF!</v>
      </c>
      <c r="AH76" s="17" t="e">
        <f>-53.07 + (304.89 * (AG76)) + (90.79 *Crescimento!#REF!) - (3.13 * Crescimento!#REF!*Crescimento!#REF!)</f>
        <v>#REF!</v>
      </c>
      <c r="AJ76" s="16" t="e">
        <f>(AK75+(Crescimento!#REF!-(AK75*0.64))/0.8)/1000</f>
        <v>#REF!</v>
      </c>
      <c r="AK76" s="17" t="e">
        <f>-53.07 + (304.89 * (AJ76)) + (90.79 *Crescimento!#REF!) - (3.13 * Crescimento!#REF!*Crescimento!#REF!)</f>
        <v>#REF!</v>
      </c>
      <c r="AM76" s="16" t="e">
        <f>(AN75+(Crescimento!#REF!-(AN75*0.64))/0.8)/1000</f>
        <v>#REF!</v>
      </c>
      <c r="AN76" s="17" t="e">
        <f>-53.07 + (304.89 * (AM76)) + (90.79 *Crescimento!#REF!) - (3.13 * Crescimento!#REF!*Crescimento!#REF!)</f>
        <v>#REF!</v>
      </c>
      <c r="AP76" s="16" t="e">
        <f>(AQ75+(Crescimento!#REF!-(AQ75*0.64))/0.8)/1000</f>
        <v>#REF!</v>
      </c>
      <c r="AQ76" s="17" t="e">
        <f>-53.07 + (304.89 * (AP76)) + (90.79 *Crescimento!#REF!) - (3.13 * Crescimento!#REF!*Crescimento!#REF!)</f>
        <v>#REF!</v>
      </c>
      <c r="AS76" s="16" t="e">
        <f>(AT75+(Crescimento!#REF!-(AT75*0.64))/0.8)/1000</f>
        <v>#REF!</v>
      </c>
      <c r="AT76" s="17" t="e">
        <f>-53.07 + (304.89 * (AS76)) + (90.79 *Crescimento!#REF!) - (3.13 * Crescimento!#REF!*Crescimento!#REF!)</f>
        <v>#REF!</v>
      </c>
      <c r="AV76" s="16" t="e">
        <f>(AW75+(Crescimento!#REF!-(AW75*0.64))/0.8)/1000</f>
        <v>#REF!</v>
      </c>
      <c r="AW76" s="17" t="e">
        <f>-53.07 + (304.89 * (AV76)) + (90.79 *Crescimento!#REF!) - (3.13 * Crescimento!#REF!*Crescimento!#REF!)</f>
        <v>#REF!</v>
      </c>
      <c r="AY76" s="21" t="e">
        <f>((AZ75+(Crescimento!#REF!-(AZ75*0.64))/0.8)/1000)-Crescimento!#REF!</f>
        <v>#REF!</v>
      </c>
      <c r="AZ76" s="22" t="e">
        <f>-53.07 + (304.89 * (AY76)) + (90.79 *(Crescimento!#REF!-Crescimento!#REF!)) - (3.13 * (Crescimento!#REF!-Crescimento!#REF!)^2)</f>
        <v>#REF!</v>
      </c>
      <c r="BA76" s="23"/>
      <c r="BB76" s="21" t="e">
        <f>((BC75+(Crescimento!#REF!-(BC75*0.64))/0.8)/1000)-Crescimento!#REF!</f>
        <v>#REF!</v>
      </c>
      <c r="BC76" s="22" t="e">
        <f>-53.07 + (304.89 * (BB76)) + (90.79 *(Crescimento!#REF!-Crescimento!#REF!)) - (3.13 * (Crescimento!#REF!-Crescimento!#REF!)^2)</f>
        <v>#REF!</v>
      </c>
      <c r="BD76" s="23"/>
      <c r="BE76" s="21" t="e">
        <f>((BF75+(Crescimento!#REF!-(BF75*0.64))/0.8)/1000)-Crescimento!#REF!</f>
        <v>#REF!</v>
      </c>
      <c r="BF76" s="22" t="e">
        <f>-53.07 + (304.89 * (BE76)) + (90.79 *(Crescimento!#REF!-Crescimento!#REF!)) - (3.13 * (Crescimento!#REF!-Crescimento!#REF!)^2)</f>
        <v>#REF!</v>
      </c>
      <c r="BG76" s="23"/>
      <c r="BH76" s="21" t="e">
        <f>((BI75+(Crescimento!#REF!-(BI75*0.64))/0.8)/1000)-Crescimento!#REF!</f>
        <v>#REF!</v>
      </c>
      <c r="BI76" s="22" t="e">
        <f>-53.07 + (304.89 * (BH76)) + (90.79 *(Crescimento!#REF!-Crescimento!#REF!)) - (3.13 * (Crescimento!#REF!-Crescimento!#REF!)^2)</f>
        <v>#REF!</v>
      </c>
      <c r="BJ76" s="23"/>
      <c r="BK76" s="21" t="e">
        <f>((BL75+(Crescimento!#REF!-(BL75*0.64))/0.8)/1000)-Crescimento!#REF!</f>
        <v>#REF!</v>
      </c>
      <c r="BL76" s="22" t="e">
        <f>-53.07 + (304.89 * (BK76)) + (90.79 *(Crescimento!#REF!-Crescimento!#REF!)) - (3.13 * (Crescimento!#REF!-Crescimento!#REF!)^2)</f>
        <v>#REF!</v>
      </c>
      <c r="BM76" s="23"/>
      <c r="BN76" s="21" t="e">
        <f>((BO75+(Crescimento!#REF!-(BO75*0.64))/0.8)/1000)-Crescimento!#REF!</f>
        <v>#REF!</v>
      </c>
      <c r="BO76" s="22" t="e">
        <f>-53.07 + (304.89 * (BN76)) + (90.79 *(Crescimento!#REF!-Crescimento!#REF!)) - (3.13 * (Crescimento!#REF!-Crescimento!#REF!)^2)</f>
        <v>#REF!</v>
      </c>
      <c r="BP76" s="23"/>
      <c r="BQ76" s="21" t="e">
        <f>((BR75+(Crescimento!#REF!-(BR75*0.64))/0.8)/1000)-Crescimento!#REF!</f>
        <v>#REF!</v>
      </c>
      <c r="BR76" s="22" t="e">
        <f>-53.07 + (304.89 * (BQ76)) + (90.79 *(Crescimento!#REF!-Crescimento!#REF!)) - (3.13 * (Crescimento!#REF!-Crescimento!#REF!)^2)</f>
        <v>#REF!</v>
      </c>
      <c r="BS76" s="23"/>
      <c r="BT76" s="21" t="e">
        <f>((BU75+(Crescimento!#REF!-(BU75*0.64))/0.8)/1000)-Crescimento!#REF!</f>
        <v>#REF!</v>
      </c>
      <c r="BU76" s="22" t="e">
        <f>-53.07 + (304.89 * (BT76)) + (90.79 *(Crescimento!#REF!-Crescimento!#REF!)) - (3.13 * (Crescimento!#REF!-Crescimento!#REF!)^2)</f>
        <v>#REF!</v>
      </c>
      <c r="BV76" s="23"/>
      <c r="BW76" s="21" t="e">
        <f>((BX75+(Crescimento!#REF!-(BX75*0.64))/0.8)/1000)-Crescimento!#REF!</f>
        <v>#REF!</v>
      </c>
      <c r="BX76" s="22" t="e">
        <f>-53.07 + (304.89 * (BW76)) + (90.79 *(Crescimento!#REF!-Crescimento!#REF!)) - (3.13 * (Crescimento!#REF!-Crescimento!#REF!)^2)</f>
        <v>#REF!</v>
      </c>
      <c r="BY76" s="23"/>
      <c r="BZ76" s="21" t="e">
        <f>((CA75+(Crescimento!#REF!-(CA75*0.64))/0.8)/1000)-Crescimento!#REF!</f>
        <v>#REF!</v>
      </c>
      <c r="CA76" s="22" t="e">
        <f>-53.07 + (304.89 * (BZ76)) + (90.79 *(Crescimento!#REF!-Crescimento!#REF!)) - (3.13 * (Crescimento!#REF!-Crescimento!#REF!)^2)</f>
        <v>#REF!</v>
      </c>
      <c r="CB76" s="23"/>
      <c r="CC76" s="21" t="e">
        <f>((CD75+(Crescimento!#REF!-(CD75*0.64))/0.8)/1000)-Crescimento!#REF!</f>
        <v>#REF!</v>
      </c>
      <c r="CD76" s="22" t="e">
        <f>-53.07 + (304.89 * (CC76)) + (90.79 *(Crescimento!#REF!-Crescimento!#REF!)) - (3.13 * (Crescimento!#REF!-Crescimento!#REF!)^2)</f>
        <v>#REF!</v>
      </c>
      <c r="CE76" s="23"/>
      <c r="CF76" s="21" t="e">
        <f>((CG75+(Crescimento!#REF!-(CG75*0.64))/0.8)/1000)-Crescimento!#REF!</f>
        <v>#REF!</v>
      </c>
      <c r="CG76" s="22" t="e">
        <f>-53.07 + (304.89 * (CF76)) + (90.79 *(Crescimento!#REF!-Crescimento!#REF!)) - (3.13 * (Crescimento!#REF!-Crescimento!#REF!)^2)</f>
        <v>#REF!</v>
      </c>
      <c r="CH76" s="23"/>
      <c r="CI76" s="21" t="e">
        <f>((CJ75+(Crescimento!#REF!-(CJ75*0.64))/0.8)/1000)-Crescimento!#REF!</f>
        <v>#REF!</v>
      </c>
      <c r="CJ76" s="22" t="e">
        <f>-53.07 + (304.89 * (CI76)) + (90.79 *(Crescimento!#REF!-Crescimento!#REF!)) - (3.13 * (Crescimento!#REF!-Crescimento!#REF!)^2)</f>
        <v>#REF!</v>
      </c>
      <c r="CK76" s="23"/>
      <c r="CL76" s="21" t="e">
        <f>((CM75+(Crescimento!#REF!-(CM75*0.64))/0.8)/1000)-Crescimento!#REF!</f>
        <v>#REF!</v>
      </c>
      <c r="CM76" s="22" t="e">
        <f>-53.07 + (304.89 * (CL76)) + (90.79 *(Crescimento!#REF!-Crescimento!#REF!)) - (3.13 * (Crescimento!#REF!-Crescimento!#REF!)^2)</f>
        <v>#REF!</v>
      </c>
      <c r="CN76" s="23"/>
      <c r="CO76" s="21" t="e">
        <f>((CP75+(Crescimento!#REF!-(CP75*0.64))/0.8)/1000)-Crescimento!#REF!</f>
        <v>#REF!</v>
      </c>
      <c r="CP76" s="22" t="e">
        <f>-53.07 + (304.89 * (CO76)) + (90.79 *(Crescimento!#REF!-Crescimento!#REF!)) - (3.13 * (Crescimento!#REF!-Crescimento!#REF!)^2)</f>
        <v>#REF!</v>
      </c>
      <c r="CQ76" s="23"/>
      <c r="CR76" s="21" t="e">
        <f>((CS75+(Crescimento!#REF!-(CS75*0.64))/0.8)/1000)-Crescimento!#REF!</f>
        <v>#REF!</v>
      </c>
      <c r="CS76" s="22" t="e">
        <f>-53.07 + (304.89 * (CR76)) + (90.79 *(Crescimento!#REF!-Crescimento!#REF!)) - (3.13 * (Crescimento!#REF!-Crescimento!#REF!)^2)</f>
        <v>#REF!</v>
      </c>
      <c r="CX76" s="16" t="e">
        <f>((CY75+(Crescimento!#REF!-(CY75*0.64))/0.8)/1000)-Crescimento!#REF!</f>
        <v>#REF!</v>
      </c>
      <c r="CY76" s="17" t="e">
        <f>-53.07 + (304.89 * (CX76)) + (90.79 *(Crescimento!#REF!-Crescimento!#REF!)) - (3.13 * (Crescimento!#REF!-Crescimento!#REF!)^2)</f>
        <v>#REF!</v>
      </c>
      <c r="DA76" s="16" t="e">
        <f>((DB75+(Crescimento!#REF!-(DB75*0.64))/0.8)/1000)-Crescimento!#REF!</f>
        <v>#REF!</v>
      </c>
      <c r="DB76" s="17" t="e">
        <f>-53.07 + (304.89 * (DA76)) + (90.79 *(Crescimento!#REF!-Crescimento!#REF!)) - (3.13 * (Crescimento!#REF!-Crescimento!#REF!)^2)</f>
        <v>#REF!</v>
      </c>
      <c r="DD76" s="16" t="e">
        <f>(DE75+(Crescimento!#REF!-(DE75*0.64))/0.8)/1000</f>
        <v>#REF!</v>
      </c>
      <c r="DE76" s="17" t="e">
        <f>-53.07 + (304.89 * (DD76)) + (90.79 *Crescimento!#REF!) - (3.13 * Crescimento!#REF!*Crescimento!#REF!)</f>
        <v>#REF!</v>
      </c>
      <c r="DG76" s="16" t="e">
        <f>((DH75+(Crescimento!#REF!-(DH75*0.64))/0.8)/1000)-Crescimento!#REF!</f>
        <v>#REF!</v>
      </c>
      <c r="DH76" s="17" t="e">
        <f>-53.07 + (304.89 * (DG76)) + (90.79 *(Crescimento!#REF!-Crescimento!#REF!)) - (3.13 * (Crescimento!#REF!-Crescimento!#REF!)^2)</f>
        <v>#REF!</v>
      </c>
      <c r="DJ76" s="16" t="e">
        <f>((DK75+(Crescimento!#REF!-(DK75*0.64))/0.8)/1000)-Crescimento!#REF!</f>
        <v>#REF!</v>
      </c>
      <c r="DK76" s="17" t="e">
        <f>-53.07 + (304.89 * (DJ76)) + (90.79 *(Crescimento!#REF!-Crescimento!#REF!)) - (3.13 * (Crescimento!#REF!-Crescimento!#REF!)^2)</f>
        <v>#REF!</v>
      </c>
      <c r="DM76" s="16" t="e">
        <f>((DN75+(Crescimento!#REF!-(DN75*0.64))/0.8)/1000)-Crescimento!#REF!</f>
        <v>#REF!</v>
      </c>
      <c r="DN76" s="17" t="e">
        <f>-53.07 + (304.89 * (DM76)) + (90.79 *(Crescimento!#REF!-Crescimento!#REF!)) - (3.13 * (Crescimento!#REF!-Crescimento!#REF!)^2)</f>
        <v>#REF!</v>
      </c>
      <c r="DP76" s="16" t="e">
        <f>(DQ75+(Crescimento!#REF!-(DQ75*0.64))/0.8)/1000</f>
        <v>#REF!</v>
      </c>
      <c r="DQ76" s="17" t="e">
        <f>-53.07 + (304.89 * (DP76)) + (90.79 *(Crescimento!#REF!-Crescimento!#REF!)) - (3.13 * (Crescimento!#REF!-Crescimento!#REF!)^2)</f>
        <v>#REF!</v>
      </c>
      <c r="DS76" s="16" t="e">
        <f>((DT75+(Crescimento!#REF!-(DT75*0.64))/0.8)/1000)-Crescimento!#REF!</f>
        <v>#REF!</v>
      </c>
      <c r="DT76" s="17" t="e">
        <f>-53.07 + (304.89 * (DS76)) + (90.79 *(Crescimento!#REF!-Crescimento!#REF!)) - (3.13 * (Crescimento!#REF!-Crescimento!#REF!)^2)</f>
        <v>#REF!</v>
      </c>
      <c r="DV76" s="16" t="e">
        <f>((DW75+(Crescimento!#REF!-(DW75*0.64))/0.8)/1000)-Crescimento!#REF!</f>
        <v>#REF!</v>
      </c>
      <c r="DW76" s="17" t="e">
        <f>-53.07 + (304.89 * (DV76)) + (90.79 *(Crescimento!#REF!-Crescimento!#REF!)) - (3.13 * (Crescimento!#REF!-Crescimento!#REF!)^2)</f>
        <v>#REF!</v>
      </c>
      <c r="DY76" s="16" t="e">
        <f>((DZ75+(Crescimento!#REF!-(DZ75*0.64))/0.8)/1000)-Crescimento!#REF!</f>
        <v>#REF!</v>
      </c>
      <c r="DZ76" s="17" t="e">
        <f>-53.07 + (304.89 * (DY76)) + (90.79 *(Crescimento!#REF!-Crescimento!#REF!)) - (3.13 * (Crescimento!#REF!-Crescimento!#REF!)^2)</f>
        <v>#REF!</v>
      </c>
      <c r="EB76" s="16" t="e">
        <f>((EC75+(Crescimento!#REF!-(EC75*0.64))/0.8)/1000)-Crescimento!#REF!</f>
        <v>#REF!</v>
      </c>
      <c r="EC76" s="17" t="e">
        <f>-53.07 + (304.89 * (EB76)) + (90.79 *(Crescimento!#REF!-Crescimento!#REF!)) - (3.13 * (Crescimento!#REF!-Crescimento!#REF!)^2)</f>
        <v>#REF!</v>
      </c>
      <c r="EE76" s="16" t="e">
        <f>((EF75+(Crescimento!#REF!-(EF75*0.64))/0.8)/1000)-Crescimento!#REF!</f>
        <v>#REF!</v>
      </c>
      <c r="EF76" s="17" t="e">
        <f>-53.07 + (304.89 * (EE76)) + (90.79 *(Crescimento!#REF!-Crescimento!#REF!)) - (3.13 * (Crescimento!#REF!-Crescimento!#REF!)^2)</f>
        <v>#REF!</v>
      </c>
      <c r="EH76" s="16" t="e">
        <f>((EI75+(Crescimento!#REF!-(EI75*0.64))/0.8)/1000)-Crescimento!#REF!</f>
        <v>#REF!</v>
      </c>
      <c r="EI76" s="17" t="e">
        <f>-53.07 + (304.89 * (EH76)) + (90.79 *(Crescimento!#REF!-Crescimento!#REF!)) - (3.13 * (Crescimento!#REF!-Crescimento!#REF!)^2)</f>
        <v>#REF!</v>
      </c>
      <c r="EK76" s="16" t="e">
        <f>((EL75+(Crescimento!#REF!-(EL75*0.64))/0.8)/1000)-Crescimento!#REF!</f>
        <v>#REF!</v>
      </c>
      <c r="EL76" s="17" t="e">
        <f>-53.07 + (304.89 * (EK76)) + (90.79 *(Crescimento!#REF!-Crescimento!#REF!)) - (3.13 * (Crescimento!#REF!-Crescimento!#REF!)^2)</f>
        <v>#REF!</v>
      </c>
      <c r="EN76" s="16" t="e">
        <f>((EO75+(Crescimento!#REF!-(EO75*0.64))/0.8)/1000)-Crescimento!#REF!</f>
        <v>#REF!</v>
      </c>
      <c r="EO76" s="17" t="e">
        <f>-53.07 + (304.89 * (EN76)) + (90.79 *(Crescimento!#REF!-Crescimento!#REF!)) - (3.13 * (Crescimento!#REF!-Crescimento!#REF!)^2)</f>
        <v>#REF!</v>
      </c>
      <c r="EQ76" s="16" t="e">
        <f>((ER75+(Crescimento!#REF!-(ER75*0.64))/0.8)/1000)-Crescimento!#REF!</f>
        <v>#REF!</v>
      </c>
      <c r="ER76" s="17" t="e">
        <f>-53.07 + (304.89 * (EQ76)) + (90.79 *(Crescimento!#REF!-Crescimento!#REF!)) - (3.13 * (Crescimento!#REF!-Crescimento!#REF!)^2)</f>
        <v>#REF!</v>
      </c>
      <c r="ET76" s="16" t="e">
        <f>((EU75+(Crescimento!#REF!-(EU75*0.64))/0.8)/1000)-Crescimento!#REF!</f>
        <v>#REF!</v>
      </c>
      <c r="EU76" s="17" t="e">
        <f>-53.07 + (304.89 * (ET76)) + (90.79 *(Crescimento!#REF!-Crescimento!#REF!)) - (3.13 * (Crescimento!#REF!-Crescimento!#REF!)^2)</f>
        <v>#REF!</v>
      </c>
      <c r="EW76" s="16" t="e">
        <f>((EX75+('Vacas e Bezerros'!#REF!-(EX75*0.64))/0.8)/1000)-'Vacas e Bezerros'!#REF!</f>
        <v>#REF!</v>
      </c>
      <c r="EX76" s="17" t="e">
        <f>-53.07 + (304.89 * (EW76)) + (90.79 *('Vacas e Bezerros'!#REF!-'Vacas e Bezerros'!#REF!)) - (3.13 * ('Vacas e Bezerros'!#REF!-'Vacas e Bezerros'!#REF!)^2)</f>
        <v>#REF!</v>
      </c>
      <c r="EZ76" s="16" t="e">
        <f>((FA75+('Vacas e Bezerros'!#REF!-(FA75*0.64))/0.8)/1000)-'Vacas e Bezerros'!#REF!</f>
        <v>#REF!</v>
      </c>
      <c r="FA76" s="17" t="e">
        <f>-53.07 + (304.89 * (EZ76)) + (90.79 *('Vacas e Bezerros'!#REF!-'Vacas e Bezerros'!#REF!)) - (3.13 * ('Vacas e Bezerros'!#REF!-'Vacas e Bezerros'!#REF!)^2)</f>
        <v>#REF!</v>
      </c>
      <c r="FC76" s="16" t="e">
        <f>((FD75+('Vacas e Bezerros'!#REF!-(FD75*0.64))/0.8)/1000)-'Vacas e Bezerros'!#REF!</f>
        <v>#REF!</v>
      </c>
      <c r="FD76" s="17" t="e">
        <f>-53.07 + (304.89 * (FC76)) + (90.79 *('Vacas e Bezerros'!#REF!-'Vacas e Bezerros'!#REF!)) - (3.13 * ('Vacas e Bezerros'!#REF!-'Vacas e Bezerros'!#REF!)^2)</f>
        <v>#REF!</v>
      </c>
      <c r="FF76" s="16" t="e">
        <f>((FG75+('Vacas e Bezerros'!#REF!-(FG75*0.64))/0.8)/1000)-'Vacas e Bezerros'!#REF!</f>
        <v>#REF!</v>
      </c>
      <c r="FG76" s="17" t="e">
        <f>-53.07 + (304.89 * (FF76)) + (90.79 *('Vacas e Bezerros'!#REF!-'Vacas e Bezerros'!#REF!)) - (3.13 * ('Vacas e Bezerros'!#REF!-'Vacas e Bezerros'!#REF!)^2)</f>
        <v>#REF!</v>
      </c>
      <c r="FI76" s="16" t="e">
        <f>((FJ75+('Vacas e Bezerros'!#REF!-(FJ75*0.64))/0.8)/1000)-'Vacas e Bezerros'!#REF!</f>
        <v>#REF!</v>
      </c>
      <c r="FJ76" s="17" t="e">
        <f>-53.07 + (304.89 * (FI76)) + (90.79 *('Vacas e Bezerros'!#REF!-'Vacas e Bezerros'!#REF!)) - (3.13 * ('Vacas e Bezerros'!#REF!-'Vacas e Bezerros'!#REF!)^2)</f>
        <v>#REF!</v>
      </c>
      <c r="FL76" s="16" t="e">
        <f>((FM75+('Vacas e Bezerros'!#REF!-(FM75*0.64))/0.8)/1000)-'Vacas e Bezerros'!#REF!</f>
        <v>#REF!</v>
      </c>
      <c r="FM76" s="17" t="e">
        <f>-53.07 + (304.89 * (FL76)) + (90.79 *('Vacas e Bezerros'!#REF!-'Vacas e Bezerros'!#REF!)) - (3.13 * ('Vacas e Bezerros'!#REF!-'Vacas e Bezerros'!#REF!)^2)</f>
        <v>#REF!</v>
      </c>
      <c r="FO76" s="16" t="e">
        <f>((FP75+('Vacas e Bezerros'!#REF!-(FP75*0.64))/0.8)/1000)-'Vacas e Bezerros'!#REF!</f>
        <v>#REF!</v>
      </c>
      <c r="FP76" s="17" t="e">
        <f>-53.07 + (304.89 * (FO76)) + (90.79 *('Vacas e Bezerros'!#REF!-'Vacas e Bezerros'!#REF!)) - (3.13 * ('Vacas e Bezerros'!#REF!-'Vacas e Bezerros'!#REF!)^2)</f>
        <v>#REF!</v>
      </c>
      <c r="FR76" s="16" t="e">
        <f>((FS75+('Vacas e Bezerros'!#REF!-(FS75*0.64))/0.8)/1000)-'Vacas e Bezerros'!#REF!</f>
        <v>#REF!</v>
      </c>
      <c r="FS76" s="17" t="e">
        <f>-53.07 + (304.89 * (FR76)) + (90.79 *('Vacas e Bezerros'!#REF!-'Vacas e Bezerros'!#REF!)) - (3.13 * ('Vacas e Bezerros'!#REF!-'Vacas e Bezerros'!#REF!)^2)</f>
        <v>#REF!</v>
      </c>
      <c r="FU76" s="16" t="e">
        <f>((FV75+('Vacas e Bezerros'!#REF!-(FV75*0.64))/0.8)/1000)-'Vacas e Bezerros'!#REF!</f>
        <v>#REF!</v>
      </c>
      <c r="FV76" s="17" t="e">
        <f>-53.07 + (304.89 * (FU76)) + (90.79 *('Vacas e Bezerros'!#REF!-'Vacas e Bezerros'!#REF!)) - (3.13 * ('Vacas e Bezerros'!#REF!-'Vacas e Bezerros'!#REF!)^2)</f>
        <v>#REF!</v>
      </c>
      <c r="FX76" s="16" t="e">
        <f>((FY75+('Vacas e Bezerros'!#REF!-(FY75*0.64))/0.8)/1000)-'Vacas e Bezerros'!#REF!</f>
        <v>#REF!</v>
      </c>
      <c r="FY76" s="17" t="e">
        <f>-53.07 + (304.89 * (FX76)) + (90.79 *('Vacas e Bezerros'!#REF!-'Vacas e Bezerros'!#REF!)) - (3.13 * ('Vacas e Bezerros'!#REF!-'Vacas e Bezerros'!#REF!)^2)</f>
        <v>#REF!</v>
      </c>
      <c r="GA76" s="16" t="e">
        <f>((GB75+('Vacas e Bezerros'!#REF!-(GB75*0.64))/0.8)/1000)-'Vacas e Bezerros'!#REF!</f>
        <v>#REF!</v>
      </c>
      <c r="GB76" s="17" t="e">
        <f>-53.07 + (304.89 * (GA76)) + (90.79 *('Vacas e Bezerros'!#REF!-'Vacas e Bezerros'!#REF!)) - (3.13 * ('Vacas e Bezerros'!#REF!-'Vacas e Bezerros'!#REF!)^2)</f>
        <v>#REF!</v>
      </c>
      <c r="GD76" s="16" t="e">
        <f>((GE75+('Vacas e Bezerros'!#REF!-(GE75*0.64))/0.8)/1000)-'Vacas e Bezerros'!#REF!</f>
        <v>#REF!</v>
      </c>
      <c r="GE76" s="17" t="e">
        <f>-53.07 + (304.89 * (GD76)) + (90.79 *('Vacas e Bezerros'!#REF!-'Vacas e Bezerros'!#REF!)) - (3.13 * ('Vacas e Bezerros'!#REF!-'Vacas e Bezerros'!#REF!)^2)</f>
        <v>#REF!</v>
      </c>
      <c r="GG76" s="16" t="e">
        <f>((GH75+('Vacas e Bezerros'!#REF!-(GH75*0.64))/0.8)/1000)-'Vacas e Bezerros'!#REF!</f>
        <v>#REF!</v>
      </c>
      <c r="GH76" s="17" t="e">
        <f>-53.07 + (304.89 * (GG76)) + (90.79 *('Vacas e Bezerros'!#REF!-'Vacas e Bezerros'!#REF!)) - (3.13 * ('Vacas e Bezerros'!#REF!-'Vacas e Bezerros'!#REF!)^2)</f>
        <v>#REF!</v>
      </c>
      <c r="GJ76" s="16" t="e">
        <f>((GK75+('Vacas e Bezerros'!#REF!-(GK75*0.64))/0.8)/1000)-'Vacas e Bezerros'!#REF!</f>
        <v>#REF!</v>
      </c>
      <c r="GK76" s="17" t="e">
        <f>-53.07 + (304.89 * (GJ76)) + (90.79 *('Vacas e Bezerros'!#REF!-'Vacas e Bezerros'!#REF!)) - (3.13 * ('Vacas e Bezerros'!#REF!-'Vacas e Bezerros'!#REF!)^2)</f>
        <v>#REF!</v>
      </c>
      <c r="GM76" s="16" t="e">
        <f>((GN75+('Vacas e Bezerros'!#REF!-(GN75*0.64))/0.8)/1000)-'Vacas e Bezerros'!#REF!</f>
        <v>#REF!</v>
      </c>
      <c r="GN76" s="17" t="e">
        <f>-53.07 + (304.89 * (GM76)) + (90.79 *('Vacas e Bezerros'!#REF!-'Vacas e Bezerros'!#REF!)) - (3.13 * ('Vacas e Bezerros'!#REF!-'Vacas e Bezerros'!#REF!)^2)</f>
        <v>#REF!</v>
      </c>
    </row>
    <row r="77" spans="3:196" x14ac:dyDescent="0.25">
      <c r="C77" s="16">
        <f>(D76+('Vacas e Bezerros'!$AA$28-(D76*0.64))/0.8)/1000</f>
        <v>0.35719668016155687</v>
      </c>
      <c r="D77" s="17">
        <f>-53.07 + (304.89 * (C77-'Vacas e Bezerros'!$C$206)) + (90.79 *('Vacas e Bezerros'!$AA$22)) - (3.13 *('Vacas e Bezerros'!$AA$22)^2)</f>
        <v>165.01876457544017</v>
      </c>
      <c r="F77" s="16" t="e">
        <f>(G76+(Crescimento!#REF!-(G76*0.64))/0.8)/1000</f>
        <v>#REF!</v>
      </c>
      <c r="G77" s="17" t="e">
        <f>-53.07 + (304.89 * (F77)) + (90.79 *Crescimento!#REF!) - (3.13 * Crescimento!#REF!*Crescimento!#REF!)</f>
        <v>#REF!</v>
      </c>
      <c r="H77" s="1"/>
      <c r="I77" s="16" t="e">
        <f>(J76+(Crescimento!#REF!-(J76*0.64))/0.8)/1000</f>
        <v>#REF!</v>
      </c>
      <c r="J77" s="17" t="e">
        <f>-53.07 + (304.89 * (I77)) + (90.79 *Crescimento!#REF!) - (3.13 * Crescimento!#REF!*Crescimento!#REF!)</f>
        <v>#REF!</v>
      </c>
      <c r="L77" s="16" t="e">
        <f>(M76+(Crescimento!#REF!-(M76*0.64))/0.8)/1000</f>
        <v>#REF!</v>
      </c>
      <c r="M77" s="17" t="e">
        <f>-53.07 + (304.89 * (L77)) + (90.79 *Crescimento!#REF!) - (3.13 * Crescimento!#REF!*Crescimento!#REF!)</f>
        <v>#REF!</v>
      </c>
      <c r="O77" s="16" t="e">
        <f>(P76+(Crescimento!#REF!-(P76*0.64))/0.8)/1000</f>
        <v>#REF!</v>
      </c>
      <c r="P77" s="17" t="e">
        <f>-53.07 + (304.89 * (O77)) + (90.79 *Crescimento!#REF!) - (3.13 * Crescimento!#REF!*Crescimento!#REF!)</f>
        <v>#REF!</v>
      </c>
      <c r="R77" s="16" t="e">
        <f>(S76+(Crescimento!#REF!-(S76*0.64))/0.8)/1000</f>
        <v>#REF!</v>
      </c>
      <c r="S77" s="17" t="e">
        <f>-53.07 + (304.89 * (R77)) + (90.79 *Crescimento!#REF!) - (3.13 * Crescimento!#REF!*Crescimento!#REF!)</f>
        <v>#REF!</v>
      </c>
      <c r="U77" s="16" t="e">
        <f>(V76+(Crescimento!#REF!-(V76*0.64))/0.8)/1000</f>
        <v>#REF!</v>
      </c>
      <c r="V77" s="17" t="e">
        <f>-53.07 + (304.89 * (U77)) + (90.79 *Crescimento!#REF!) - (3.13 * Crescimento!#REF!*Crescimento!#REF!)</f>
        <v>#REF!</v>
      </c>
      <c r="X77" s="16" t="e">
        <f>(Y76+(Crescimento!#REF!-(Y76*0.64))/0.8)/1000</f>
        <v>#REF!</v>
      </c>
      <c r="Y77" s="17" t="e">
        <f>-53.07 + (304.89 * (X77)) + (90.79 *Crescimento!#REF!) - (3.13 * Crescimento!#REF!*Crescimento!#REF!)</f>
        <v>#REF!</v>
      </c>
      <c r="Z77" s="6"/>
      <c r="AA77" s="16" t="e">
        <f>(AB76+(Crescimento!#REF!-(AB76*0.64))/0.8)/1000</f>
        <v>#REF!</v>
      </c>
      <c r="AB77" s="17" t="e">
        <f>-53.07 + (304.89 * (AA77)) + (90.79 *Crescimento!#REF!) - (3.13 * Crescimento!#REF!*Crescimento!#REF!)</f>
        <v>#REF!</v>
      </c>
      <c r="AC77" s="6"/>
      <c r="AD77" s="16" t="e">
        <f>(AE76+(Crescimento!#REF!-(AE76*0.64))/0.8)/1000</f>
        <v>#REF!</v>
      </c>
      <c r="AE77" s="17" t="e">
        <f>-53.07 + (304.89 * (AD77)) + (90.79 *Crescimento!#REF!) - (3.13 * Crescimento!#REF!*Crescimento!#REF!)</f>
        <v>#REF!</v>
      </c>
      <c r="AF77" s="17"/>
      <c r="AG77" s="16" t="e">
        <f>(AH76+(Crescimento!#REF!-(AH76*0.64))/0.8)/1000</f>
        <v>#REF!</v>
      </c>
      <c r="AH77" s="17" t="e">
        <f>-53.07 + (304.89 * (AG77)) + (90.79 *Crescimento!#REF!) - (3.13 * Crescimento!#REF!*Crescimento!#REF!)</f>
        <v>#REF!</v>
      </c>
      <c r="AJ77" s="16" t="e">
        <f>(AK76+(Crescimento!#REF!-(AK76*0.64))/0.8)/1000</f>
        <v>#REF!</v>
      </c>
      <c r="AK77" s="17" t="e">
        <f>-53.07 + (304.89 * (AJ77)) + (90.79 *Crescimento!#REF!) - (3.13 * Crescimento!#REF!*Crescimento!#REF!)</f>
        <v>#REF!</v>
      </c>
      <c r="AM77" s="16" t="e">
        <f>(AN76+(Crescimento!#REF!-(AN76*0.64))/0.8)/1000</f>
        <v>#REF!</v>
      </c>
      <c r="AN77" s="17" t="e">
        <f>-53.07 + (304.89 * (AM77)) + (90.79 *Crescimento!#REF!) - (3.13 * Crescimento!#REF!*Crescimento!#REF!)</f>
        <v>#REF!</v>
      </c>
      <c r="AP77" s="16" t="e">
        <f>(AQ76+(Crescimento!#REF!-(AQ76*0.64))/0.8)/1000</f>
        <v>#REF!</v>
      </c>
      <c r="AQ77" s="17" t="e">
        <f>-53.07 + (304.89 * (AP77)) + (90.79 *Crescimento!#REF!) - (3.13 * Crescimento!#REF!*Crescimento!#REF!)</f>
        <v>#REF!</v>
      </c>
      <c r="AS77" s="16" t="e">
        <f>(AT76+(Crescimento!#REF!-(AT76*0.64))/0.8)/1000</f>
        <v>#REF!</v>
      </c>
      <c r="AT77" s="17" t="e">
        <f>-53.07 + (304.89 * (AS77)) + (90.79 *Crescimento!#REF!) - (3.13 * Crescimento!#REF!*Crescimento!#REF!)</f>
        <v>#REF!</v>
      </c>
      <c r="AV77" s="16" t="e">
        <f>(AW76+(Crescimento!#REF!-(AW76*0.64))/0.8)/1000</f>
        <v>#REF!</v>
      </c>
      <c r="AW77" s="17" t="e">
        <f>-53.07 + (304.89 * (AV77)) + (90.79 *Crescimento!#REF!) - (3.13 * Crescimento!#REF!*Crescimento!#REF!)</f>
        <v>#REF!</v>
      </c>
      <c r="AY77" s="21" t="e">
        <f>((AZ76+(Crescimento!#REF!-(AZ76*0.64))/0.8)/1000)-Crescimento!#REF!</f>
        <v>#REF!</v>
      </c>
      <c r="AZ77" s="22" t="e">
        <f>-53.07 + (304.89 * (AY77)) + (90.79 *(Crescimento!#REF!-Crescimento!#REF!)) - (3.13 * (Crescimento!#REF!-Crescimento!#REF!)^2)</f>
        <v>#REF!</v>
      </c>
      <c r="BA77" s="23"/>
      <c r="BB77" s="21" t="e">
        <f>((BC76+(Crescimento!#REF!-(BC76*0.64))/0.8)/1000)-Crescimento!#REF!</f>
        <v>#REF!</v>
      </c>
      <c r="BC77" s="22" t="e">
        <f>-53.07 + (304.89 * (BB77)) + (90.79 *(Crescimento!#REF!-Crescimento!#REF!)) - (3.13 * (Crescimento!#REF!-Crescimento!#REF!)^2)</f>
        <v>#REF!</v>
      </c>
      <c r="BD77" s="23"/>
      <c r="BE77" s="21" t="e">
        <f>((BF76+(Crescimento!#REF!-(BF76*0.64))/0.8)/1000)-Crescimento!#REF!</f>
        <v>#REF!</v>
      </c>
      <c r="BF77" s="22" t="e">
        <f>-53.07 + (304.89 * (BE77)) + (90.79 *(Crescimento!#REF!-Crescimento!#REF!)) - (3.13 * (Crescimento!#REF!-Crescimento!#REF!)^2)</f>
        <v>#REF!</v>
      </c>
      <c r="BG77" s="23"/>
      <c r="BH77" s="21" t="e">
        <f>((BI76+(Crescimento!#REF!-(BI76*0.64))/0.8)/1000)-Crescimento!#REF!</f>
        <v>#REF!</v>
      </c>
      <c r="BI77" s="22" t="e">
        <f>-53.07 + (304.89 * (BH77)) + (90.79 *(Crescimento!#REF!-Crescimento!#REF!)) - (3.13 * (Crescimento!#REF!-Crescimento!#REF!)^2)</f>
        <v>#REF!</v>
      </c>
      <c r="BJ77" s="23"/>
      <c r="BK77" s="21" t="e">
        <f>((BL76+(Crescimento!#REF!-(BL76*0.64))/0.8)/1000)-Crescimento!#REF!</f>
        <v>#REF!</v>
      </c>
      <c r="BL77" s="22" t="e">
        <f>-53.07 + (304.89 * (BK77)) + (90.79 *(Crescimento!#REF!-Crescimento!#REF!)) - (3.13 * (Crescimento!#REF!-Crescimento!#REF!)^2)</f>
        <v>#REF!</v>
      </c>
      <c r="BM77" s="23"/>
      <c r="BN77" s="21" t="e">
        <f>((BO76+(Crescimento!#REF!-(BO76*0.64))/0.8)/1000)-Crescimento!#REF!</f>
        <v>#REF!</v>
      </c>
      <c r="BO77" s="22" t="e">
        <f>-53.07 + (304.89 * (BN77)) + (90.79 *(Crescimento!#REF!-Crescimento!#REF!)) - (3.13 * (Crescimento!#REF!-Crescimento!#REF!)^2)</f>
        <v>#REF!</v>
      </c>
      <c r="BP77" s="23"/>
      <c r="BQ77" s="21" t="e">
        <f>((BR76+(Crescimento!#REF!-(BR76*0.64))/0.8)/1000)-Crescimento!#REF!</f>
        <v>#REF!</v>
      </c>
      <c r="BR77" s="22" t="e">
        <f>-53.07 + (304.89 * (BQ77)) + (90.79 *(Crescimento!#REF!-Crescimento!#REF!)) - (3.13 * (Crescimento!#REF!-Crescimento!#REF!)^2)</f>
        <v>#REF!</v>
      </c>
      <c r="BS77" s="23"/>
      <c r="BT77" s="21" t="e">
        <f>((BU76+(Crescimento!#REF!-(BU76*0.64))/0.8)/1000)-Crescimento!#REF!</f>
        <v>#REF!</v>
      </c>
      <c r="BU77" s="22" t="e">
        <f>-53.07 + (304.89 * (BT77)) + (90.79 *(Crescimento!#REF!-Crescimento!#REF!)) - (3.13 * (Crescimento!#REF!-Crescimento!#REF!)^2)</f>
        <v>#REF!</v>
      </c>
      <c r="BV77" s="23"/>
      <c r="BW77" s="21" t="e">
        <f>((BX76+(Crescimento!#REF!-(BX76*0.64))/0.8)/1000)-Crescimento!#REF!</f>
        <v>#REF!</v>
      </c>
      <c r="BX77" s="22" t="e">
        <f>-53.07 + (304.89 * (BW77)) + (90.79 *(Crescimento!#REF!-Crescimento!#REF!)) - (3.13 * (Crescimento!#REF!-Crescimento!#REF!)^2)</f>
        <v>#REF!</v>
      </c>
      <c r="BY77" s="23"/>
      <c r="BZ77" s="21" t="e">
        <f>((CA76+(Crescimento!#REF!-(CA76*0.64))/0.8)/1000)-Crescimento!#REF!</f>
        <v>#REF!</v>
      </c>
      <c r="CA77" s="22" t="e">
        <f>-53.07 + (304.89 * (BZ77)) + (90.79 *(Crescimento!#REF!-Crescimento!#REF!)) - (3.13 * (Crescimento!#REF!-Crescimento!#REF!)^2)</f>
        <v>#REF!</v>
      </c>
      <c r="CB77" s="23"/>
      <c r="CC77" s="21" t="e">
        <f>((CD76+(Crescimento!#REF!-(CD76*0.64))/0.8)/1000)-Crescimento!#REF!</f>
        <v>#REF!</v>
      </c>
      <c r="CD77" s="22" t="e">
        <f>-53.07 + (304.89 * (CC77)) + (90.79 *(Crescimento!#REF!-Crescimento!#REF!)) - (3.13 * (Crescimento!#REF!-Crescimento!#REF!)^2)</f>
        <v>#REF!</v>
      </c>
      <c r="CE77" s="23"/>
      <c r="CF77" s="21" t="e">
        <f>((CG76+(Crescimento!#REF!-(CG76*0.64))/0.8)/1000)-Crescimento!#REF!</f>
        <v>#REF!</v>
      </c>
      <c r="CG77" s="22" t="e">
        <f>-53.07 + (304.89 * (CF77)) + (90.79 *(Crescimento!#REF!-Crescimento!#REF!)) - (3.13 * (Crescimento!#REF!-Crescimento!#REF!)^2)</f>
        <v>#REF!</v>
      </c>
      <c r="CH77" s="23"/>
      <c r="CI77" s="21" t="e">
        <f>((CJ76+(Crescimento!#REF!-(CJ76*0.64))/0.8)/1000)-Crescimento!#REF!</f>
        <v>#REF!</v>
      </c>
      <c r="CJ77" s="22" t="e">
        <f>-53.07 + (304.89 * (CI77)) + (90.79 *(Crescimento!#REF!-Crescimento!#REF!)) - (3.13 * (Crescimento!#REF!-Crescimento!#REF!)^2)</f>
        <v>#REF!</v>
      </c>
      <c r="CK77" s="23"/>
      <c r="CL77" s="21" t="e">
        <f>((CM76+(Crescimento!#REF!-(CM76*0.64))/0.8)/1000)-Crescimento!#REF!</f>
        <v>#REF!</v>
      </c>
      <c r="CM77" s="22" t="e">
        <f>-53.07 + (304.89 * (CL77)) + (90.79 *(Crescimento!#REF!-Crescimento!#REF!)) - (3.13 * (Crescimento!#REF!-Crescimento!#REF!)^2)</f>
        <v>#REF!</v>
      </c>
      <c r="CN77" s="23"/>
      <c r="CO77" s="21" t="e">
        <f>((CP76+(Crescimento!#REF!-(CP76*0.64))/0.8)/1000)-Crescimento!#REF!</f>
        <v>#REF!</v>
      </c>
      <c r="CP77" s="22" t="e">
        <f>-53.07 + (304.89 * (CO77)) + (90.79 *(Crescimento!#REF!-Crescimento!#REF!)) - (3.13 * (Crescimento!#REF!-Crescimento!#REF!)^2)</f>
        <v>#REF!</v>
      </c>
      <c r="CQ77" s="23"/>
      <c r="CR77" s="21" t="e">
        <f>((CS76+(Crescimento!#REF!-(CS76*0.64))/0.8)/1000)-Crescimento!#REF!</f>
        <v>#REF!</v>
      </c>
      <c r="CS77" s="22" t="e">
        <f>-53.07 + (304.89 * (CR77)) + (90.79 *(Crescimento!#REF!-Crescimento!#REF!)) - (3.13 * (Crescimento!#REF!-Crescimento!#REF!)^2)</f>
        <v>#REF!</v>
      </c>
      <c r="CX77" s="16" t="e">
        <f>((CY76+(Crescimento!#REF!-(CY76*0.64))/0.8)/1000)-Crescimento!#REF!</f>
        <v>#REF!</v>
      </c>
      <c r="CY77" s="17" t="e">
        <f>-53.07 + (304.89 * (CX77)) + (90.79 *(Crescimento!#REF!-Crescimento!#REF!)) - (3.13 * (Crescimento!#REF!-Crescimento!#REF!)^2)</f>
        <v>#REF!</v>
      </c>
      <c r="DA77" s="16" t="e">
        <f>((DB76+(Crescimento!#REF!-(DB76*0.64))/0.8)/1000)-Crescimento!#REF!</f>
        <v>#REF!</v>
      </c>
      <c r="DB77" s="17" t="e">
        <f>-53.07 + (304.89 * (DA77)) + (90.79 *(Crescimento!#REF!-Crescimento!#REF!)) - (3.13 * (Crescimento!#REF!-Crescimento!#REF!)^2)</f>
        <v>#REF!</v>
      </c>
      <c r="DD77" s="16" t="e">
        <f>(DE76+(Crescimento!#REF!-(DE76*0.64))/0.8)/1000</f>
        <v>#REF!</v>
      </c>
      <c r="DE77" s="17" t="e">
        <f>-53.07 + (304.89 * (DD77)) + (90.79 *Crescimento!#REF!) - (3.13 * Crescimento!#REF!*Crescimento!#REF!)</f>
        <v>#REF!</v>
      </c>
      <c r="DG77" s="16" t="e">
        <f>((DH76+(Crescimento!#REF!-(DH76*0.64))/0.8)/1000)-Crescimento!#REF!</f>
        <v>#REF!</v>
      </c>
      <c r="DH77" s="17" t="e">
        <f>-53.07 + (304.89 * (DG77)) + (90.79 *(Crescimento!#REF!-Crescimento!#REF!)) - (3.13 * (Crescimento!#REF!-Crescimento!#REF!)^2)</f>
        <v>#REF!</v>
      </c>
      <c r="DJ77" s="16" t="e">
        <f>((DK76+(Crescimento!#REF!-(DK76*0.64))/0.8)/1000)-Crescimento!#REF!</f>
        <v>#REF!</v>
      </c>
      <c r="DK77" s="17" t="e">
        <f>-53.07 + (304.89 * (DJ77)) + (90.79 *(Crescimento!#REF!-Crescimento!#REF!)) - (3.13 * (Crescimento!#REF!-Crescimento!#REF!)^2)</f>
        <v>#REF!</v>
      </c>
      <c r="DM77" s="16" t="e">
        <f>((DN76+(Crescimento!#REF!-(DN76*0.64))/0.8)/1000)-Crescimento!#REF!</f>
        <v>#REF!</v>
      </c>
      <c r="DN77" s="17" t="e">
        <f>-53.07 + (304.89 * (DM77)) + (90.79 *(Crescimento!#REF!-Crescimento!#REF!)) - (3.13 * (Crescimento!#REF!-Crescimento!#REF!)^2)</f>
        <v>#REF!</v>
      </c>
      <c r="DP77" s="16" t="e">
        <f>(DQ76+(Crescimento!#REF!-(DQ76*0.64))/0.8)/1000</f>
        <v>#REF!</v>
      </c>
      <c r="DQ77" s="17" t="e">
        <f>-53.07 + (304.89 * (DP77)) + (90.79 *(Crescimento!#REF!-Crescimento!#REF!)) - (3.13 * (Crescimento!#REF!-Crescimento!#REF!)^2)</f>
        <v>#REF!</v>
      </c>
      <c r="DS77" s="16" t="e">
        <f>((DT76+(Crescimento!#REF!-(DT76*0.64))/0.8)/1000)-Crescimento!#REF!</f>
        <v>#REF!</v>
      </c>
      <c r="DT77" s="17" t="e">
        <f>-53.07 + (304.89 * (DS77)) + (90.79 *(Crescimento!#REF!-Crescimento!#REF!)) - (3.13 * (Crescimento!#REF!-Crescimento!#REF!)^2)</f>
        <v>#REF!</v>
      </c>
      <c r="DV77" s="16" t="e">
        <f>((DW76+(Crescimento!#REF!-(DW76*0.64))/0.8)/1000)-Crescimento!#REF!</f>
        <v>#REF!</v>
      </c>
      <c r="DW77" s="17" t="e">
        <f>-53.07 + (304.89 * (DV77)) + (90.79 *(Crescimento!#REF!-Crescimento!#REF!)) - (3.13 * (Crescimento!#REF!-Crescimento!#REF!)^2)</f>
        <v>#REF!</v>
      </c>
      <c r="DY77" s="16" t="e">
        <f>((DZ76+(Crescimento!#REF!-(DZ76*0.64))/0.8)/1000)-Crescimento!#REF!</f>
        <v>#REF!</v>
      </c>
      <c r="DZ77" s="17" t="e">
        <f>-53.07 + (304.89 * (DY77)) + (90.79 *(Crescimento!#REF!-Crescimento!#REF!)) - (3.13 * (Crescimento!#REF!-Crescimento!#REF!)^2)</f>
        <v>#REF!</v>
      </c>
      <c r="EB77" s="16" t="e">
        <f>((EC76+(Crescimento!#REF!-(EC76*0.64))/0.8)/1000)-Crescimento!#REF!</f>
        <v>#REF!</v>
      </c>
      <c r="EC77" s="17" t="e">
        <f>-53.07 + (304.89 * (EB77)) + (90.79 *(Crescimento!#REF!-Crescimento!#REF!)) - (3.13 * (Crescimento!#REF!-Crescimento!#REF!)^2)</f>
        <v>#REF!</v>
      </c>
      <c r="EE77" s="16" t="e">
        <f>((EF76+(Crescimento!#REF!-(EF76*0.64))/0.8)/1000)-Crescimento!#REF!</f>
        <v>#REF!</v>
      </c>
      <c r="EF77" s="17" t="e">
        <f>-53.07 + (304.89 * (EE77)) + (90.79 *(Crescimento!#REF!-Crescimento!#REF!)) - (3.13 * (Crescimento!#REF!-Crescimento!#REF!)^2)</f>
        <v>#REF!</v>
      </c>
      <c r="EH77" s="16" t="e">
        <f>((EI76+(Crescimento!#REF!-(EI76*0.64))/0.8)/1000)-Crescimento!#REF!</f>
        <v>#REF!</v>
      </c>
      <c r="EI77" s="17" t="e">
        <f>-53.07 + (304.89 * (EH77)) + (90.79 *(Crescimento!#REF!-Crescimento!#REF!)) - (3.13 * (Crescimento!#REF!-Crescimento!#REF!)^2)</f>
        <v>#REF!</v>
      </c>
      <c r="EK77" s="16" t="e">
        <f>((EL76+(Crescimento!#REF!-(EL76*0.64))/0.8)/1000)-Crescimento!#REF!</f>
        <v>#REF!</v>
      </c>
      <c r="EL77" s="17" t="e">
        <f>-53.07 + (304.89 * (EK77)) + (90.79 *(Crescimento!#REF!-Crescimento!#REF!)) - (3.13 * (Crescimento!#REF!-Crescimento!#REF!)^2)</f>
        <v>#REF!</v>
      </c>
      <c r="EN77" s="16" t="e">
        <f>((EO76+(Crescimento!#REF!-(EO76*0.64))/0.8)/1000)-Crescimento!#REF!</f>
        <v>#REF!</v>
      </c>
      <c r="EO77" s="17" t="e">
        <f>-53.07 + (304.89 * (EN77)) + (90.79 *(Crescimento!#REF!-Crescimento!#REF!)) - (3.13 * (Crescimento!#REF!-Crescimento!#REF!)^2)</f>
        <v>#REF!</v>
      </c>
      <c r="EQ77" s="16" t="e">
        <f>((ER76+(Crescimento!#REF!-(ER76*0.64))/0.8)/1000)-Crescimento!#REF!</f>
        <v>#REF!</v>
      </c>
      <c r="ER77" s="17" t="e">
        <f>-53.07 + (304.89 * (EQ77)) + (90.79 *(Crescimento!#REF!-Crescimento!#REF!)) - (3.13 * (Crescimento!#REF!-Crescimento!#REF!)^2)</f>
        <v>#REF!</v>
      </c>
      <c r="ET77" s="16" t="e">
        <f>((EU76+(Crescimento!#REF!-(EU76*0.64))/0.8)/1000)-Crescimento!#REF!</f>
        <v>#REF!</v>
      </c>
      <c r="EU77" s="17" t="e">
        <f>-53.07 + (304.89 * (ET77)) + (90.79 *(Crescimento!#REF!-Crescimento!#REF!)) - (3.13 * (Crescimento!#REF!-Crescimento!#REF!)^2)</f>
        <v>#REF!</v>
      </c>
      <c r="EW77" s="16" t="e">
        <f>((EX76+('Vacas e Bezerros'!#REF!-(EX76*0.64))/0.8)/1000)-'Vacas e Bezerros'!#REF!</f>
        <v>#REF!</v>
      </c>
      <c r="EX77" s="17" t="e">
        <f>-53.07 + (304.89 * (EW77)) + (90.79 *('Vacas e Bezerros'!#REF!-'Vacas e Bezerros'!#REF!)) - (3.13 * ('Vacas e Bezerros'!#REF!-'Vacas e Bezerros'!#REF!)^2)</f>
        <v>#REF!</v>
      </c>
      <c r="EZ77" s="16" t="e">
        <f>((FA76+('Vacas e Bezerros'!#REF!-(FA76*0.64))/0.8)/1000)-'Vacas e Bezerros'!#REF!</f>
        <v>#REF!</v>
      </c>
      <c r="FA77" s="17" t="e">
        <f>-53.07 + (304.89 * (EZ77)) + (90.79 *('Vacas e Bezerros'!#REF!-'Vacas e Bezerros'!#REF!)) - (3.13 * ('Vacas e Bezerros'!#REF!-'Vacas e Bezerros'!#REF!)^2)</f>
        <v>#REF!</v>
      </c>
      <c r="FC77" s="16" t="e">
        <f>((FD76+('Vacas e Bezerros'!#REF!-(FD76*0.64))/0.8)/1000)-'Vacas e Bezerros'!#REF!</f>
        <v>#REF!</v>
      </c>
      <c r="FD77" s="17" t="e">
        <f>-53.07 + (304.89 * (FC77)) + (90.79 *('Vacas e Bezerros'!#REF!-'Vacas e Bezerros'!#REF!)) - (3.13 * ('Vacas e Bezerros'!#REF!-'Vacas e Bezerros'!#REF!)^2)</f>
        <v>#REF!</v>
      </c>
      <c r="FF77" s="16" t="e">
        <f>((FG76+('Vacas e Bezerros'!#REF!-(FG76*0.64))/0.8)/1000)-'Vacas e Bezerros'!#REF!</f>
        <v>#REF!</v>
      </c>
      <c r="FG77" s="17" t="e">
        <f>-53.07 + (304.89 * (FF77)) + (90.79 *('Vacas e Bezerros'!#REF!-'Vacas e Bezerros'!#REF!)) - (3.13 * ('Vacas e Bezerros'!#REF!-'Vacas e Bezerros'!#REF!)^2)</f>
        <v>#REF!</v>
      </c>
      <c r="FI77" s="16" t="e">
        <f>((FJ76+('Vacas e Bezerros'!#REF!-(FJ76*0.64))/0.8)/1000)-'Vacas e Bezerros'!#REF!</f>
        <v>#REF!</v>
      </c>
      <c r="FJ77" s="17" t="e">
        <f>-53.07 + (304.89 * (FI77)) + (90.79 *('Vacas e Bezerros'!#REF!-'Vacas e Bezerros'!#REF!)) - (3.13 * ('Vacas e Bezerros'!#REF!-'Vacas e Bezerros'!#REF!)^2)</f>
        <v>#REF!</v>
      </c>
      <c r="FL77" s="16" t="e">
        <f>((FM76+('Vacas e Bezerros'!#REF!-(FM76*0.64))/0.8)/1000)-'Vacas e Bezerros'!#REF!</f>
        <v>#REF!</v>
      </c>
      <c r="FM77" s="17" t="e">
        <f>-53.07 + (304.89 * (FL77)) + (90.79 *('Vacas e Bezerros'!#REF!-'Vacas e Bezerros'!#REF!)) - (3.13 * ('Vacas e Bezerros'!#REF!-'Vacas e Bezerros'!#REF!)^2)</f>
        <v>#REF!</v>
      </c>
      <c r="FO77" s="16" t="e">
        <f>((FP76+('Vacas e Bezerros'!#REF!-(FP76*0.64))/0.8)/1000)-'Vacas e Bezerros'!#REF!</f>
        <v>#REF!</v>
      </c>
      <c r="FP77" s="17" t="e">
        <f>-53.07 + (304.89 * (FO77)) + (90.79 *('Vacas e Bezerros'!#REF!-'Vacas e Bezerros'!#REF!)) - (3.13 * ('Vacas e Bezerros'!#REF!-'Vacas e Bezerros'!#REF!)^2)</f>
        <v>#REF!</v>
      </c>
      <c r="FR77" s="16" t="e">
        <f>((FS76+('Vacas e Bezerros'!#REF!-(FS76*0.64))/0.8)/1000)-'Vacas e Bezerros'!#REF!</f>
        <v>#REF!</v>
      </c>
      <c r="FS77" s="17" t="e">
        <f>-53.07 + (304.89 * (FR77)) + (90.79 *('Vacas e Bezerros'!#REF!-'Vacas e Bezerros'!#REF!)) - (3.13 * ('Vacas e Bezerros'!#REF!-'Vacas e Bezerros'!#REF!)^2)</f>
        <v>#REF!</v>
      </c>
      <c r="FU77" s="16" t="e">
        <f>((FV76+('Vacas e Bezerros'!#REF!-(FV76*0.64))/0.8)/1000)-'Vacas e Bezerros'!#REF!</f>
        <v>#REF!</v>
      </c>
      <c r="FV77" s="17" t="e">
        <f>-53.07 + (304.89 * (FU77)) + (90.79 *('Vacas e Bezerros'!#REF!-'Vacas e Bezerros'!#REF!)) - (3.13 * ('Vacas e Bezerros'!#REF!-'Vacas e Bezerros'!#REF!)^2)</f>
        <v>#REF!</v>
      </c>
      <c r="FX77" s="16" t="e">
        <f>((FY76+('Vacas e Bezerros'!#REF!-(FY76*0.64))/0.8)/1000)-'Vacas e Bezerros'!#REF!</f>
        <v>#REF!</v>
      </c>
      <c r="FY77" s="17" t="e">
        <f>-53.07 + (304.89 * (FX77)) + (90.79 *('Vacas e Bezerros'!#REF!-'Vacas e Bezerros'!#REF!)) - (3.13 * ('Vacas e Bezerros'!#REF!-'Vacas e Bezerros'!#REF!)^2)</f>
        <v>#REF!</v>
      </c>
      <c r="GA77" s="16" t="e">
        <f>((GB76+('Vacas e Bezerros'!#REF!-(GB76*0.64))/0.8)/1000)-'Vacas e Bezerros'!#REF!</f>
        <v>#REF!</v>
      </c>
      <c r="GB77" s="17" t="e">
        <f>-53.07 + (304.89 * (GA77)) + (90.79 *('Vacas e Bezerros'!#REF!-'Vacas e Bezerros'!#REF!)) - (3.13 * ('Vacas e Bezerros'!#REF!-'Vacas e Bezerros'!#REF!)^2)</f>
        <v>#REF!</v>
      </c>
      <c r="GD77" s="16" t="e">
        <f>((GE76+('Vacas e Bezerros'!#REF!-(GE76*0.64))/0.8)/1000)-'Vacas e Bezerros'!#REF!</f>
        <v>#REF!</v>
      </c>
      <c r="GE77" s="17" t="e">
        <f>-53.07 + (304.89 * (GD77)) + (90.79 *('Vacas e Bezerros'!#REF!-'Vacas e Bezerros'!#REF!)) - (3.13 * ('Vacas e Bezerros'!#REF!-'Vacas e Bezerros'!#REF!)^2)</f>
        <v>#REF!</v>
      </c>
      <c r="GG77" s="16" t="e">
        <f>((GH76+('Vacas e Bezerros'!#REF!-(GH76*0.64))/0.8)/1000)-'Vacas e Bezerros'!#REF!</f>
        <v>#REF!</v>
      </c>
      <c r="GH77" s="17" t="e">
        <f>-53.07 + (304.89 * (GG77)) + (90.79 *('Vacas e Bezerros'!#REF!-'Vacas e Bezerros'!#REF!)) - (3.13 * ('Vacas e Bezerros'!#REF!-'Vacas e Bezerros'!#REF!)^2)</f>
        <v>#REF!</v>
      </c>
      <c r="GJ77" s="16" t="e">
        <f>((GK76+('Vacas e Bezerros'!#REF!-(GK76*0.64))/0.8)/1000)-'Vacas e Bezerros'!#REF!</f>
        <v>#REF!</v>
      </c>
      <c r="GK77" s="17" t="e">
        <f>-53.07 + (304.89 * (GJ77)) + (90.79 *('Vacas e Bezerros'!#REF!-'Vacas e Bezerros'!#REF!)) - (3.13 * ('Vacas e Bezerros'!#REF!-'Vacas e Bezerros'!#REF!)^2)</f>
        <v>#REF!</v>
      </c>
      <c r="GM77" s="16" t="e">
        <f>((GN76+('Vacas e Bezerros'!#REF!-(GN76*0.64))/0.8)/1000)-'Vacas e Bezerros'!#REF!</f>
        <v>#REF!</v>
      </c>
      <c r="GN77" s="17" t="e">
        <f>-53.07 + (304.89 * (GM77)) + (90.79 *('Vacas e Bezerros'!#REF!-'Vacas e Bezerros'!#REF!)) - (3.13 * ('Vacas e Bezerros'!#REF!-'Vacas e Bezerros'!#REF!)^2)</f>
        <v>#REF!</v>
      </c>
    </row>
    <row r="78" spans="3:196" x14ac:dyDescent="0.25">
      <c r="C78" s="16">
        <f>(D77+('Vacas e Bezerros'!$AA$28-(D77*0.64))/0.8)/1000</f>
        <v>0.35719668016155687</v>
      </c>
      <c r="D78" s="17">
        <f>-53.07 + (304.89 * (C78-'Vacas e Bezerros'!$C$206)) + (90.79 *('Vacas e Bezerros'!$AA$22)) - (3.13 *('Vacas e Bezerros'!$AA$22)^2)</f>
        <v>165.01876457544017</v>
      </c>
      <c r="F78" s="16" t="e">
        <f>(G77+(Crescimento!#REF!-(G77*0.64))/0.8)/1000</f>
        <v>#REF!</v>
      </c>
      <c r="G78" s="17" t="e">
        <f>-53.07 + (304.89 * (F78)) + (90.79 *Crescimento!#REF!) - (3.13 * Crescimento!#REF!*Crescimento!#REF!)</f>
        <v>#REF!</v>
      </c>
      <c r="H78" s="1"/>
      <c r="I78" s="16" t="e">
        <f>(J77+(Crescimento!#REF!-(J77*0.64))/0.8)/1000</f>
        <v>#REF!</v>
      </c>
      <c r="J78" s="17" t="e">
        <f>-53.07 + (304.89 * (I78)) + (90.79 *Crescimento!#REF!) - (3.13 * Crescimento!#REF!*Crescimento!#REF!)</f>
        <v>#REF!</v>
      </c>
      <c r="L78" s="16" t="e">
        <f>(M77+(Crescimento!#REF!-(M77*0.64))/0.8)/1000</f>
        <v>#REF!</v>
      </c>
      <c r="M78" s="17" t="e">
        <f>-53.07 + (304.89 * (L78)) + (90.79 *Crescimento!#REF!) - (3.13 * Crescimento!#REF!*Crescimento!#REF!)</f>
        <v>#REF!</v>
      </c>
      <c r="O78" s="16" t="e">
        <f>(P77+(Crescimento!#REF!-(P77*0.64))/0.8)/1000</f>
        <v>#REF!</v>
      </c>
      <c r="P78" s="17" t="e">
        <f>-53.07 + (304.89 * (O78)) + (90.79 *Crescimento!#REF!) - (3.13 * Crescimento!#REF!*Crescimento!#REF!)</f>
        <v>#REF!</v>
      </c>
      <c r="R78" s="16" t="e">
        <f>(S77+(Crescimento!#REF!-(S77*0.64))/0.8)/1000</f>
        <v>#REF!</v>
      </c>
      <c r="S78" s="17" t="e">
        <f>-53.07 + (304.89 * (R78)) + (90.79 *Crescimento!#REF!) - (3.13 * Crescimento!#REF!*Crescimento!#REF!)</f>
        <v>#REF!</v>
      </c>
      <c r="U78" s="16" t="e">
        <f>(V77+(Crescimento!#REF!-(V77*0.64))/0.8)/1000</f>
        <v>#REF!</v>
      </c>
      <c r="V78" s="17" t="e">
        <f>-53.07 + (304.89 * (U78)) + (90.79 *Crescimento!#REF!) - (3.13 * Crescimento!#REF!*Crescimento!#REF!)</f>
        <v>#REF!</v>
      </c>
      <c r="X78" s="16" t="e">
        <f>(Y77+(Crescimento!#REF!-(Y77*0.64))/0.8)/1000</f>
        <v>#REF!</v>
      </c>
      <c r="Y78" s="17" t="e">
        <f>-53.07 + (304.89 * (X78)) + (90.79 *Crescimento!#REF!) - (3.13 * Crescimento!#REF!*Crescimento!#REF!)</f>
        <v>#REF!</v>
      </c>
      <c r="Z78" s="6"/>
      <c r="AA78" s="16" t="e">
        <f>(AB77+(Crescimento!#REF!-(AB77*0.64))/0.8)/1000</f>
        <v>#REF!</v>
      </c>
      <c r="AB78" s="17" t="e">
        <f>-53.07 + (304.89 * (AA78)) + (90.79 *Crescimento!#REF!) - (3.13 * Crescimento!#REF!*Crescimento!#REF!)</f>
        <v>#REF!</v>
      </c>
      <c r="AC78" s="6"/>
      <c r="AD78" s="16" t="e">
        <f>(AE77+(Crescimento!#REF!-(AE77*0.64))/0.8)/1000</f>
        <v>#REF!</v>
      </c>
      <c r="AE78" s="17" t="e">
        <f>-53.07 + (304.89 * (AD78)) + (90.79 *Crescimento!#REF!) - (3.13 * Crescimento!#REF!*Crescimento!#REF!)</f>
        <v>#REF!</v>
      </c>
      <c r="AF78" s="17"/>
      <c r="AG78" s="16" t="e">
        <f>(AH77+(Crescimento!#REF!-(AH77*0.64))/0.8)/1000</f>
        <v>#REF!</v>
      </c>
      <c r="AH78" s="17" t="e">
        <f>-53.07 + (304.89 * (AG78)) + (90.79 *Crescimento!#REF!) - (3.13 * Crescimento!#REF!*Crescimento!#REF!)</f>
        <v>#REF!</v>
      </c>
      <c r="AJ78" s="16" t="e">
        <f>(AK77+(Crescimento!#REF!-(AK77*0.64))/0.8)/1000</f>
        <v>#REF!</v>
      </c>
      <c r="AK78" s="17" t="e">
        <f>-53.07 + (304.89 * (AJ78)) + (90.79 *Crescimento!#REF!) - (3.13 * Crescimento!#REF!*Crescimento!#REF!)</f>
        <v>#REF!</v>
      </c>
      <c r="AM78" s="16" t="e">
        <f>(AN77+(Crescimento!#REF!-(AN77*0.64))/0.8)/1000</f>
        <v>#REF!</v>
      </c>
      <c r="AN78" s="17" t="e">
        <f>-53.07 + (304.89 * (AM78)) + (90.79 *Crescimento!#REF!) - (3.13 * Crescimento!#REF!*Crescimento!#REF!)</f>
        <v>#REF!</v>
      </c>
      <c r="AP78" s="16" t="e">
        <f>(AQ77+(Crescimento!#REF!-(AQ77*0.64))/0.8)/1000</f>
        <v>#REF!</v>
      </c>
      <c r="AQ78" s="17" t="e">
        <f>-53.07 + (304.89 * (AP78)) + (90.79 *Crescimento!#REF!) - (3.13 * Crescimento!#REF!*Crescimento!#REF!)</f>
        <v>#REF!</v>
      </c>
      <c r="AS78" s="16" t="e">
        <f>(AT77+(Crescimento!#REF!-(AT77*0.64))/0.8)/1000</f>
        <v>#REF!</v>
      </c>
      <c r="AT78" s="17" t="e">
        <f>-53.07 + (304.89 * (AS78)) + (90.79 *Crescimento!#REF!) - (3.13 * Crescimento!#REF!*Crescimento!#REF!)</f>
        <v>#REF!</v>
      </c>
      <c r="AV78" s="16" t="e">
        <f>(AW77+(Crescimento!#REF!-(AW77*0.64))/0.8)/1000</f>
        <v>#REF!</v>
      </c>
      <c r="AW78" s="17" t="e">
        <f>-53.07 + (304.89 * (AV78)) + (90.79 *Crescimento!#REF!) - (3.13 * Crescimento!#REF!*Crescimento!#REF!)</f>
        <v>#REF!</v>
      </c>
      <c r="AY78" s="21" t="e">
        <f>((AZ77+(Crescimento!#REF!-(AZ77*0.64))/0.8)/1000)-Crescimento!#REF!</f>
        <v>#REF!</v>
      </c>
      <c r="AZ78" s="22" t="e">
        <f>-53.07 + (304.89 * (AY78)) + (90.79 *(Crescimento!#REF!-Crescimento!#REF!)) - (3.13 * (Crescimento!#REF!-Crescimento!#REF!)^2)</f>
        <v>#REF!</v>
      </c>
      <c r="BA78" s="23"/>
      <c r="BB78" s="21" t="e">
        <f>((BC77+(Crescimento!#REF!-(BC77*0.64))/0.8)/1000)-Crescimento!#REF!</f>
        <v>#REF!</v>
      </c>
      <c r="BC78" s="22" t="e">
        <f>-53.07 + (304.89 * (BB78)) + (90.79 *(Crescimento!#REF!-Crescimento!#REF!)) - (3.13 * (Crescimento!#REF!-Crescimento!#REF!)^2)</f>
        <v>#REF!</v>
      </c>
      <c r="BD78" s="23"/>
      <c r="BE78" s="21" t="e">
        <f>((BF77+(Crescimento!#REF!-(BF77*0.64))/0.8)/1000)-Crescimento!#REF!</f>
        <v>#REF!</v>
      </c>
      <c r="BF78" s="22" t="e">
        <f>-53.07 + (304.89 * (BE78)) + (90.79 *(Crescimento!#REF!-Crescimento!#REF!)) - (3.13 * (Crescimento!#REF!-Crescimento!#REF!)^2)</f>
        <v>#REF!</v>
      </c>
      <c r="BG78" s="23"/>
      <c r="BH78" s="21" t="e">
        <f>((BI77+(Crescimento!#REF!-(BI77*0.64))/0.8)/1000)-Crescimento!#REF!</f>
        <v>#REF!</v>
      </c>
      <c r="BI78" s="22" t="e">
        <f>-53.07 + (304.89 * (BH78)) + (90.79 *(Crescimento!#REF!-Crescimento!#REF!)) - (3.13 * (Crescimento!#REF!-Crescimento!#REF!)^2)</f>
        <v>#REF!</v>
      </c>
      <c r="BJ78" s="23"/>
      <c r="BK78" s="21" t="e">
        <f>((BL77+(Crescimento!#REF!-(BL77*0.64))/0.8)/1000)-Crescimento!#REF!</f>
        <v>#REF!</v>
      </c>
      <c r="BL78" s="22" t="e">
        <f>-53.07 + (304.89 * (BK78)) + (90.79 *(Crescimento!#REF!-Crescimento!#REF!)) - (3.13 * (Crescimento!#REF!-Crescimento!#REF!)^2)</f>
        <v>#REF!</v>
      </c>
      <c r="BM78" s="23"/>
      <c r="BN78" s="21" t="e">
        <f>((BO77+(Crescimento!#REF!-(BO77*0.64))/0.8)/1000)-Crescimento!#REF!</f>
        <v>#REF!</v>
      </c>
      <c r="BO78" s="22" t="e">
        <f>-53.07 + (304.89 * (BN78)) + (90.79 *(Crescimento!#REF!-Crescimento!#REF!)) - (3.13 * (Crescimento!#REF!-Crescimento!#REF!)^2)</f>
        <v>#REF!</v>
      </c>
      <c r="BP78" s="23"/>
      <c r="BQ78" s="21" t="e">
        <f>((BR77+(Crescimento!#REF!-(BR77*0.64))/0.8)/1000)-Crescimento!#REF!</f>
        <v>#REF!</v>
      </c>
      <c r="BR78" s="22" t="e">
        <f>-53.07 + (304.89 * (BQ78)) + (90.79 *(Crescimento!#REF!-Crescimento!#REF!)) - (3.13 * (Crescimento!#REF!-Crescimento!#REF!)^2)</f>
        <v>#REF!</v>
      </c>
      <c r="BS78" s="23"/>
      <c r="BT78" s="21" t="e">
        <f>((BU77+(Crescimento!#REF!-(BU77*0.64))/0.8)/1000)-Crescimento!#REF!</f>
        <v>#REF!</v>
      </c>
      <c r="BU78" s="22" t="e">
        <f>-53.07 + (304.89 * (BT78)) + (90.79 *(Crescimento!#REF!-Crescimento!#REF!)) - (3.13 * (Crescimento!#REF!-Crescimento!#REF!)^2)</f>
        <v>#REF!</v>
      </c>
      <c r="BV78" s="23"/>
      <c r="BW78" s="21" t="e">
        <f>((BX77+(Crescimento!#REF!-(BX77*0.64))/0.8)/1000)-Crescimento!#REF!</f>
        <v>#REF!</v>
      </c>
      <c r="BX78" s="22" t="e">
        <f>-53.07 + (304.89 * (BW78)) + (90.79 *(Crescimento!#REF!-Crescimento!#REF!)) - (3.13 * (Crescimento!#REF!-Crescimento!#REF!)^2)</f>
        <v>#REF!</v>
      </c>
      <c r="BY78" s="23"/>
      <c r="BZ78" s="21" t="e">
        <f>((CA77+(Crescimento!#REF!-(CA77*0.64))/0.8)/1000)-Crescimento!#REF!</f>
        <v>#REF!</v>
      </c>
      <c r="CA78" s="22" t="e">
        <f>-53.07 + (304.89 * (BZ78)) + (90.79 *(Crescimento!#REF!-Crescimento!#REF!)) - (3.13 * (Crescimento!#REF!-Crescimento!#REF!)^2)</f>
        <v>#REF!</v>
      </c>
      <c r="CB78" s="23"/>
      <c r="CC78" s="21" t="e">
        <f>((CD77+(Crescimento!#REF!-(CD77*0.64))/0.8)/1000)-Crescimento!#REF!</f>
        <v>#REF!</v>
      </c>
      <c r="CD78" s="22" t="e">
        <f>-53.07 + (304.89 * (CC78)) + (90.79 *(Crescimento!#REF!-Crescimento!#REF!)) - (3.13 * (Crescimento!#REF!-Crescimento!#REF!)^2)</f>
        <v>#REF!</v>
      </c>
      <c r="CE78" s="23"/>
      <c r="CF78" s="21" t="e">
        <f>((CG77+(Crescimento!#REF!-(CG77*0.64))/0.8)/1000)-Crescimento!#REF!</f>
        <v>#REF!</v>
      </c>
      <c r="CG78" s="22" t="e">
        <f>-53.07 + (304.89 * (CF78)) + (90.79 *(Crescimento!#REF!-Crescimento!#REF!)) - (3.13 * (Crescimento!#REF!-Crescimento!#REF!)^2)</f>
        <v>#REF!</v>
      </c>
      <c r="CH78" s="23"/>
      <c r="CI78" s="21" t="e">
        <f>((CJ77+(Crescimento!#REF!-(CJ77*0.64))/0.8)/1000)-Crescimento!#REF!</f>
        <v>#REF!</v>
      </c>
      <c r="CJ78" s="22" t="e">
        <f>-53.07 + (304.89 * (CI78)) + (90.79 *(Crescimento!#REF!-Crescimento!#REF!)) - (3.13 * (Crescimento!#REF!-Crescimento!#REF!)^2)</f>
        <v>#REF!</v>
      </c>
      <c r="CK78" s="23"/>
      <c r="CL78" s="21" t="e">
        <f>((CM77+(Crescimento!#REF!-(CM77*0.64))/0.8)/1000)-Crescimento!#REF!</f>
        <v>#REF!</v>
      </c>
      <c r="CM78" s="22" t="e">
        <f>-53.07 + (304.89 * (CL78)) + (90.79 *(Crescimento!#REF!-Crescimento!#REF!)) - (3.13 * (Crescimento!#REF!-Crescimento!#REF!)^2)</f>
        <v>#REF!</v>
      </c>
      <c r="CN78" s="23"/>
      <c r="CO78" s="21" t="e">
        <f>((CP77+(Crescimento!#REF!-(CP77*0.64))/0.8)/1000)-Crescimento!#REF!</f>
        <v>#REF!</v>
      </c>
      <c r="CP78" s="22" t="e">
        <f>-53.07 + (304.89 * (CO78)) + (90.79 *(Crescimento!#REF!-Crescimento!#REF!)) - (3.13 * (Crescimento!#REF!-Crescimento!#REF!)^2)</f>
        <v>#REF!</v>
      </c>
      <c r="CQ78" s="23"/>
      <c r="CR78" s="21" t="e">
        <f>((CS77+(Crescimento!#REF!-(CS77*0.64))/0.8)/1000)-Crescimento!#REF!</f>
        <v>#REF!</v>
      </c>
      <c r="CS78" s="22" t="e">
        <f>-53.07 + (304.89 * (CR78)) + (90.79 *(Crescimento!#REF!-Crescimento!#REF!)) - (3.13 * (Crescimento!#REF!-Crescimento!#REF!)^2)</f>
        <v>#REF!</v>
      </c>
      <c r="CX78" s="16" t="e">
        <f>((CY77+(Crescimento!#REF!-(CY77*0.64))/0.8)/1000)-Crescimento!#REF!</f>
        <v>#REF!</v>
      </c>
      <c r="CY78" s="17" t="e">
        <f>-53.07 + (304.89 * (CX78)) + (90.79 *(Crescimento!#REF!-Crescimento!#REF!)) - (3.13 * (Crescimento!#REF!-Crescimento!#REF!)^2)</f>
        <v>#REF!</v>
      </c>
      <c r="DA78" s="16" t="e">
        <f>((DB77+(Crescimento!#REF!-(DB77*0.64))/0.8)/1000)-Crescimento!#REF!</f>
        <v>#REF!</v>
      </c>
      <c r="DB78" s="17" t="e">
        <f>-53.07 + (304.89 * (DA78)) + (90.79 *(Crescimento!#REF!-Crescimento!#REF!)) - (3.13 * (Crescimento!#REF!-Crescimento!#REF!)^2)</f>
        <v>#REF!</v>
      </c>
      <c r="DD78" s="16" t="e">
        <f>(DE77+(Crescimento!#REF!-(DE77*0.64))/0.8)/1000</f>
        <v>#REF!</v>
      </c>
      <c r="DE78" s="17" t="e">
        <f>-53.07 + (304.89 * (DD78)) + (90.79 *Crescimento!#REF!) - (3.13 * Crescimento!#REF!*Crescimento!#REF!)</f>
        <v>#REF!</v>
      </c>
      <c r="DG78" s="16" t="e">
        <f>((DH77+(Crescimento!#REF!-(DH77*0.64))/0.8)/1000)-Crescimento!#REF!</f>
        <v>#REF!</v>
      </c>
      <c r="DH78" s="17" t="e">
        <f>-53.07 + (304.89 * (DG78)) + (90.79 *(Crescimento!#REF!-Crescimento!#REF!)) - (3.13 * (Crescimento!#REF!-Crescimento!#REF!)^2)</f>
        <v>#REF!</v>
      </c>
      <c r="DJ78" s="16" t="e">
        <f>((DK77+(Crescimento!#REF!-(DK77*0.64))/0.8)/1000)-Crescimento!#REF!</f>
        <v>#REF!</v>
      </c>
      <c r="DK78" s="17" t="e">
        <f>-53.07 + (304.89 * (DJ78)) + (90.79 *(Crescimento!#REF!-Crescimento!#REF!)) - (3.13 * (Crescimento!#REF!-Crescimento!#REF!)^2)</f>
        <v>#REF!</v>
      </c>
      <c r="DM78" s="16" t="e">
        <f>((DN77+(Crescimento!#REF!-(DN77*0.64))/0.8)/1000)-Crescimento!#REF!</f>
        <v>#REF!</v>
      </c>
      <c r="DN78" s="17" t="e">
        <f>-53.07 + (304.89 * (DM78)) + (90.79 *(Crescimento!#REF!-Crescimento!#REF!)) - (3.13 * (Crescimento!#REF!-Crescimento!#REF!)^2)</f>
        <v>#REF!</v>
      </c>
      <c r="DP78" s="16" t="e">
        <f>(DQ77+(Crescimento!#REF!-(DQ77*0.64))/0.8)/1000</f>
        <v>#REF!</v>
      </c>
      <c r="DQ78" s="17" t="e">
        <f>-53.07 + (304.89 * (DP78)) + (90.79 *(Crescimento!#REF!-Crescimento!#REF!)) - (3.13 * (Crescimento!#REF!-Crescimento!#REF!)^2)</f>
        <v>#REF!</v>
      </c>
      <c r="DS78" s="16" t="e">
        <f>((DT77+(Crescimento!#REF!-(DT77*0.64))/0.8)/1000)-Crescimento!#REF!</f>
        <v>#REF!</v>
      </c>
      <c r="DT78" s="17" t="e">
        <f>-53.07 + (304.89 * (DS78)) + (90.79 *(Crescimento!#REF!-Crescimento!#REF!)) - (3.13 * (Crescimento!#REF!-Crescimento!#REF!)^2)</f>
        <v>#REF!</v>
      </c>
      <c r="DV78" s="16" t="e">
        <f>((DW77+(Crescimento!#REF!-(DW77*0.64))/0.8)/1000)-Crescimento!#REF!</f>
        <v>#REF!</v>
      </c>
      <c r="DW78" s="17" t="e">
        <f>-53.07 + (304.89 * (DV78)) + (90.79 *(Crescimento!#REF!-Crescimento!#REF!)) - (3.13 * (Crescimento!#REF!-Crescimento!#REF!)^2)</f>
        <v>#REF!</v>
      </c>
      <c r="DY78" s="16" t="e">
        <f>((DZ77+(Crescimento!#REF!-(DZ77*0.64))/0.8)/1000)-Crescimento!#REF!</f>
        <v>#REF!</v>
      </c>
      <c r="DZ78" s="17" t="e">
        <f>-53.07 + (304.89 * (DY78)) + (90.79 *(Crescimento!#REF!-Crescimento!#REF!)) - (3.13 * (Crescimento!#REF!-Crescimento!#REF!)^2)</f>
        <v>#REF!</v>
      </c>
      <c r="EB78" s="16" t="e">
        <f>((EC77+(Crescimento!#REF!-(EC77*0.64))/0.8)/1000)-Crescimento!#REF!</f>
        <v>#REF!</v>
      </c>
      <c r="EC78" s="17" t="e">
        <f>-53.07 + (304.89 * (EB78)) + (90.79 *(Crescimento!#REF!-Crescimento!#REF!)) - (3.13 * (Crescimento!#REF!-Crescimento!#REF!)^2)</f>
        <v>#REF!</v>
      </c>
      <c r="EE78" s="16" t="e">
        <f>((EF77+(Crescimento!#REF!-(EF77*0.64))/0.8)/1000)-Crescimento!#REF!</f>
        <v>#REF!</v>
      </c>
      <c r="EF78" s="17" t="e">
        <f>-53.07 + (304.89 * (EE78)) + (90.79 *(Crescimento!#REF!-Crescimento!#REF!)) - (3.13 * (Crescimento!#REF!-Crescimento!#REF!)^2)</f>
        <v>#REF!</v>
      </c>
      <c r="EH78" s="16" t="e">
        <f>((EI77+(Crescimento!#REF!-(EI77*0.64))/0.8)/1000)-Crescimento!#REF!</f>
        <v>#REF!</v>
      </c>
      <c r="EI78" s="17" t="e">
        <f>-53.07 + (304.89 * (EH78)) + (90.79 *(Crescimento!#REF!-Crescimento!#REF!)) - (3.13 * (Crescimento!#REF!-Crescimento!#REF!)^2)</f>
        <v>#REF!</v>
      </c>
      <c r="EK78" s="16" t="e">
        <f>((EL77+(Crescimento!#REF!-(EL77*0.64))/0.8)/1000)-Crescimento!#REF!</f>
        <v>#REF!</v>
      </c>
      <c r="EL78" s="17" t="e">
        <f>-53.07 + (304.89 * (EK78)) + (90.79 *(Crescimento!#REF!-Crescimento!#REF!)) - (3.13 * (Crescimento!#REF!-Crescimento!#REF!)^2)</f>
        <v>#REF!</v>
      </c>
      <c r="EN78" s="16" t="e">
        <f>((EO77+(Crescimento!#REF!-(EO77*0.64))/0.8)/1000)-Crescimento!#REF!</f>
        <v>#REF!</v>
      </c>
      <c r="EO78" s="17" t="e">
        <f>-53.07 + (304.89 * (EN78)) + (90.79 *(Crescimento!#REF!-Crescimento!#REF!)) - (3.13 * (Crescimento!#REF!-Crescimento!#REF!)^2)</f>
        <v>#REF!</v>
      </c>
      <c r="EQ78" s="16" t="e">
        <f>((ER77+(Crescimento!#REF!-(ER77*0.64))/0.8)/1000)-Crescimento!#REF!</f>
        <v>#REF!</v>
      </c>
      <c r="ER78" s="17" t="e">
        <f>-53.07 + (304.89 * (EQ78)) + (90.79 *(Crescimento!#REF!-Crescimento!#REF!)) - (3.13 * (Crescimento!#REF!-Crescimento!#REF!)^2)</f>
        <v>#REF!</v>
      </c>
      <c r="ET78" s="16" t="e">
        <f>((EU77+(Crescimento!#REF!-(EU77*0.64))/0.8)/1000)-Crescimento!#REF!</f>
        <v>#REF!</v>
      </c>
      <c r="EU78" s="17" t="e">
        <f>-53.07 + (304.89 * (ET78)) + (90.79 *(Crescimento!#REF!-Crescimento!#REF!)) - (3.13 * (Crescimento!#REF!-Crescimento!#REF!)^2)</f>
        <v>#REF!</v>
      </c>
      <c r="EW78" s="16" t="e">
        <f>((EX77+('Vacas e Bezerros'!#REF!-(EX77*0.64))/0.8)/1000)-'Vacas e Bezerros'!#REF!</f>
        <v>#REF!</v>
      </c>
      <c r="EX78" s="17" t="e">
        <f>-53.07 + (304.89 * (EW78)) + (90.79 *('Vacas e Bezerros'!#REF!-'Vacas e Bezerros'!#REF!)) - (3.13 * ('Vacas e Bezerros'!#REF!-'Vacas e Bezerros'!#REF!)^2)</f>
        <v>#REF!</v>
      </c>
      <c r="EZ78" s="16" t="e">
        <f>((FA77+('Vacas e Bezerros'!#REF!-(FA77*0.64))/0.8)/1000)-'Vacas e Bezerros'!#REF!</f>
        <v>#REF!</v>
      </c>
      <c r="FA78" s="17" t="e">
        <f>-53.07 + (304.89 * (EZ78)) + (90.79 *('Vacas e Bezerros'!#REF!-'Vacas e Bezerros'!#REF!)) - (3.13 * ('Vacas e Bezerros'!#REF!-'Vacas e Bezerros'!#REF!)^2)</f>
        <v>#REF!</v>
      </c>
      <c r="FC78" s="16" t="e">
        <f>((FD77+('Vacas e Bezerros'!#REF!-(FD77*0.64))/0.8)/1000)-'Vacas e Bezerros'!#REF!</f>
        <v>#REF!</v>
      </c>
      <c r="FD78" s="17" t="e">
        <f>-53.07 + (304.89 * (FC78)) + (90.79 *('Vacas e Bezerros'!#REF!-'Vacas e Bezerros'!#REF!)) - (3.13 * ('Vacas e Bezerros'!#REF!-'Vacas e Bezerros'!#REF!)^2)</f>
        <v>#REF!</v>
      </c>
      <c r="FF78" s="16" t="e">
        <f>((FG77+('Vacas e Bezerros'!#REF!-(FG77*0.64))/0.8)/1000)-'Vacas e Bezerros'!#REF!</f>
        <v>#REF!</v>
      </c>
      <c r="FG78" s="17" t="e">
        <f>-53.07 + (304.89 * (FF78)) + (90.79 *('Vacas e Bezerros'!#REF!-'Vacas e Bezerros'!#REF!)) - (3.13 * ('Vacas e Bezerros'!#REF!-'Vacas e Bezerros'!#REF!)^2)</f>
        <v>#REF!</v>
      </c>
      <c r="FI78" s="16" t="e">
        <f>((FJ77+('Vacas e Bezerros'!#REF!-(FJ77*0.64))/0.8)/1000)-'Vacas e Bezerros'!#REF!</f>
        <v>#REF!</v>
      </c>
      <c r="FJ78" s="17" t="e">
        <f>-53.07 + (304.89 * (FI78)) + (90.79 *('Vacas e Bezerros'!#REF!-'Vacas e Bezerros'!#REF!)) - (3.13 * ('Vacas e Bezerros'!#REF!-'Vacas e Bezerros'!#REF!)^2)</f>
        <v>#REF!</v>
      </c>
      <c r="FL78" s="16" t="e">
        <f>((FM77+('Vacas e Bezerros'!#REF!-(FM77*0.64))/0.8)/1000)-'Vacas e Bezerros'!#REF!</f>
        <v>#REF!</v>
      </c>
      <c r="FM78" s="17" t="e">
        <f>-53.07 + (304.89 * (FL78)) + (90.79 *('Vacas e Bezerros'!#REF!-'Vacas e Bezerros'!#REF!)) - (3.13 * ('Vacas e Bezerros'!#REF!-'Vacas e Bezerros'!#REF!)^2)</f>
        <v>#REF!</v>
      </c>
      <c r="FO78" s="16" t="e">
        <f>((FP77+('Vacas e Bezerros'!#REF!-(FP77*0.64))/0.8)/1000)-'Vacas e Bezerros'!#REF!</f>
        <v>#REF!</v>
      </c>
      <c r="FP78" s="17" t="e">
        <f>-53.07 + (304.89 * (FO78)) + (90.79 *('Vacas e Bezerros'!#REF!-'Vacas e Bezerros'!#REF!)) - (3.13 * ('Vacas e Bezerros'!#REF!-'Vacas e Bezerros'!#REF!)^2)</f>
        <v>#REF!</v>
      </c>
      <c r="FR78" s="16" t="e">
        <f>((FS77+('Vacas e Bezerros'!#REF!-(FS77*0.64))/0.8)/1000)-'Vacas e Bezerros'!#REF!</f>
        <v>#REF!</v>
      </c>
      <c r="FS78" s="17" t="e">
        <f>-53.07 + (304.89 * (FR78)) + (90.79 *('Vacas e Bezerros'!#REF!-'Vacas e Bezerros'!#REF!)) - (3.13 * ('Vacas e Bezerros'!#REF!-'Vacas e Bezerros'!#REF!)^2)</f>
        <v>#REF!</v>
      </c>
      <c r="FU78" s="16" t="e">
        <f>((FV77+('Vacas e Bezerros'!#REF!-(FV77*0.64))/0.8)/1000)-'Vacas e Bezerros'!#REF!</f>
        <v>#REF!</v>
      </c>
      <c r="FV78" s="17" t="e">
        <f>-53.07 + (304.89 * (FU78)) + (90.79 *('Vacas e Bezerros'!#REF!-'Vacas e Bezerros'!#REF!)) - (3.13 * ('Vacas e Bezerros'!#REF!-'Vacas e Bezerros'!#REF!)^2)</f>
        <v>#REF!</v>
      </c>
      <c r="FX78" s="16" t="e">
        <f>((FY77+('Vacas e Bezerros'!#REF!-(FY77*0.64))/0.8)/1000)-'Vacas e Bezerros'!#REF!</f>
        <v>#REF!</v>
      </c>
      <c r="FY78" s="17" t="e">
        <f>-53.07 + (304.89 * (FX78)) + (90.79 *('Vacas e Bezerros'!#REF!-'Vacas e Bezerros'!#REF!)) - (3.13 * ('Vacas e Bezerros'!#REF!-'Vacas e Bezerros'!#REF!)^2)</f>
        <v>#REF!</v>
      </c>
      <c r="GA78" s="16" t="e">
        <f>((GB77+('Vacas e Bezerros'!#REF!-(GB77*0.64))/0.8)/1000)-'Vacas e Bezerros'!#REF!</f>
        <v>#REF!</v>
      </c>
      <c r="GB78" s="17" t="e">
        <f>-53.07 + (304.89 * (GA78)) + (90.79 *('Vacas e Bezerros'!#REF!-'Vacas e Bezerros'!#REF!)) - (3.13 * ('Vacas e Bezerros'!#REF!-'Vacas e Bezerros'!#REF!)^2)</f>
        <v>#REF!</v>
      </c>
      <c r="GD78" s="16" t="e">
        <f>((GE77+('Vacas e Bezerros'!#REF!-(GE77*0.64))/0.8)/1000)-'Vacas e Bezerros'!#REF!</f>
        <v>#REF!</v>
      </c>
      <c r="GE78" s="17" t="e">
        <f>-53.07 + (304.89 * (GD78)) + (90.79 *('Vacas e Bezerros'!#REF!-'Vacas e Bezerros'!#REF!)) - (3.13 * ('Vacas e Bezerros'!#REF!-'Vacas e Bezerros'!#REF!)^2)</f>
        <v>#REF!</v>
      </c>
      <c r="GG78" s="16" t="e">
        <f>((GH77+('Vacas e Bezerros'!#REF!-(GH77*0.64))/0.8)/1000)-'Vacas e Bezerros'!#REF!</f>
        <v>#REF!</v>
      </c>
      <c r="GH78" s="17" t="e">
        <f>-53.07 + (304.89 * (GG78)) + (90.79 *('Vacas e Bezerros'!#REF!-'Vacas e Bezerros'!#REF!)) - (3.13 * ('Vacas e Bezerros'!#REF!-'Vacas e Bezerros'!#REF!)^2)</f>
        <v>#REF!</v>
      </c>
      <c r="GJ78" s="16" t="e">
        <f>((GK77+('Vacas e Bezerros'!#REF!-(GK77*0.64))/0.8)/1000)-'Vacas e Bezerros'!#REF!</f>
        <v>#REF!</v>
      </c>
      <c r="GK78" s="17" t="e">
        <f>-53.07 + (304.89 * (GJ78)) + (90.79 *('Vacas e Bezerros'!#REF!-'Vacas e Bezerros'!#REF!)) - (3.13 * ('Vacas e Bezerros'!#REF!-'Vacas e Bezerros'!#REF!)^2)</f>
        <v>#REF!</v>
      </c>
      <c r="GM78" s="16" t="e">
        <f>((GN77+('Vacas e Bezerros'!#REF!-(GN77*0.64))/0.8)/1000)-'Vacas e Bezerros'!#REF!</f>
        <v>#REF!</v>
      </c>
      <c r="GN78" s="17" t="e">
        <f>-53.07 + (304.89 * (GM78)) + (90.79 *('Vacas e Bezerros'!#REF!-'Vacas e Bezerros'!#REF!)) - (3.13 * ('Vacas e Bezerros'!#REF!-'Vacas e Bezerros'!#REF!)^2)</f>
        <v>#REF!</v>
      </c>
    </row>
    <row r="79" spans="3:196" x14ac:dyDescent="0.25">
      <c r="C79" s="16">
        <f>(D78+('Vacas e Bezerros'!$AA$28-(D78*0.64))/0.8)/1000</f>
        <v>0.35719668016155687</v>
      </c>
      <c r="D79" s="17">
        <f>-53.07 + (304.89 * (C79-'Vacas e Bezerros'!$C$206)) + (90.79 *('Vacas e Bezerros'!$AA$22)) - (3.13 *('Vacas e Bezerros'!$AA$22)^2)</f>
        <v>165.01876457544017</v>
      </c>
      <c r="F79" s="16" t="e">
        <f>(G78+(Crescimento!#REF!-(G78*0.64))/0.8)/1000</f>
        <v>#REF!</v>
      </c>
      <c r="G79" s="17" t="e">
        <f>-53.07 + (304.89 * (F79)) + (90.79 *Crescimento!#REF!) - (3.13 * Crescimento!#REF!*Crescimento!#REF!)</f>
        <v>#REF!</v>
      </c>
      <c r="H79" s="1"/>
      <c r="I79" s="16" t="e">
        <f>(J78+(Crescimento!#REF!-(J78*0.64))/0.8)/1000</f>
        <v>#REF!</v>
      </c>
      <c r="J79" s="17" t="e">
        <f>-53.07 + (304.89 * (I79)) + (90.79 *Crescimento!#REF!) - (3.13 * Crescimento!#REF!*Crescimento!#REF!)</f>
        <v>#REF!</v>
      </c>
      <c r="L79" s="16" t="e">
        <f>(M78+(Crescimento!#REF!-(M78*0.64))/0.8)/1000</f>
        <v>#REF!</v>
      </c>
      <c r="M79" s="17" t="e">
        <f>-53.07 + (304.89 * (L79)) + (90.79 *Crescimento!#REF!) - (3.13 * Crescimento!#REF!*Crescimento!#REF!)</f>
        <v>#REF!</v>
      </c>
      <c r="O79" s="16" t="e">
        <f>(P78+(Crescimento!#REF!-(P78*0.64))/0.8)/1000</f>
        <v>#REF!</v>
      </c>
      <c r="P79" s="17" t="e">
        <f>-53.07 + (304.89 * (O79)) + (90.79 *Crescimento!#REF!) - (3.13 * Crescimento!#REF!*Crescimento!#REF!)</f>
        <v>#REF!</v>
      </c>
      <c r="R79" s="16" t="e">
        <f>(S78+(Crescimento!#REF!-(S78*0.64))/0.8)/1000</f>
        <v>#REF!</v>
      </c>
      <c r="S79" s="17" t="e">
        <f>-53.07 + (304.89 * (R79)) + (90.79 *Crescimento!#REF!) - (3.13 * Crescimento!#REF!*Crescimento!#REF!)</f>
        <v>#REF!</v>
      </c>
      <c r="U79" s="16" t="e">
        <f>(V78+(Crescimento!#REF!-(V78*0.64))/0.8)/1000</f>
        <v>#REF!</v>
      </c>
      <c r="V79" s="17" t="e">
        <f>-53.07 + (304.89 * (U79)) + (90.79 *Crescimento!#REF!) - (3.13 * Crescimento!#REF!*Crescimento!#REF!)</f>
        <v>#REF!</v>
      </c>
      <c r="X79" s="16" t="e">
        <f>(Y78+(Crescimento!#REF!-(Y78*0.64))/0.8)/1000</f>
        <v>#REF!</v>
      </c>
      <c r="Y79" s="17" t="e">
        <f>-53.07 + (304.89 * (X79)) + (90.79 *Crescimento!#REF!) - (3.13 * Crescimento!#REF!*Crescimento!#REF!)</f>
        <v>#REF!</v>
      </c>
      <c r="Z79" s="6"/>
      <c r="AA79" s="16" t="e">
        <f>(AB78+(Crescimento!#REF!-(AB78*0.64))/0.8)/1000</f>
        <v>#REF!</v>
      </c>
      <c r="AB79" s="17" t="e">
        <f>-53.07 + (304.89 * (AA79)) + (90.79 *Crescimento!#REF!) - (3.13 * Crescimento!#REF!*Crescimento!#REF!)</f>
        <v>#REF!</v>
      </c>
      <c r="AC79" s="6"/>
      <c r="AD79" s="16" t="e">
        <f>(AE78+(Crescimento!#REF!-(AE78*0.64))/0.8)/1000</f>
        <v>#REF!</v>
      </c>
      <c r="AE79" s="17" t="e">
        <f>-53.07 + (304.89 * (AD79)) + (90.79 *Crescimento!#REF!) - (3.13 * Crescimento!#REF!*Crescimento!#REF!)</f>
        <v>#REF!</v>
      </c>
      <c r="AF79" s="17"/>
      <c r="AG79" s="16" t="e">
        <f>(AH78+(Crescimento!#REF!-(AH78*0.64))/0.8)/1000</f>
        <v>#REF!</v>
      </c>
      <c r="AH79" s="17" t="e">
        <f>-53.07 + (304.89 * (AG79)) + (90.79 *Crescimento!#REF!) - (3.13 * Crescimento!#REF!*Crescimento!#REF!)</f>
        <v>#REF!</v>
      </c>
      <c r="AJ79" s="16" t="e">
        <f>(AK78+(Crescimento!#REF!-(AK78*0.64))/0.8)/1000</f>
        <v>#REF!</v>
      </c>
      <c r="AK79" s="17" t="e">
        <f>-53.07 + (304.89 * (AJ79)) + (90.79 *Crescimento!#REF!) - (3.13 * Crescimento!#REF!*Crescimento!#REF!)</f>
        <v>#REF!</v>
      </c>
      <c r="AM79" s="16" t="e">
        <f>(AN78+(Crescimento!#REF!-(AN78*0.64))/0.8)/1000</f>
        <v>#REF!</v>
      </c>
      <c r="AN79" s="17" t="e">
        <f>-53.07 + (304.89 * (AM79)) + (90.79 *Crescimento!#REF!) - (3.13 * Crescimento!#REF!*Crescimento!#REF!)</f>
        <v>#REF!</v>
      </c>
      <c r="AP79" s="16" t="e">
        <f>(AQ78+(Crescimento!#REF!-(AQ78*0.64))/0.8)/1000</f>
        <v>#REF!</v>
      </c>
      <c r="AQ79" s="17" t="e">
        <f>-53.07 + (304.89 * (AP79)) + (90.79 *Crescimento!#REF!) - (3.13 * Crescimento!#REF!*Crescimento!#REF!)</f>
        <v>#REF!</v>
      </c>
      <c r="AS79" s="16" t="e">
        <f>(AT78+(Crescimento!#REF!-(AT78*0.64))/0.8)/1000</f>
        <v>#REF!</v>
      </c>
      <c r="AT79" s="17" t="e">
        <f>-53.07 + (304.89 * (AS79)) + (90.79 *Crescimento!#REF!) - (3.13 * Crescimento!#REF!*Crescimento!#REF!)</f>
        <v>#REF!</v>
      </c>
      <c r="AV79" s="16" t="e">
        <f>(AW78+(Crescimento!#REF!-(AW78*0.64))/0.8)/1000</f>
        <v>#REF!</v>
      </c>
      <c r="AW79" s="17" t="e">
        <f>-53.07 + (304.89 * (AV79)) + (90.79 *Crescimento!#REF!) - (3.13 * Crescimento!#REF!*Crescimento!#REF!)</f>
        <v>#REF!</v>
      </c>
      <c r="AY79" s="21" t="e">
        <f>((AZ78+(Crescimento!#REF!-(AZ78*0.64))/0.8)/1000)-Crescimento!#REF!</f>
        <v>#REF!</v>
      </c>
      <c r="AZ79" s="22" t="e">
        <f>-53.07 + (304.89 * (AY79)) + (90.79 *(Crescimento!#REF!-Crescimento!#REF!)) - (3.13 * (Crescimento!#REF!-Crescimento!#REF!)^2)</f>
        <v>#REF!</v>
      </c>
      <c r="BA79" s="23"/>
      <c r="BB79" s="21" t="e">
        <f>((BC78+(Crescimento!#REF!-(BC78*0.64))/0.8)/1000)-Crescimento!#REF!</f>
        <v>#REF!</v>
      </c>
      <c r="BC79" s="22" t="e">
        <f>-53.07 + (304.89 * (BB79)) + (90.79 *(Crescimento!#REF!-Crescimento!#REF!)) - (3.13 * (Crescimento!#REF!-Crescimento!#REF!)^2)</f>
        <v>#REF!</v>
      </c>
      <c r="BD79" s="23"/>
      <c r="BE79" s="21" t="e">
        <f>((BF78+(Crescimento!#REF!-(BF78*0.64))/0.8)/1000)-Crescimento!#REF!</f>
        <v>#REF!</v>
      </c>
      <c r="BF79" s="22" t="e">
        <f>-53.07 + (304.89 * (BE79)) + (90.79 *(Crescimento!#REF!-Crescimento!#REF!)) - (3.13 * (Crescimento!#REF!-Crescimento!#REF!)^2)</f>
        <v>#REF!</v>
      </c>
      <c r="BG79" s="23"/>
      <c r="BH79" s="21" t="e">
        <f>((BI78+(Crescimento!#REF!-(BI78*0.64))/0.8)/1000)-Crescimento!#REF!</f>
        <v>#REF!</v>
      </c>
      <c r="BI79" s="22" t="e">
        <f>-53.07 + (304.89 * (BH79)) + (90.79 *(Crescimento!#REF!-Crescimento!#REF!)) - (3.13 * (Crescimento!#REF!-Crescimento!#REF!)^2)</f>
        <v>#REF!</v>
      </c>
      <c r="BJ79" s="23"/>
      <c r="BK79" s="21" t="e">
        <f>((BL78+(Crescimento!#REF!-(BL78*0.64))/0.8)/1000)-Crescimento!#REF!</f>
        <v>#REF!</v>
      </c>
      <c r="BL79" s="22" t="e">
        <f>-53.07 + (304.89 * (BK79)) + (90.79 *(Crescimento!#REF!-Crescimento!#REF!)) - (3.13 * (Crescimento!#REF!-Crescimento!#REF!)^2)</f>
        <v>#REF!</v>
      </c>
      <c r="BM79" s="23"/>
      <c r="BN79" s="21" t="e">
        <f>((BO78+(Crescimento!#REF!-(BO78*0.64))/0.8)/1000)-Crescimento!#REF!</f>
        <v>#REF!</v>
      </c>
      <c r="BO79" s="22" t="e">
        <f>-53.07 + (304.89 * (BN79)) + (90.79 *(Crescimento!#REF!-Crescimento!#REF!)) - (3.13 * (Crescimento!#REF!-Crescimento!#REF!)^2)</f>
        <v>#REF!</v>
      </c>
      <c r="BP79" s="23"/>
      <c r="BQ79" s="21" t="e">
        <f>((BR78+(Crescimento!#REF!-(BR78*0.64))/0.8)/1000)-Crescimento!#REF!</f>
        <v>#REF!</v>
      </c>
      <c r="BR79" s="22" t="e">
        <f>-53.07 + (304.89 * (BQ79)) + (90.79 *(Crescimento!#REF!-Crescimento!#REF!)) - (3.13 * (Crescimento!#REF!-Crescimento!#REF!)^2)</f>
        <v>#REF!</v>
      </c>
      <c r="BS79" s="23"/>
      <c r="BT79" s="21" t="e">
        <f>((BU78+(Crescimento!#REF!-(BU78*0.64))/0.8)/1000)-Crescimento!#REF!</f>
        <v>#REF!</v>
      </c>
      <c r="BU79" s="22" t="e">
        <f>-53.07 + (304.89 * (BT79)) + (90.79 *(Crescimento!#REF!-Crescimento!#REF!)) - (3.13 * (Crescimento!#REF!-Crescimento!#REF!)^2)</f>
        <v>#REF!</v>
      </c>
      <c r="BV79" s="23"/>
      <c r="BW79" s="21" t="e">
        <f>((BX78+(Crescimento!#REF!-(BX78*0.64))/0.8)/1000)-Crescimento!#REF!</f>
        <v>#REF!</v>
      </c>
      <c r="BX79" s="22" t="e">
        <f>-53.07 + (304.89 * (BW79)) + (90.79 *(Crescimento!#REF!-Crescimento!#REF!)) - (3.13 * (Crescimento!#REF!-Crescimento!#REF!)^2)</f>
        <v>#REF!</v>
      </c>
      <c r="BY79" s="23"/>
      <c r="BZ79" s="21" t="e">
        <f>((CA78+(Crescimento!#REF!-(CA78*0.64))/0.8)/1000)-Crescimento!#REF!</f>
        <v>#REF!</v>
      </c>
      <c r="CA79" s="22" t="e">
        <f>-53.07 + (304.89 * (BZ79)) + (90.79 *(Crescimento!#REF!-Crescimento!#REF!)) - (3.13 * (Crescimento!#REF!-Crescimento!#REF!)^2)</f>
        <v>#REF!</v>
      </c>
      <c r="CB79" s="23"/>
      <c r="CC79" s="21" t="e">
        <f>((CD78+(Crescimento!#REF!-(CD78*0.64))/0.8)/1000)-Crescimento!#REF!</f>
        <v>#REF!</v>
      </c>
      <c r="CD79" s="22" t="e">
        <f>-53.07 + (304.89 * (CC79)) + (90.79 *(Crescimento!#REF!-Crescimento!#REF!)) - (3.13 * (Crescimento!#REF!-Crescimento!#REF!)^2)</f>
        <v>#REF!</v>
      </c>
      <c r="CE79" s="23"/>
      <c r="CF79" s="21" t="e">
        <f>((CG78+(Crescimento!#REF!-(CG78*0.64))/0.8)/1000)-Crescimento!#REF!</f>
        <v>#REF!</v>
      </c>
      <c r="CG79" s="22" t="e">
        <f>-53.07 + (304.89 * (CF79)) + (90.79 *(Crescimento!#REF!-Crescimento!#REF!)) - (3.13 * (Crescimento!#REF!-Crescimento!#REF!)^2)</f>
        <v>#REF!</v>
      </c>
      <c r="CH79" s="23"/>
      <c r="CI79" s="21" t="e">
        <f>((CJ78+(Crescimento!#REF!-(CJ78*0.64))/0.8)/1000)-Crescimento!#REF!</f>
        <v>#REF!</v>
      </c>
      <c r="CJ79" s="22" t="e">
        <f>-53.07 + (304.89 * (CI79)) + (90.79 *(Crescimento!#REF!-Crescimento!#REF!)) - (3.13 * (Crescimento!#REF!-Crescimento!#REF!)^2)</f>
        <v>#REF!</v>
      </c>
      <c r="CK79" s="23"/>
      <c r="CL79" s="21" t="e">
        <f>((CM78+(Crescimento!#REF!-(CM78*0.64))/0.8)/1000)-Crescimento!#REF!</f>
        <v>#REF!</v>
      </c>
      <c r="CM79" s="22" t="e">
        <f>-53.07 + (304.89 * (CL79)) + (90.79 *(Crescimento!#REF!-Crescimento!#REF!)) - (3.13 * (Crescimento!#REF!-Crescimento!#REF!)^2)</f>
        <v>#REF!</v>
      </c>
      <c r="CN79" s="23"/>
      <c r="CO79" s="21" t="e">
        <f>((CP78+(Crescimento!#REF!-(CP78*0.64))/0.8)/1000)-Crescimento!#REF!</f>
        <v>#REF!</v>
      </c>
      <c r="CP79" s="22" t="e">
        <f>-53.07 + (304.89 * (CO79)) + (90.79 *(Crescimento!#REF!-Crescimento!#REF!)) - (3.13 * (Crescimento!#REF!-Crescimento!#REF!)^2)</f>
        <v>#REF!</v>
      </c>
      <c r="CQ79" s="23"/>
      <c r="CR79" s="21" t="e">
        <f>((CS78+(Crescimento!#REF!-(CS78*0.64))/0.8)/1000)-Crescimento!#REF!</f>
        <v>#REF!</v>
      </c>
      <c r="CS79" s="22" t="e">
        <f>-53.07 + (304.89 * (CR79)) + (90.79 *(Crescimento!#REF!-Crescimento!#REF!)) - (3.13 * (Crescimento!#REF!-Crescimento!#REF!)^2)</f>
        <v>#REF!</v>
      </c>
      <c r="CX79" s="16" t="e">
        <f>((CY78+(Crescimento!#REF!-(CY78*0.64))/0.8)/1000)-Crescimento!#REF!</f>
        <v>#REF!</v>
      </c>
      <c r="CY79" s="17" t="e">
        <f>-53.07 + (304.89 * (CX79)) + (90.79 *(Crescimento!#REF!-Crescimento!#REF!)) - (3.13 * (Crescimento!#REF!-Crescimento!#REF!)^2)</f>
        <v>#REF!</v>
      </c>
      <c r="DA79" s="16" t="e">
        <f>((DB78+(Crescimento!#REF!-(DB78*0.64))/0.8)/1000)-Crescimento!#REF!</f>
        <v>#REF!</v>
      </c>
      <c r="DB79" s="17" t="e">
        <f>-53.07 + (304.89 * (DA79)) + (90.79 *(Crescimento!#REF!-Crescimento!#REF!)) - (3.13 * (Crescimento!#REF!-Crescimento!#REF!)^2)</f>
        <v>#REF!</v>
      </c>
      <c r="DD79" s="16" t="e">
        <f>(DE78+(Crescimento!#REF!-(DE78*0.64))/0.8)/1000</f>
        <v>#REF!</v>
      </c>
      <c r="DE79" s="17" t="e">
        <f>-53.07 + (304.89 * (DD79)) + (90.79 *Crescimento!#REF!) - (3.13 * Crescimento!#REF!*Crescimento!#REF!)</f>
        <v>#REF!</v>
      </c>
      <c r="DG79" s="16" t="e">
        <f>((DH78+(Crescimento!#REF!-(DH78*0.64))/0.8)/1000)-Crescimento!#REF!</f>
        <v>#REF!</v>
      </c>
      <c r="DH79" s="17" t="e">
        <f>-53.07 + (304.89 * (DG79)) + (90.79 *(Crescimento!#REF!-Crescimento!#REF!)) - (3.13 * (Crescimento!#REF!-Crescimento!#REF!)^2)</f>
        <v>#REF!</v>
      </c>
      <c r="DJ79" s="16" t="e">
        <f>((DK78+(Crescimento!#REF!-(DK78*0.64))/0.8)/1000)-Crescimento!#REF!</f>
        <v>#REF!</v>
      </c>
      <c r="DK79" s="17" t="e">
        <f>-53.07 + (304.89 * (DJ79)) + (90.79 *(Crescimento!#REF!-Crescimento!#REF!)) - (3.13 * (Crescimento!#REF!-Crescimento!#REF!)^2)</f>
        <v>#REF!</v>
      </c>
      <c r="DM79" s="16" t="e">
        <f>((DN78+(Crescimento!#REF!-(DN78*0.64))/0.8)/1000)-Crescimento!#REF!</f>
        <v>#REF!</v>
      </c>
      <c r="DN79" s="17" t="e">
        <f>-53.07 + (304.89 * (DM79)) + (90.79 *(Crescimento!#REF!-Crescimento!#REF!)) - (3.13 * (Crescimento!#REF!-Crescimento!#REF!)^2)</f>
        <v>#REF!</v>
      </c>
      <c r="DP79" s="16" t="e">
        <f>(DQ78+(Crescimento!#REF!-(DQ78*0.64))/0.8)/1000</f>
        <v>#REF!</v>
      </c>
      <c r="DQ79" s="17" t="e">
        <f>-53.07 + (304.89 * (DP79)) + (90.79 *(Crescimento!#REF!-Crescimento!#REF!)) - (3.13 * (Crescimento!#REF!-Crescimento!#REF!)^2)</f>
        <v>#REF!</v>
      </c>
      <c r="DS79" s="16" t="e">
        <f>((DT78+(Crescimento!#REF!-(DT78*0.64))/0.8)/1000)-Crescimento!#REF!</f>
        <v>#REF!</v>
      </c>
      <c r="DT79" s="17" t="e">
        <f>-53.07 + (304.89 * (DS79)) + (90.79 *(Crescimento!#REF!-Crescimento!#REF!)) - (3.13 * (Crescimento!#REF!-Crescimento!#REF!)^2)</f>
        <v>#REF!</v>
      </c>
      <c r="DV79" s="16" t="e">
        <f>((DW78+(Crescimento!#REF!-(DW78*0.64))/0.8)/1000)-Crescimento!#REF!</f>
        <v>#REF!</v>
      </c>
      <c r="DW79" s="17" t="e">
        <f>-53.07 + (304.89 * (DV79)) + (90.79 *(Crescimento!#REF!-Crescimento!#REF!)) - (3.13 * (Crescimento!#REF!-Crescimento!#REF!)^2)</f>
        <v>#REF!</v>
      </c>
      <c r="DY79" s="16" t="e">
        <f>((DZ78+(Crescimento!#REF!-(DZ78*0.64))/0.8)/1000)-Crescimento!#REF!</f>
        <v>#REF!</v>
      </c>
      <c r="DZ79" s="17" t="e">
        <f>-53.07 + (304.89 * (DY79)) + (90.79 *(Crescimento!#REF!-Crescimento!#REF!)) - (3.13 * (Crescimento!#REF!-Crescimento!#REF!)^2)</f>
        <v>#REF!</v>
      </c>
      <c r="EB79" s="16" t="e">
        <f>((EC78+(Crescimento!#REF!-(EC78*0.64))/0.8)/1000)-Crescimento!#REF!</f>
        <v>#REF!</v>
      </c>
      <c r="EC79" s="17" t="e">
        <f>-53.07 + (304.89 * (EB79)) + (90.79 *(Crescimento!#REF!-Crescimento!#REF!)) - (3.13 * (Crescimento!#REF!-Crescimento!#REF!)^2)</f>
        <v>#REF!</v>
      </c>
      <c r="EE79" s="16" t="e">
        <f>((EF78+(Crescimento!#REF!-(EF78*0.64))/0.8)/1000)-Crescimento!#REF!</f>
        <v>#REF!</v>
      </c>
      <c r="EF79" s="17" t="e">
        <f>-53.07 + (304.89 * (EE79)) + (90.79 *(Crescimento!#REF!-Crescimento!#REF!)) - (3.13 * (Crescimento!#REF!-Crescimento!#REF!)^2)</f>
        <v>#REF!</v>
      </c>
      <c r="EH79" s="16" t="e">
        <f>((EI78+(Crescimento!#REF!-(EI78*0.64))/0.8)/1000)-Crescimento!#REF!</f>
        <v>#REF!</v>
      </c>
      <c r="EI79" s="17" t="e">
        <f>-53.07 + (304.89 * (EH79)) + (90.79 *(Crescimento!#REF!-Crescimento!#REF!)) - (3.13 * (Crescimento!#REF!-Crescimento!#REF!)^2)</f>
        <v>#REF!</v>
      </c>
      <c r="EK79" s="16" t="e">
        <f>((EL78+(Crescimento!#REF!-(EL78*0.64))/0.8)/1000)-Crescimento!#REF!</f>
        <v>#REF!</v>
      </c>
      <c r="EL79" s="17" t="e">
        <f>-53.07 + (304.89 * (EK79)) + (90.79 *(Crescimento!#REF!-Crescimento!#REF!)) - (3.13 * (Crescimento!#REF!-Crescimento!#REF!)^2)</f>
        <v>#REF!</v>
      </c>
      <c r="EN79" s="16" t="e">
        <f>((EO78+(Crescimento!#REF!-(EO78*0.64))/0.8)/1000)-Crescimento!#REF!</f>
        <v>#REF!</v>
      </c>
      <c r="EO79" s="17" t="e">
        <f>-53.07 + (304.89 * (EN79)) + (90.79 *(Crescimento!#REF!-Crescimento!#REF!)) - (3.13 * (Crescimento!#REF!-Crescimento!#REF!)^2)</f>
        <v>#REF!</v>
      </c>
      <c r="EQ79" s="16" t="e">
        <f>((ER78+(Crescimento!#REF!-(ER78*0.64))/0.8)/1000)-Crescimento!#REF!</f>
        <v>#REF!</v>
      </c>
      <c r="ER79" s="17" t="e">
        <f>-53.07 + (304.89 * (EQ79)) + (90.79 *(Crescimento!#REF!-Crescimento!#REF!)) - (3.13 * (Crescimento!#REF!-Crescimento!#REF!)^2)</f>
        <v>#REF!</v>
      </c>
      <c r="ET79" s="16" t="e">
        <f>((EU78+(Crescimento!#REF!-(EU78*0.64))/0.8)/1000)-Crescimento!#REF!</f>
        <v>#REF!</v>
      </c>
      <c r="EU79" s="17" t="e">
        <f>-53.07 + (304.89 * (ET79)) + (90.79 *(Crescimento!#REF!-Crescimento!#REF!)) - (3.13 * (Crescimento!#REF!-Crescimento!#REF!)^2)</f>
        <v>#REF!</v>
      </c>
      <c r="EW79" s="16" t="e">
        <f>((EX78+('Vacas e Bezerros'!#REF!-(EX78*0.64))/0.8)/1000)-'Vacas e Bezerros'!#REF!</f>
        <v>#REF!</v>
      </c>
      <c r="EX79" s="17" t="e">
        <f>-53.07 + (304.89 * (EW79)) + (90.79 *('Vacas e Bezerros'!#REF!-'Vacas e Bezerros'!#REF!)) - (3.13 * ('Vacas e Bezerros'!#REF!-'Vacas e Bezerros'!#REF!)^2)</f>
        <v>#REF!</v>
      </c>
      <c r="EZ79" s="16" t="e">
        <f>((FA78+('Vacas e Bezerros'!#REF!-(FA78*0.64))/0.8)/1000)-'Vacas e Bezerros'!#REF!</f>
        <v>#REF!</v>
      </c>
      <c r="FA79" s="17" t="e">
        <f>-53.07 + (304.89 * (EZ79)) + (90.79 *('Vacas e Bezerros'!#REF!-'Vacas e Bezerros'!#REF!)) - (3.13 * ('Vacas e Bezerros'!#REF!-'Vacas e Bezerros'!#REF!)^2)</f>
        <v>#REF!</v>
      </c>
      <c r="FC79" s="16" t="e">
        <f>((FD78+('Vacas e Bezerros'!#REF!-(FD78*0.64))/0.8)/1000)-'Vacas e Bezerros'!#REF!</f>
        <v>#REF!</v>
      </c>
      <c r="FD79" s="17" t="e">
        <f>-53.07 + (304.89 * (FC79)) + (90.79 *('Vacas e Bezerros'!#REF!-'Vacas e Bezerros'!#REF!)) - (3.13 * ('Vacas e Bezerros'!#REF!-'Vacas e Bezerros'!#REF!)^2)</f>
        <v>#REF!</v>
      </c>
      <c r="FF79" s="16" t="e">
        <f>((FG78+('Vacas e Bezerros'!#REF!-(FG78*0.64))/0.8)/1000)-'Vacas e Bezerros'!#REF!</f>
        <v>#REF!</v>
      </c>
      <c r="FG79" s="17" t="e">
        <f>-53.07 + (304.89 * (FF79)) + (90.79 *('Vacas e Bezerros'!#REF!-'Vacas e Bezerros'!#REF!)) - (3.13 * ('Vacas e Bezerros'!#REF!-'Vacas e Bezerros'!#REF!)^2)</f>
        <v>#REF!</v>
      </c>
      <c r="FI79" s="16" t="e">
        <f>((FJ78+('Vacas e Bezerros'!#REF!-(FJ78*0.64))/0.8)/1000)-'Vacas e Bezerros'!#REF!</f>
        <v>#REF!</v>
      </c>
      <c r="FJ79" s="17" t="e">
        <f>-53.07 + (304.89 * (FI79)) + (90.79 *('Vacas e Bezerros'!#REF!-'Vacas e Bezerros'!#REF!)) - (3.13 * ('Vacas e Bezerros'!#REF!-'Vacas e Bezerros'!#REF!)^2)</f>
        <v>#REF!</v>
      </c>
      <c r="FL79" s="16" t="e">
        <f>((FM78+('Vacas e Bezerros'!#REF!-(FM78*0.64))/0.8)/1000)-'Vacas e Bezerros'!#REF!</f>
        <v>#REF!</v>
      </c>
      <c r="FM79" s="17" t="e">
        <f>-53.07 + (304.89 * (FL79)) + (90.79 *('Vacas e Bezerros'!#REF!-'Vacas e Bezerros'!#REF!)) - (3.13 * ('Vacas e Bezerros'!#REF!-'Vacas e Bezerros'!#REF!)^2)</f>
        <v>#REF!</v>
      </c>
      <c r="FO79" s="16" t="e">
        <f>((FP78+('Vacas e Bezerros'!#REF!-(FP78*0.64))/0.8)/1000)-'Vacas e Bezerros'!#REF!</f>
        <v>#REF!</v>
      </c>
      <c r="FP79" s="17" t="e">
        <f>-53.07 + (304.89 * (FO79)) + (90.79 *('Vacas e Bezerros'!#REF!-'Vacas e Bezerros'!#REF!)) - (3.13 * ('Vacas e Bezerros'!#REF!-'Vacas e Bezerros'!#REF!)^2)</f>
        <v>#REF!</v>
      </c>
      <c r="FR79" s="16" t="e">
        <f>((FS78+('Vacas e Bezerros'!#REF!-(FS78*0.64))/0.8)/1000)-'Vacas e Bezerros'!#REF!</f>
        <v>#REF!</v>
      </c>
      <c r="FS79" s="17" t="e">
        <f>-53.07 + (304.89 * (FR79)) + (90.79 *('Vacas e Bezerros'!#REF!-'Vacas e Bezerros'!#REF!)) - (3.13 * ('Vacas e Bezerros'!#REF!-'Vacas e Bezerros'!#REF!)^2)</f>
        <v>#REF!</v>
      </c>
      <c r="FU79" s="16" t="e">
        <f>((FV78+('Vacas e Bezerros'!#REF!-(FV78*0.64))/0.8)/1000)-'Vacas e Bezerros'!#REF!</f>
        <v>#REF!</v>
      </c>
      <c r="FV79" s="17" t="e">
        <f>-53.07 + (304.89 * (FU79)) + (90.79 *('Vacas e Bezerros'!#REF!-'Vacas e Bezerros'!#REF!)) - (3.13 * ('Vacas e Bezerros'!#REF!-'Vacas e Bezerros'!#REF!)^2)</f>
        <v>#REF!</v>
      </c>
      <c r="FX79" s="16" t="e">
        <f>((FY78+('Vacas e Bezerros'!#REF!-(FY78*0.64))/0.8)/1000)-'Vacas e Bezerros'!#REF!</f>
        <v>#REF!</v>
      </c>
      <c r="FY79" s="17" t="e">
        <f>-53.07 + (304.89 * (FX79)) + (90.79 *('Vacas e Bezerros'!#REF!-'Vacas e Bezerros'!#REF!)) - (3.13 * ('Vacas e Bezerros'!#REF!-'Vacas e Bezerros'!#REF!)^2)</f>
        <v>#REF!</v>
      </c>
      <c r="GA79" s="16" t="e">
        <f>((GB78+('Vacas e Bezerros'!#REF!-(GB78*0.64))/0.8)/1000)-'Vacas e Bezerros'!#REF!</f>
        <v>#REF!</v>
      </c>
      <c r="GB79" s="17" t="e">
        <f>-53.07 + (304.89 * (GA79)) + (90.79 *('Vacas e Bezerros'!#REF!-'Vacas e Bezerros'!#REF!)) - (3.13 * ('Vacas e Bezerros'!#REF!-'Vacas e Bezerros'!#REF!)^2)</f>
        <v>#REF!</v>
      </c>
      <c r="GD79" s="16" t="e">
        <f>((GE78+('Vacas e Bezerros'!#REF!-(GE78*0.64))/0.8)/1000)-'Vacas e Bezerros'!#REF!</f>
        <v>#REF!</v>
      </c>
      <c r="GE79" s="17" t="e">
        <f>-53.07 + (304.89 * (GD79)) + (90.79 *('Vacas e Bezerros'!#REF!-'Vacas e Bezerros'!#REF!)) - (3.13 * ('Vacas e Bezerros'!#REF!-'Vacas e Bezerros'!#REF!)^2)</f>
        <v>#REF!</v>
      </c>
      <c r="GG79" s="16" t="e">
        <f>((GH78+('Vacas e Bezerros'!#REF!-(GH78*0.64))/0.8)/1000)-'Vacas e Bezerros'!#REF!</f>
        <v>#REF!</v>
      </c>
      <c r="GH79" s="17" t="e">
        <f>-53.07 + (304.89 * (GG79)) + (90.79 *('Vacas e Bezerros'!#REF!-'Vacas e Bezerros'!#REF!)) - (3.13 * ('Vacas e Bezerros'!#REF!-'Vacas e Bezerros'!#REF!)^2)</f>
        <v>#REF!</v>
      </c>
      <c r="GJ79" s="16" t="e">
        <f>((GK78+('Vacas e Bezerros'!#REF!-(GK78*0.64))/0.8)/1000)-'Vacas e Bezerros'!#REF!</f>
        <v>#REF!</v>
      </c>
      <c r="GK79" s="17" t="e">
        <f>-53.07 + (304.89 * (GJ79)) + (90.79 *('Vacas e Bezerros'!#REF!-'Vacas e Bezerros'!#REF!)) - (3.13 * ('Vacas e Bezerros'!#REF!-'Vacas e Bezerros'!#REF!)^2)</f>
        <v>#REF!</v>
      </c>
      <c r="GM79" s="16" t="e">
        <f>((GN78+('Vacas e Bezerros'!#REF!-(GN78*0.64))/0.8)/1000)-'Vacas e Bezerros'!#REF!</f>
        <v>#REF!</v>
      </c>
      <c r="GN79" s="17" t="e">
        <f>-53.07 + (304.89 * (GM79)) + (90.79 *('Vacas e Bezerros'!#REF!-'Vacas e Bezerros'!#REF!)) - (3.13 * ('Vacas e Bezerros'!#REF!-'Vacas e Bezerros'!#REF!)^2)</f>
        <v>#REF!</v>
      </c>
    </row>
    <row r="80" spans="3:196" x14ac:dyDescent="0.25">
      <c r="C80" s="16">
        <f>(D79+('Vacas e Bezerros'!$AA$28-(D79*0.64))/0.8)/1000</f>
        <v>0.35719668016155687</v>
      </c>
      <c r="D80" s="17">
        <f>-53.07 + (304.89 * (C80-'Vacas e Bezerros'!$C$206)) + (90.79 *('Vacas e Bezerros'!$AA$22)) - (3.13 *('Vacas e Bezerros'!$AA$22)^2)</f>
        <v>165.01876457544017</v>
      </c>
      <c r="F80" s="16" t="e">
        <f>(G79+(Crescimento!#REF!-(G79*0.64))/0.8)/1000</f>
        <v>#REF!</v>
      </c>
      <c r="G80" s="17" t="e">
        <f>-53.07 + (304.89 * (F80)) + (90.79 *Crescimento!#REF!) - (3.13 * Crescimento!#REF!*Crescimento!#REF!)</f>
        <v>#REF!</v>
      </c>
      <c r="H80" s="1"/>
      <c r="I80" s="16" t="e">
        <f>(J79+(Crescimento!#REF!-(J79*0.64))/0.8)/1000</f>
        <v>#REF!</v>
      </c>
      <c r="J80" s="17" t="e">
        <f>-53.07 + (304.89 * (I80)) + (90.79 *Crescimento!#REF!) - (3.13 * Crescimento!#REF!*Crescimento!#REF!)</f>
        <v>#REF!</v>
      </c>
      <c r="L80" s="16" t="e">
        <f>(M79+(Crescimento!#REF!-(M79*0.64))/0.8)/1000</f>
        <v>#REF!</v>
      </c>
      <c r="M80" s="17" t="e">
        <f>-53.07 + (304.89 * (L80)) + (90.79 *Crescimento!#REF!) - (3.13 * Crescimento!#REF!*Crescimento!#REF!)</f>
        <v>#REF!</v>
      </c>
      <c r="O80" s="16" t="e">
        <f>(P79+(Crescimento!#REF!-(P79*0.64))/0.8)/1000</f>
        <v>#REF!</v>
      </c>
      <c r="P80" s="17" t="e">
        <f>-53.07 + (304.89 * (O80)) + (90.79 *Crescimento!#REF!) - (3.13 * Crescimento!#REF!*Crescimento!#REF!)</f>
        <v>#REF!</v>
      </c>
      <c r="R80" s="16" t="e">
        <f>(S79+(Crescimento!#REF!-(S79*0.64))/0.8)/1000</f>
        <v>#REF!</v>
      </c>
      <c r="S80" s="17" t="e">
        <f>-53.07 + (304.89 * (R80)) + (90.79 *Crescimento!#REF!) - (3.13 * Crescimento!#REF!*Crescimento!#REF!)</f>
        <v>#REF!</v>
      </c>
      <c r="U80" s="16" t="e">
        <f>(V79+(Crescimento!#REF!-(V79*0.64))/0.8)/1000</f>
        <v>#REF!</v>
      </c>
      <c r="V80" s="17" t="e">
        <f>-53.07 + (304.89 * (U80)) + (90.79 *Crescimento!#REF!) - (3.13 * Crescimento!#REF!*Crescimento!#REF!)</f>
        <v>#REF!</v>
      </c>
      <c r="X80" s="16" t="e">
        <f>(Y79+(Crescimento!#REF!-(Y79*0.64))/0.8)/1000</f>
        <v>#REF!</v>
      </c>
      <c r="Y80" s="17" t="e">
        <f>-53.07 + (304.89 * (X80)) + (90.79 *Crescimento!#REF!) - (3.13 * Crescimento!#REF!*Crescimento!#REF!)</f>
        <v>#REF!</v>
      </c>
      <c r="Z80" s="6"/>
      <c r="AA80" s="16" t="e">
        <f>(AB79+(Crescimento!#REF!-(AB79*0.64))/0.8)/1000</f>
        <v>#REF!</v>
      </c>
      <c r="AB80" s="17" t="e">
        <f>-53.07 + (304.89 * (AA80)) + (90.79 *Crescimento!#REF!) - (3.13 * Crescimento!#REF!*Crescimento!#REF!)</f>
        <v>#REF!</v>
      </c>
      <c r="AC80" s="6"/>
      <c r="AD80" s="16" t="e">
        <f>(AE79+(Crescimento!#REF!-(AE79*0.64))/0.8)/1000</f>
        <v>#REF!</v>
      </c>
      <c r="AE80" s="17" t="e">
        <f>-53.07 + (304.89 * (AD80)) + (90.79 *Crescimento!#REF!) - (3.13 * Crescimento!#REF!*Crescimento!#REF!)</f>
        <v>#REF!</v>
      </c>
      <c r="AF80" s="17"/>
      <c r="AG80" s="16" t="e">
        <f>(AH79+(Crescimento!#REF!-(AH79*0.64))/0.8)/1000</f>
        <v>#REF!</v>
      </c>
      <c r="AH80" s="17" t="e">
        <f>-53.07 + (304.89 * (AG80)) + (90.79 *Crescimento!#REF!) - (3.13 * Crescimento!#REF!*Crescimento!#REF!)</f>
        <v>#REF!</v>
      </c>
      <c r="AJ80" s="16" t="e">
        <f>(AK79+(Crescimento!#REF!-(AK79*0.64))/0.8)/1000</f>
        <v>#REF!</v>
      </c>
      <c r="AK80" s="17" t="e">
        <f>-53.07 + (304.89 * (AJ80)) + (90.79 *Crescimento!#REF!) - (3.13 * Crescimento!#REF!*Crescimento!#REF!)</f>
        <v>#REF!</v>
      </c>
      <c r="AM80" s="16" t="e">
        <f>(AN79+(Crescimento!#REF!-(AN79*0.64))/0.8)/1000</f>
        <v>#REF!</v>
      </c>
      <c r="AN80" s="17" t="e">
        <f>-53.07 + (304.89 * (AM80)) + (90.79 *Crescimento!#REF!) - (3.13 * Crescimento!#REF!*Crescimento!#REF!)</f>
        <v>#REF!</v>
      </c>
      <c r="AP80" s="16" t="e">
        <f>(AQ79+(Crescimento!#REF!-(AQ79*0.64))/0.8)/1000</f>
        <v>#REF!</v>
      </c>
      <c r="AQ80" s="17" t="e">
        <f>-53.07 + (304.89 * (AP80)) + (90.79 *Crescimento!#REF!) - (3.13 * Crescimento!#REF!*Crescimento!#REF!)</f>
        <v>#REF!</v>
      </c>
      <c r="AS80" s="16" t="e">
        <f>(AT79+(Crescimento!#REF!-(AT79*0.64))/0.8)/1000</f>
        <v>#REF!</v>
      </c>
      <c r="AT80" s="17" t="e">
        <f>-53.07 + (304.89 * (AS80)) + (90.79 *Crescimento!#REF!) - (3.13 * Crescimento!#REF!*Crescimento!#REF!)</f>
        <v>#REF!</v>
      </c>
      <c r="AV80" s="16" t="e">
        <f>(AW79+(Crescimento!#REF!-(AW79*0.64))/0.8)/1000</f>
        <v>#REF!</v>
      </c>
      <c r="AW80" s="17" t="e">
        <f>-53.07 + (304.89 * (AV80)) + (90.79 *Crescimento!#REF!) - (3.13 * Crescimento!#REF!*Crescimento!#REF!)</f>
        <v>#REF!</v>
      </c>
      <c r="AY80" s="21" t="e">
        <f>((AZ79+(Crescimento!#REF!-(AZ79*0.64))/0.8)/1000)-Crescimento!#REF!</f>
        <v>#REF!</v>
      </c>
      <c r="AZ80" s="22" t="e">
        <f>-53.07 + (304.89 * (AY80)) + (90.79 *(Crescimento!#REF!-Crescimento!#REF!)) - (3.13 * (Crescimento!#REF!-Crescimento!#REF!)^2)</f>
        <v>#REF!</v>
      </c>
      <c r="BA80" s="23"/>
      <c r="BB80" s="21" t="e">
        <f>((BC79+(Crescimento!#REF!-(BC79*0.64))/0.8)/1000)-Crescimento!#REF!</f>
        <v>#REF!</v>
      </c>
      <c r="BC80" s="22" t="e">
        <f>-53.07 + (304.89 * (BB80)) + (90.79 *(Crescimento!#REF!-Crescimento!#REF!)) - (3.13 * (Crescimento!#REF!-Crescimento!#REF!)^2)</f>
        <v>#REF!</v>
      </c>
      <c r="BD80" s="23"/>
      <c r="BE80" s="21" t="e">
        <f>((BF79+(Crescimento!#REF!-(BF79*0.64))/0.8)/1000)-Crescimento!#REF!</f>
        <v>#REF!</v>
      </c>
      <c r="BF80" s="22" t="e">
        <f>-53.07 + (304.89 * (BE80)) + (90.79 *(Crescimento!#REF!-Crescimento!#REF!)) - (3.13 * (Crescimento!#REF!-Crescimento!#REF!)^2)</f>
        <v>#REF!</v>
      </c>
      <c r="BG80" s="23"/>
      <c r="BH80" s="21" t="e">
        <f>((BI79+(Crescimento!#REF!-(BI79*0.64))/0.8)/1000)-Crescimento!#REF!</f>
        <v>#REF!</v>
      </c>
      <c r="BI80" s="22" t="e">
        <f>-53.07 + (304.89 * (BH80)) + (90.79 *(Crescimento!#REF!-Crescimento!#REF!)) - (3.13 * (Crescimento!#REF!-Crescimento!#REF!)^2)</f>
        <v>#REF!</v>
      </c>
      <c r="BJ80" s="23"/>
      <c r="BK80" s="21" t="e">
        <f>((BL79+(Crescimento!#REF!-(BL79*0.64))/0.8)/1000)-Crescimento!#REF!</f>
        <v>#REF!</v>
      </c>
      <c r="BL80" s="22" t="e">
        <f>-53.07 + (304.89 * (BK80)) + (90.79 *(Crescimento!#REF!-Crescimento!#REF!)) - (3.13 * (Crescimento!#REF!-Crescimento!#REF!)^2)</f>
        <v>#REF!</v>
      </c>
      <c r="BM80" s="23"/>
      <c r="BN80" s="21" t="e">
        <f>((BO79+(Crescimento!#REF!-(BO79*0.64))/0.8)/1000)-Crescimento!#REF!</f>
        <v>#REF!</v>
      </c>
      <c r="BO80" s="22" t="e">
        <f>-53.07 + (304.89 * (BN80)) + (90.79 *(Crescimento!#REF!-Crescimento!#REF!)) - (3.13 * (Crescimento!#REF!-Crescimento!#REF!)^2)</f>
        <v>#REF!</v>
      </c>
      <c r="BP80" s="23"/>
      <c r="BQ80" s="21" t="e">
        <f>((BR79+(Crescimento!#REF!-(BR79*0.64))/0.8)/1000)-Crescimento!#REF!</f>
        <v>#REF!</v>
      </c>
      <c r="BR80" s="22" t="e">
        <f>-53.07 + (304.89 * (BQ80)) + (90.79 *(Crescimento!#REF!-Crescimento!#REF!)) - (3.13 * (Crescimento!#REF!-Crescimento!#REF!)^2)</f>
        <v>#REF!</v>
      </c>
      <c r="BS80" s="23"/>
      <c r="BT80" s="21" t="e">
        <f>((BU79+(Crescimento!#REF!-(BU79*0.64))/0.8)/1000)-Crescimento!#REF!</f>
        <v>#REF!</v>
      </c>
      <c r="BU80" s="22" t="e">
        <f>-53.07 + (304.89 * (BT80)) + (90.79 *(Crescimento!#REF!-Crescimento!#REF!)) - (3.13 * (Crescimento!#REF!-Crescimento!#REF!)^2)</f>
        <v>#REF!</v>
      </c>
      <c r="BV80" s="23"/>
      <c r="BW80" s="21" t="e">
        <f>((BX79+(Crescimento!#REF!-(BX79*0.64))/0.8)/1000)-Crescimento!#REF!</f>
        <v>#REF!</v>
      </c>
      <c r="BX80" s="22" t="e">
        <f>-53.07 + (304.89 * (BW80)) + (90.79 *(Crescimento!#REF!-Crescimento!#REF!)) - (3.13 * (Crescimento!#REF!-Crescimento!#REF!)^2)</f>
        <v>#REF!</v>
      </c>
      <c r="BY80" s="23"/>
      <c r="BZ80" s="21" t="e">
        <f>((CA79+(Crescimento!#REF!-(CA79*0.64))/0.8)/1000)-Crescimento!#REF!</f>
        <v>#REF!</v>
      </c>
      <c r="CA80" s="22" t="e">
        <f>-53.07 + (304.89 * (BZ80)) + (90.79 *(Crescimento!#REF!-Crescimento!#REF!)) - (3.13 * (Crescimento!#REF!-Crescimento!#REF!)^2)</f>
        <v>#REF!</v>
      </c>
      <c r="CB80" s="23"/>
      <c r="CC80" s="21" t="e">
        <f>((CD79+(Crescimento!#REF!-(CD79*0.64))/0.8)/1000)-Crescimento!#REF!</f>
        <v>#REF!</v>
      </c>
      <c r="CD80" s="22" t="e">
        <f>-53.07 + (304.89 * (CC80)) + (90.79 *(Crescimento!#REF!-Crescimento!#REF!)) - (3.13 * (Crescimento!#REF!-Crescimento!#REF!)^2)</f>
        <v>#REF!</v>
      </c>
      <c r="CE80" s="23"/>
      <c r="CF80" s="21" t="e">
        <f>((CG79+(Crescimento!#REF!-(CG79*0.64))/0.8)/1000)-Crescimento!#REF!</f>
        <v>#REF!</v>
      </c>
      <c r="CG80" s="22" t="e">
        <f>-53.07 + (304.89 * (CF80)) + (90.79 *(Crescimento!#REF!-Crescimento!#REF!)) - (3.13 * (Crescimento!#REF!-Crescimento!#REF!)^2)</f>
        <v>#REF!</v>
      </c>
      <c r="CH80" s="23"/>
      <c r="CI80" s="21" t="e">
        <f>((CJ79+(Crescimento!#REF!-(CJ79*0.64))/0.8)/1000)-Crescimento!#REF!</f>
        <v>#REF!</v>
      </c>
      <c r="CJ80" s="22" t="e">
        <f>-53.07 + (304.89 * (CI80)) + (90.79 *(Crescimento!#REF!-Crescimento!#REF!)) - (3.13 * (Crescimento!#REF!-Crescimento!#REF!)^2)</f>
        <v>#REF!</v>
      </c>
      <c r="CK80" s="23"/>
      <c r="CL80" s="21" t="e">
        <f>((CM79+(Crescimento!#REF!-(CM79*0.64))/0.8)/1000)-Crescimento!#REF!</f>
        <v>#REF!</v>
      </c>
      <c r="CM80" s="22" t="e">
        <f>-53.07 + (304.89 * (CL80)) + (90.79 *(Crescimento!#REF!-Crescimento!#REF!)) - (3.13 * (Crescimento!#REF!-Crescimento!#REF!)^2)</f>
        <v>#REF!</v>
      </c>
      <c r="CN80" s="23"/>
      <c r="CO80" s="21" t="e">
        <f>((CP79+(Crescimento!#REF!-(CP79*0.64))/0.8)/1000)-Crescimento!#REF!</f>
        <v>#REF!</v>
      </c>
      <c r="CP80" s="22" t="e">
        <f>-53.07 + (304.89 * (CO80)) + (90.79 *(Crescimento!#REF!-Crescimento!#REF!)) - (3.13 * (Crescimento!#REF!-Crescimento!#REF!)^2)</f>
        <v>#REF!</v>
      </c>
      <c r="CQ80" s="23"/>
      <c r="CR80" s="21" t="e">
        <f>((CS79+(Crescimento!#REF!-(CS79*0.64))/0.8)/1000)-Crescimento!#REF!</f>
        <v>#REF!</v>
      </c>
      <c r="CS80" s="22" t="e">
        <f>-53.07 + (304.89 * (CR80)) + (90.79 *(Crescimento!#REF!-Crescimento!#REF!)) - (3.13 * (Crescimento!#REF!-Crescimento!#REF!)^2)</f>
        <v>#REF!</v>
      </c>
      <c r="CX80" s="16" t="e">
        <f>((CY79+(Crescimento!#REF!-(CY79*0.64))/0.8)/1000)-Crescimento!#REF!</f>
        <v>#REF!</v>
      </c>
      <c r="CY80" s="17" t="e">
        <f>-53.07 + (304.89 * (CX80)) + (90.79 *(Crescimento!#REF!-Crescimento!#REF!)) - (3.13 * (Crescimento!#REF!-Crescimento!#REF!)^2)</f>
        <v>#REF!</v>
      </c>
      <c r="DA80" s="16" t="e">
        <f>((DB79+(Crescimento!#REF!-(DB79*0.64))/0.8)/1000)-Crescimento!#REF!</f>
        <v>#REF!</v>
      </c>
      <c r="DB80" s="17" t="e">
        <f>-53.07 + (304.89 * (DA80)) + (90.79 *(Crescimento!#REF!-Crescimento!#REF!)) - (3.13 * (Crescimento!#REF!-Crescimento!#REF!)^2)</f>
        <v>#REF!</v>
      </c>
      <c r="DD80" s="16" t="e">
        <f>(DE79+(Crescimento!#REF!-(DE79*0.64))/0.8)/1000</f>
        <v>#REF!</v>
      </c>
      <c r="DE80" s="17" t="e">
        <f>-53.07 + (304.89 * (DD80)) + (90.79 *Crescimento!#REF!) - (3.13 * Crescimento!#REF!*Crescimento!#REF!)</f>
        <v>#REF!</v>
      </c>
      <c r="DG80" s="16" t="e">
        <f>((DH79+(Crescimento!#REF!-(DH79*0.64))/0.8)/1000)-Crescimento!#REF!</f>
        <v>#REF!</v>
      </c>
      <c r="DH80" s="17" t="e">
        <f>-53.07 + (304.89 * (DG80)) + (90.79 *(Crescimento!#REF!-Crescimento!#REF!)) - (3.13 * (Crescimento!#REF!-Crescimento!#REF!)^2)</f>
        <v>#REF!</v>
      </c>
      <c r="DJ80" s="16" t="e">
        <f>((DK79+(Crescimento!#REF!-(DK79*0.64))/0.8)/1000)-Crescimento!#REF!</f>
        <v>#REF!</v>
      </c>
      <c r="DK80" s="17" t="e">
        <f>-53.07 + (304.89 * (DJ80)) + (90.79 *(Crescimento!#REF!-Crescimento!#REF!)) - (3.13 * (Crescimento!#REF!-Crescimento!#REF!)^2)</f>
        <v>#REF!</v>
      </c>
      <c r="DM80" s="16" t="e">
        <f>((DN79+(Crescimento!#REF!-(DN79*0.64))/0.8)/1000)-Crescimento!#REF!</f>
        <v>#REF!</v>
      </c>
      <c r="DN80" s="17" t="e">
        <f>-53.07 + (304.89 * (DM80)) + (90.79 *(Crescimento!#REF!-Crescimento!#REF!)) - (3.13 * (Crescimento!#REF!-Crescimento!#REF!)^2)</f>
        <v>#REF!</v>
      </c>
      <c r="DP80" s="16" t="e">
        <f>(DQ79+(Crescimento!#REF!-(DQ79*0.64))/0.8)/1000</f>
        <v>#REF!</v>
      </c>
      <c r="DQ80" s="17" t="e">
        <f>-53.07 + (304.89 * (DP80)) + (90.79 *(Crescimento!#REF!-Crescimento!#REF!)) - (3.13 * (Crescimento!#REF!-Crescimento!#REF!)^2)</f>
        <v>#REF!</v>
      </c>
      <c r="DS80" s="16" t="e">
        <f>((DT79+(Crescimento!#REF!-(DT79*0.64))/0.8)/1000)-Crescimento!#REF!</f>
        <v>#REF!</v>
      </c>
      <c r="DT80" s="17" t="e">
        <f>-53.07 + (304.89 * (DS80)) + (90.79 *(Crescimento!#REF!-Crescimento!#REF!)) - (3.13 * (Crescimento!#REF!-Crescimento!#REF!)^2)</f>
        <v>#REF!</v>
      </c>
      <c r="DV80" s="16" t="e">
        <f>((DW79+(Crescimento!#REF!-(DW79*0.64))/0.8)/1000)-Crescimento!#REF!</f>
        <v>#REF!</v>
      </c>
      <c r="DW80" s="17" t="e">
        <f>-53.07 + (304.89 * (DV80)) + (90.79 *(Crescimento!#REF!-Crescimento!#REF!)) - (3.13 * (Crescimento!#REF!-Crescimento!#REF!)^2)</f>
        <v>#REF!</v>
      </c>
      <c r="DY80" s="16" t="e">
        <f>((DZ79+(Crescimento!#REF!-(DZ79*0.64))/0.8)/1000)-Crescimento!#REF!</f>
        <v>#REF!</v>
      </c>
      <c r="DZ80" s="17" t="e">
        <f>-53.07 + (304.89 * (DY80)) + (90.79 *(Crescimento!#REF!-Crescimento!#REF!)) - (3.13 * (Crescimento!#REF!-Crescimento!#REF!)^2)</f>
        <v>#REF!</v>
      </c>
      <c r="EB80" s="16" t="e">
        <f>((EC79+(Crescimento!#REF!-(EC79*0.64))/0.8)/1000)-Crescimento!#REF!</f>
        <v>#REF!</v>
      </c>
      <c r="EC80" s="17" t="e">
        <f>-53.07 + (304.89 * (EB80)) + (90.79 *(Crescimento!#REF!-Crescimento!#REF!)) - (3.13 * (Crescimento!#REF!-Crescimento!#REF!)^2)</f>
        <v>#REF!</v>
      </c>
      <c r="EE80" s="16" t="e">
        <f>((EF79+(Crescimento!#REF!-(EF79*0.64))/0.8)/1000)-Crescimento!#REF!</f>
        <v>#REF!</v>
      </c>
      <c r="EF80" s="17" t="e">
        <f>-53.07 + (304.89 * (EE80)) + (90.79 *(Crescimento!#REF!-Crescimento!#REF!)) - (3.13 * (Crescimento!#REF!-Crescimento!#REF!)^2)</f>
        <v>#REF!</v>
      </c>
      <c r="EH80" s="16" t="e">
        <f>((EI79+(Crescimento!#REF!-(EI79*0.64))/0.8)/1000)-Crescimento!#REF!</f>
        <v>#REF!</v>
      </c>
      <c r="EI80" s="17" t="e">
        <f>-53.07 + (304.89 * (EH80)) + (90.79 *(Crescimento!#REF!-Crescimento!#REF!)) - (3.13 * (Crescimento!#REF!-Crescimento!#REF!)^2)</f>
        <v>#REF!</v>
      </c>
      <c r="EK80" s="16" t="e">
        <f>((EL79+(Crescimento!#REF!-(EL79*0.64))/0.8)/1000)-Crescimento!#REF!</f>
        <v>#REF!</v>
      </c>
      <c r="EL80" s="17" t="e">
        <f>-53.07 + (304.89 * (EK80)) + (90.79 *(Crescimento!#REF!-Crescimento!#REF!)) - (3.13 * (Crescimento!#REF!-Crescimento!#REF!)^2)</f>
        <v>#REF!</v>
      </c>
      <c r="EN80" s="16" t="e">
        <f>((EO79+(Crescimento!#REF!-(EO79*0.64))/0.8)/1000)-Crescimento!#REF!</f>
        <v>#REF!</v>
      </c>
      <c r="EO80" s="17" t="e">
        <f>-53.07 + (304.89 * (EN80)) + (90.79 *(Crescimento!#REF!-Crescimento!#REF!)) - (3.13 * (Crescimento!#REF!-Crescimento!#REF!)^2)</f>
        <v>#REF!</v>
      </c>
      <c r="EQ80" s="16" t="e">
        <f>((ER79+(Crescimento!#REF!-(ER79*0.64))/0.8)/1000)-Crescimento!#REF!</f>
        <v>#REF!</v>
      </c>
      <c r="ER80" s="17" t="e">
        <f>-53.07 + (304.89 * (EQ80)) + (90.79 *(Crescimento!#REF!-Crescimento!#REF!)) - (3.13 * (Crescimento!#REF!-Crescimento!#REF!)^2)</f>
        <v>#REF!</v>
      </c>
      <c r="ET80" s="16" t="e">
        <f>((EU79+(Crescimento!#REF!-(EU79*0.64))/0.8)/1000)-Crescimento!#REF!</f>
        <v>#REF!</v>
      </c>
      <c r="EU80" s="17" t="e">
        <f>-53.07 + (304.89 * (ET80)) + (90.79 *(Crescimento!#REF!-Crescimento!#REF!)) - (3.13 * (Crescimento!#REF!-Crescimento!#REF!)^2)</f>
        <v>#REF!</v>
      </c>
      <c r="EW80" s="16" t="e">
        <f>((EX79+('Vacas e Bezerros'!#REF!-(EX79*0.64))/0.8)/1000)-'Vacas e Bezerros'!#REF!</f>
        <v>#REF!</v>
      </c>
      <c r="EX80" s="17" t="e">
        <f>-53.07 + (304.89 * (EW80)) + (90.79 *('Vacas e Bezerros'!#REF!-'Vacas e Bezerros'!#REF!)) - (3.13 * ('Vacas e Bezerros'!#REF!-'Vacas e Bezerros'!#REF!)^2)</f>
        <v>#REF!</v>
      </c>
      <c r="EZ80" s="16" t="e">
        <f>((FA79+('Vacas e Bezerros'!#REF!-(FA79*0.64))/0.8)/1000)-'Vacas e Bezerros'!#REF!</f>
        <v>#REF!</v>
      </c>
      <c r="FA80" s="17" t="e">
        <f>-53.07 + (304.89 * (EZ80)) + (90.79 *('Vacas e Bezerros'!#REF!-'Vacas e Bezerros'!#REF!)) - (3.13 * ('Vacas e Bezerros'!#REF!-'Vacas e Bezerros'!#REF!)^2)</f>
        <v>#REF!</v>
      </c>
      <c r="FC80" s="16" t="e">
        <f>((FD79+('Vacas e Bezerros'!#REF!-(FD79*0.64))/0.8)/1000)-'Vacas e Bezerros'!#REF!</f>
        <v>#REF!</v>
      </c>
      <c r="FD80" s="17" t="e">
        <f>-53.07 + (304.89 * (FC80)) + (90.79 *('Vacas e Bezerros'!#REF!-'Vacas e Bezerros'!#REF!)) - (3.13 * ('Vacas e Bezerros'!#REF!-'Vacas e Bezerros'!#REF!)^2)</f>
        <v>#REF!</v>
      </c>
      <c r="FF80" s="16" t="e">
        <f>((FG79+('Vacas e Bezerros'!#REF!-(FG79*0.64))/0.8)/1000)-'Vacas e Bezerros'!#REF!</f>
        <v>#REF!</v>
      </c>
      <c r="FG80" s="17" t="e">
        <f>-53.07 + (304.89 * (FF80)) + (90.79 *('Vacas e Bezerros'!#REF!-'Vacas e Bezerros'!#REF!)) - (3.13 * ('Vacas e Bezerros'!#REF!-'Vacas e Bezerros'!#REF!)^2)</f>
        <v>#REF!</v>
      </c>
      <c r="FI80" s="16" t="e">
        <f>((FJ79+('Vacas e Bezerros'!#REF!-(FJ79*0.64))/0.8)/1000)-'Vacas e Bezerros'!#REF!</f>
        <v>#REF!</v>
      </c>
      <c r="FJ80" s="17" t="e">
        <f>-53.07 + (304.89 * (FI80)) + (90.79 *('Vacas e Bezerros'!#REF!-'Vacas e Bezerros'!#REF!)) - (3.13 * ('Vacas e Bezerros'!#REF!-'Vacas e Bezerros'!#REF!)^2)</f>
        <v>#REF!</v>
      </c>
      <c r="FL80" s="16" t="e">
        <f>((FM79+('Vacas e Bezerros'!#REF!-(FM79*0.64))/0.8)/1000)-'Vacas e Bezerros'!#REF!</f>
        <v>#REF!</v>
      </c>
      <c r="FM80" s="17" t="e">
        <f>-53.07 + (304.89 * (FL80)) + (90.79 *('Vacas e Bezerros'!#REF!-'Vacas e Bezerros'!#REF!)) - (3.13 * ('Vacas e Bezerros'!#REF!-'Vacas e Bezerros'!#REF!)^2)</f>
        <v>#REF!</v>
      </c>
      <c r="FO80" s="16" t="e">
        <f>((FP79+('Vacas e Bezerros'!#REF!-(FP79*0.64))/0.8)/1000)-'Vacas e Bezerros'!#REF!</f>
        <v>#REF!</v>
      </c>
      <c r="FP80" s="17" t="e">
        <f>-53.07 + (304.89 * (FO80)) + (90.79 *('Vacas e Bezerros'!#REF!-'Vacas e Bezerros'!#REF!)) - (3.13 * ('Vacas e Bezerros'!#REF!-'Vacas e Bezerros'!#REF!)^2)</f>
        <v>#REF!</v>
      </c>
      <c r="FR80" s="16" t="e">
        <f>((FS79+('Vacas e Bezerros'!#REF!-(FS79*0.64))/0.8)/1000)-'Vacas e Bezerros'!#REF!</f>
        <v>#REF!</v>
      </c>
      <c r="FS80" s="17" t="e">
        <f>-53.07 + (304.89 * (FR80)) + (90.79 *('Vacas e Bezerros'!#REF!-'Vacas e Bezerros'!#REF!)) - (3.13 * ('Vacas e Bezerros'!#REF!-'Vacas e Bezerros'!#REF!)^2)</f>
        <v>#REF!</v>
      </c>
      <c r="FU80" s="16" t="e">
        <f>((FV79+('Vacas e Bezerros'!#REF!-(FV79*0.64))/0.8)/1000)-'Vacas e Bezerros'!#REF!</f>
        <v>#REF!</v>
      </c>
      <c r="FV80" s="17" t="e">
        <f>-53.07 + (304.89 * (FU80)) + (90.79 *('Vacas e Bezerros'!#REF!-'Vacas e Bezerros'!#REF!)) - (3.13 * ('Vacas e Bezerros'!#REF!-'Vacas e Bezerros'!#REF!)^2)</f>
        <v>#REF!</v>
      </c>
      <c r="FX80" s="16" t="e">
        <f>((FY79+('Vacas e Bezerros'!#REF!-(FY79*0.64))/0.8)/1000)-'Vacas e Bezerros'!#REF!</f>
        <v>#REF!</v>
      </c>
      <c r="FY80" s="17" t="e">
        <f>-53.07 + (304.89 * (FX80)) + (90.79 *('Vacas e Bezerros'!#REF!-'Vacas e Bezerros'!#REF!)) - (3.13 * ('Vacas e Bezerros'!#REF!-'Vacas e Bezerros'!#REF!)^2)</f>
        <v>#REF!</v>
      </c>
      <c r="GA80" s="16" t="e">
        <f>((GB79+('Vacas e Bezerros'!#REF!-(GB79*0.64))/0.8)/1000)-'Vacas e Bezerros'!#REF!</f>
        <v>#REF!</v>
      </c>
      <c r="GB80" s="17" t="e">
        <f>-53.07 + (304.89 * (GA80)) + (90.79 *('Vacas e Bezerros'!#REF!-'Vacas e Bezerros'!#REF!)) - (3.13 * ('Vacas e Bezerros'!#REF!-'Vacas e Bezerros'!#REF!)^2)</f>
        <v>#REF!</v>
      </c>
      <c r="GD80" s="16" t="e">
        <f>((GE79+('Vacas e Bezerros'!#REF!-(GE79*0.64))/0.8)/1000)-'Vacas e Bezerros'!#REF!</f>
        <v>#REF!</v>
      </c>
      <c r="GE80" s="17" t="e">
        <f>-53.07 + (304.89 * (GD80)) + (90.79 *('Vacas e Bezerros'!#REF!-'Vacas e Bezerros'!#REF!)) - (3.13 * ('Vacas e Bezerros'!#REF!-'Vacas e Bezerros'!#REF!)^2)</f>
        <v>#REF!</v>
      </c>
      <c r="GG80" s="16" t="e">
        <f>((GH79+('Vacas e Bezerros'!#REF!-(GH79*0.64))/0.8)/1000)-'Vacas e Bezerros'!#REF!</f>
        <v>#REF!</v>
      </c>
      <c r="GH80" s="17" t="e">
        <f>-53.07 + (304.89 * (GG80)) + (90.79 *('Vacas e Bezerros'!#REF!-'Vacas e Bezerros'!#REF!)) - (3.13 * ('Vacas e Bezerros'!#REF!-'Vacas e Bezerros'!#REF!)^2)</f>
        <v>#REF!</v>
      </c>
      <c r="GJ80" s="16" t="e">
        <f>((GK79+('Vacas e Bezerros'!#REF!-(GK79*0.64))/0.8)/1000)-'Vacas e Bezerros'!#REF!</f>
        <v>#REF!</v>
      </c>
      <c r="GK80" s="17" t="e">
        <f>-53.07 + (304.89 * (GJ80)) + (90.79 *('Vacas e Bezerros'!#REF!-'Vacas e Bezerros'!#REF!)) - (3.13 * ('Vacas e Bezerros'!#REF!-'Vacas e Bezerros'!#REF!)^2)</f>
        <v>#REF!</v>
      </c>
      <c r="GM80" s="16" t="e">
        <f>((GN79+('Vacas e Bezerros'!#REF!-(GN79*0.64))/0.8)/1000)-'Vacas e Bezerros'!#REF!</f>
        <v>#REF!</v>
      </c>
      <c r="GN80" s="17" t="e">
        <f>-53.07 + (304.89 * (GM80)) + (90.79 *('Vacas e Bezerros'!#REF!-'Vacas e Bezerros'!#REF!)) - (3.13 * ('Vacas e Bezerros'!#REF!-'Vacas e Bezerros'!#REF!)^2)</f>
        <v>#REF!</v>
      </c>
    </row>
    <row r="81" spans="3:196" x14ac:dyDescent="0.25">
      <c r="C81" s="16">
        <f>(D80+('Vacas e Bezerros'!$AA$28-(D80*0.64))/0.8)/1000</f>
        <v>0.35719668016155687</v>
      </c>
      <c r="D81" s="17">
        <f>-53.07 + (304.89 * (C81-'Vacas e Bezerros'!$C$206)) + (90.79 *('Vacas e Bezerros'!$AA$22)) - (3.13 *('Vacas e Bezerros'!$AA$22)^2)</f>
        <v>165.01876457544017</v>
      </c>
      <c r="F81" s="16" t="e">
        <f>(G80+(Crescimento!#REF!-(G80*0.64))/0.8)/1000</f>
        <v>#REF!</v>
      </c>
      <c r="G81" s="17" t="e">
        <f>-53.07 + (304.89 * (F81)) + (90.79 *Crescimento!#REF!) - (3.13 * Crescimento!#REF!*Crescimento!#REF!)</f>
        <v>#REF!</v>
      </c>
      <c r="H81" s="1"/>
      <c r="I81" s="16" t="e">
        <f>(J80+(Crescimento!#REF!-(J80*0.64))/0.8)/1000</f>
        <v>#REF!</v>
      </c>
      <c r="J81" s="17" t="e">
        <f>-53.07 + (304.89 * (I81)) + (90.79 *Crescimento!#REF!) - (3.13 * Crescimento!#REF!*Crescimento!#REF!)</f>
        <v>#REF!</v>
      </c>
      <c r="L81" s="16" t="e">
        <f>(M80+(Crescimento!#REF!-(M80*0.64))/0.8)/1000</f>
        <v>#REF!</v>
      </c>
      <c r="M81" s="17" t="e">
        <f>-53.07 + (304.89 * (L81)) + (90.79 *Crescimento!#REF!) - (3.13 * Crescimento!#REF!*Crescimento!#REF!)</f>
        <v>#REF!</v>
      </c>
      <c r="O81" s="16" t="e">
        <f>(P80+(Crescimento!#REF!-(P80*0.64))/0.8)/1000</f>
        <v>#REF!</v>
      </c>
      <c r="P81" s="17" t="e">
        <f>-53.07 + (304.89 * (O81)) + (90.79 *Crescimento!#REF!) - (3.13 * Crescimento!#REF!*Crescimento!#REF!)</f>
        <v>#REF!</v>
      </c>
      <c r="R81" s="16" t="e">
        <f>(S80+(Crescimento!#REF!-(S80*0.64))/0.8)/1000</f>
        <v>#REF!</v>
      </c>
      <c r="S81" s="17" t="e">
        <f>-53.07 + (304.89 * (R81)) + (90.79 *Crescimento!#REF!) - (3.13 * Crescimento!#REF!*Crescimento!#REF!)</f>
        <v>#REF!</v>
      </c>
      <c r="U81" s="16" t="e">
        <f>(V80+(Crescimento!#REF!-(V80*0.64))/0.8)/1000</f>
        <v>#REF!</v>
      </c>
      <c r="V81" s="17" t="e">
        <f>-53.07 + (304.89 * (U81)) + (90.79 *Crescimento!#REF!) - (3.13 * Crescimento!#REF!*Crescimento!#REF!)</f>
        <v>#REF!</v>
      </c>
      <c r="X81" s="16" t="e">
        <f>(Y80+(Crescimento!#REF!-(Y80*0.64))/0.8)/1000</f>
        <v>#REF!</v>
      </c>
      <c r="Y81" s="17" t="e">
        <f>-53.07 + (304.89 * (X81)) + (90.79 *Crescimento!#REF!) - (3.13 * Crescimento!#REF!*Crescimento!#REF!)</f>
        <v>#REF!</v>
      </c>
      <c r="Z81" s="6"/>
      <c r="AA81" s="16" t="e">
        <f>(AB80+(Crescimento!#REF!-(AB80*0.64))/0.8)/1000</f>
        <v>#REF!</v>
      </c>
      <c r="AB81" s="17" t="e">
        <f>-53.07 + (304.89 * (AA81)) + (90.79 *Crescimento!#REF!) - (3.13 * Crescimento!#REF!*Crescimento!#REF!)</f>
        <v>#REF!</v>
      </c>
      <c r="AC81" s="6"/>
      <c r="AD81" s="16" t="e">
        <f>(AE80+(Crescimento!#REF!-(AE80*0.64))/0.8)/1000</f>
        <v>#REF!</v>
      </c>
      <c r="AE81" s="17" t="e">
        <f>-53.07 + (304.89 * (AD81)) + (90.79 *Crescimento!#REF!) - (3.13 * Crescimento!#REF!*Crescimento!#REF!)</f>
        <v>#REF!</v>
      </c>
      <c r="AF81" s="17"/>
      <c r="AG81" s="16" t="e">
        <f>(AH80+(Crescimento!#REF!-(AH80*0.64))/0.8)/1000</f>
        <v>#REF!</v>
      </c>
      <c r="AH81" s="17" t="e">
        <f>-53.07 + (304.89 * (AG81)) + (90.79 *Crescimento!#REF!) - (3.13 * Crescimento!#REF!*Crescimento!#REF!)</f>
        <v>#REF!</v>
      </c>
      <c r="AJ81" s="16" t="e">
        <f>(AK80+(Crescimento!#REF!-(AK80*0.64))/0.8)/1000</f>
        <v>#REF!</v>
      </c>
      <c r="AK81" s="17" t="e">
        <f>-53.07 + (304.89 * (AJ81)) + (90.79 *Crescimento!#REF!) - (3.13 * Crescimento!#REF!*Crescimento!#REF!)</f>
        <v>#REF!</v>
      </c>
      <c r="AM81" s="16" t="e">
        <f>(AN80+(Crescimento!#REF!-(AN80*0.64))/0.8)/1000</f>
        <v>#REF!</v>
      </c>
      <c r="AN81" s="17" t="e">
        <f>-53.07 + (304.89 * (AM81)) + (90.79 *Crescimento!#REF!) - (3.13 * Crescimento!#REF!*Crescimento!#REF!)</f>
        <v>#REF!</v>
      </c>
      <c r="AP81" s="16" t="e">
        <f>(AQ80+(Crescimento!#REF!-(AQ80*0.64))/0.8)/1000</f>
        <v>#REF!</v>
      </c>
      <c r="AQ81" s="17" t="e">
        <f>-53.07 + (304.89 * (AP81)) + (90.79 *Crescimento!#REF!) - (3.13 * Crescimento!#REF!*Crescimento!#REF!)</f>
        <v>#REF!</v>
      </c>
      <c r="AS81" s="16" t="e">
        <f>(AT80+(Crescimento!#REF!-(AT80*0.64))/0.8)/1000</f>
        <v>#REF!</v>
      </c>
      <c r="AT81" s="17" t="e">
        <f>-53.07 + (304.89 * (AS81)) + (90.79 *Crescimento!#REF!) - (3.13 * Crescimento!#REF!*Crescimento!#REF!)</f>
        <v>#REF!</v>
      </c>
      <c r="AV81" s="16" t="e">
        <f>(AW80+(Crescimento!#REF!-(AW80*0.64))/0.8)/1000</f>
        <v>#REF!</v>
      </c>
      <c r="AW81" s="17" t="e">
        <f>-53.07 + (304.89 * (AV81)) + (90.79 *Crescimento!#REF!) - (3.13 * Crescimento!#REF!*Crescimento!#REF!)</f>
        <v>#REF!</v>
      </c>
      <c r="AY81" s="21" t="e">
        <f>((AZ80+(Crescimento!#REF!-(AZ80*0.64))/0.8)/1000)-Crescimento!#REF!</f>
        <v>#REF!</v>
      </c>
      <c r="AZ81" s="22" t="e">
        <f>-53.07 + (304.89 * (AY81)) + (90.79 *(Crescimento!#REF!-Crescimento!#REF!)) - (3.13 * (Crescimento!#REF!-Crescimento!#REF!)^2)</f>
        <v>#REF!</v>
      </c>
      <c r="BA81" s="23"/>
      <c r="BB81" s="21" t="e">
        <f>((BC80+(Crescimento!#REF!-(BC80*0.64))/0.8)/1000)-Crescimento!#REF!</f>
        <v>#REF!</v>
      </c>
      <c r="BC81" s="22" t="e">
        <f>-53.07 + (304.89 * (BB81)) + (90.79 *(Crescimento!#REF!-Crescimento!#REF!)) - (3.13 * (Crescimento!#REF!-Crescimento!#REF!)^2)</f>
        <v>#REF!</v>
      </c>
      <c r="BD81" s="23"/>
      <c r="BE81" s="21" t="e">
        <f>((BF80+(Crescimento!#REF!-(BF80*0.64))/0.8)/1000)-Crescimento!#REF!</f>
        <v>#REF!</v>
      </c>
      <c r="BF81" s="22" t="e">
        <f>-53.07 + (304.89 * (BE81)) + (90.79 *(Crescimento!#REF!-Crescimento!#REF!)) - (3.13 * (Crescimento!#REF!-Crescimento!#REF!)^2)</f>
        <v>#REF!</v>
      </c>
      <c r="BG81" s="23"/>
      <c r="BH81" s="21" t="e">
        <f>((BI80+(Crescimento!#REF!-(BI80*0.64))/0.8)/1000)-Crescimento!#REF!</f>
        <v>#REF!</v>
      </c>
      <c r="BI81" s="22" t="e">
        <f>-53.07 + (304.89 * (BH81)) + (90.79 *(Crescimento!#REF!-Crescimento!#REF!)) - (3.13 * (Crescimento!#REF!-Crescimento!#REF!)^2)</f>
        <v>#REF!</v>
      </c>
      <c r="BJ81" s="23"/>
      <c r="BK81" s="21" t="e">
        <f>((BL80+(Crescimento!#REF!-(BL80*0.64))/0.8)/1000)-Crescimento!#REF!</f>
        <v>#REF!</v>
      </c>
      <c r="BL81" s="22" t="e">
        <f>-53.07 + (304.89 * (BK81)) + (90.79 *(Crescimento!#REF!-Crescimento!#REF!)) - (3.13 * (Crescimento!#REF!-Crescimento!#REF!)^2)</f>
        <v>#REF!</v>
      </c>
      <c r="BM81" s="23"/>
      <c r="BN81" s="21" t="e">
        <f>((BO80+(Crescimento!#REF!-(BO80*0.64))/0.8)/1000)-Crescimento!#REF!</f>
        <v>#REF!</v>
      </c>
      <c r="BO81" s="22" t="e">
        <f>-53.07 + (304.89 * (BN81)) + (90.79 *(Crescimento!#REF!-Crescimento!#REF!)) - (3.13 * (Crescimento!#REF!-Crescimento!#REF!)^2)</f>
        <v>#REF!</v>
      </c>
      <c r="BP81" s="23"/>
      <c r="BQ81" s="21" t="e">
        <f>((BR80+(Crescimento!#REF!-(BR80*0.64))/0.8)/1000)-Crescimento!#REF!</f>
        <v>#REF!</v>
      </c>
      <c r="BR81" s="22" t="e">
        <f>-53.07 + (304.89 * (BQ81)) + (90.79 *(Crescimento!#REF!-Crescimento!#REF!)) - (3.13 * (Crescimento!#REF!-Crescimento!#REF!)^2)</f>
        <v>#REF!</v>
      </c>
      <c r="BS81" s="23"/>
      <c r="BT81" s="21" t="e">
        <f>((BU80+(Crescimento!#REF!-(BU80*0.64))/0.8)/1000)-Crescimento!#REF!</f>
        <v>#REF!</v>
      </c>
      <c r="BU81" s="22" t="e">
        <f>-53.07 + (304.89 * (BT81)) + (90.79 *(Crescimento!#REF!-Crescimento!#REF!)) - (3.13 * (Crescimento!#REF!-Crescimento!#REF!)^2)</f>
        <v>#REF!</v>
      </c>
      <c r="BV81" s="23"/>
      <c r="BW81" s="21" t="e">
        <f>((BX80+(Crescimento!#REF!-(BX80*0.64))/0.8)/1000)-Crescimento!#REF!</f>
        <v>#REF!</v>
      </c>
      <c r="BX81" s="22" t="e">
        <f>-53.07 + (304.89 * (BW81)) + (90.79 *(Crescimento!#REF!-Crescimento!#REF!)) - (3.13 * (Crescimento!#REF!-Crescimento!#REF!)^2)</f>
        <v>#REF!</v>
      </c>
      <c r="BY81" s="23"/>
      <c r="BZ81" s="21" t="e">
        <f>((CA80+(Crescimento!#REF!-(CA80*0.64))/0.8)/1000)-Crescimento!#REF!</f>
        <v>#REF!</v>
      </c>
      <c r="CA81" s="22" t="e">
        <f>-53.07 + (304.89 * (BZ81)) + (90.79 *(Crescimento!#REF!-Crescimento!#REF!)) - (3.13 * (Crescimento!#REF!-Crescimento!#REF!)^2)</f>
        <v>#REF!</v>
      </c>
      <c r="CB81" s="23"/>
      <c r="CC81" s="21" t="e">
        <f>((CD80+(Crescimento!#REF!-(CD80*0.64))/0.8)/1000)-Crescimento!#REF!</f>
        <v>#REF!</v>
      </c>
      <c r="CD81" s="22" t="e">
        <f>-53.07 + (304.89 * (CC81)) + (90.79 *(Crescimento!#REF!-Crescimento!#REF!)) - (3.13 * (Crescimento!#REF!-Crescimento!#REF!)^2)</f>
        <v>#REF!</v>
      </c>
      <c r="CE81" s="23"/>
      <c r="CF81" s="21" t="e">
        <f>((CG80+(Crescimento!#REF!-(CG80*0.64))/0.8)/1000)-Crescimento!#REF!</f>
        <v>#REF!</v>
      </c>
      <c r="CG81" s="22" t="e">
        <f>-53.07 + (304.89 * (CF81)) + (90.79 *(Crescimento!#REF!-Crescimento!#REF!)) - (3.13 * (Crescimento!#REF!-Crescimento!#REF!)^2)</f>
        <v>#REF!</v>
      </c>
      <c r="CH81" s="23"/>
      <c r="CI81" s="21" t="e">
        <f>((CJ80+(Crescimento!#REF!-(CJ80*0.64))/0.8)/1000)-Crescimento!#REF!</f>
        <v>#REF!</v>
      </c>
      <c r="CJ81" s="22" t="e">
        <f>-53.07 + (304.89 * (CI81)) + (90.79 *(Crescimento!#REF!-Crescimento!#REF!)) - (3.13 * (Crescimento!#REF!-Crescimento!#REF!)^2)</f>
        <v>#REF!</v>
      </c>
      <c r="CK81" s="23"/>
      <c r="CL81" s="21" t="e">
        <f>((CM80+(Crescimento!#REF!-(CM80*0.64))/0.8)/1000)-Crescimento!#REF!</f>
        <v>#REF!</v>
      </c>
      <c r="CM81" s="22" t="e">
        <f>-53.07 + (304.89 * (CL81)) + (90.79 *(Crescimento!#REF!-Crescimento!#REF!)) - (3.13 * (Crescimento!#REF!-Crescimento!#REF!)^2)</f>
        <v>#REF!</v>
      </c>
      <c r="CN81" s="23"/>
      <c r="CO81" s="21" t="e">
        <f>((CP80+(Crescimento!#REF!-(CP80*0.64))/0.8)/1000)-Crescimento!#REF!</f>
        <v>#REF!</v>
      </c>
      <c r="CP81" s="22" t="e">
        <f>-53.07 + (304.89 * (CO81)) + (90.79 *(Crescimento!#REF!-Crescimento!#REF!)) - (3.13 * (Crescimento!#REF!-Crescimento!#REF!)^2)</f>
        <v>#REF!</v>
      </c>
      <c r="CQ81" s="23"/>
      <c r="CR81" s="21" t="e">
        <f>((CS80+(Crescimento!#REF!-(CS80*0.64))/0.8)/1000)-Crescimento!#REF!</f>
        <v>#REF!</v>
      </c>
      <c r="CS81" s="22" t="e">
        <f>-53.07 + (304.89 * (CR81)) + (90.79 *(Crescimento!#REF!-Crescimento!#REF!)) - (3.13 * (Crescimento!#REF!-Crescimento!#REF!)^2)</f>
        <v>#REF!</v>
      </c>
      <c r="CX81" s="16" t="e">
        <f>((CY80+(Crescimento!#REF!-(CY80*0.64))/0.8)/1000)-Crescimento!#REF!</f>
        <v>#REF!</v>
      </c>
      <c r="CY81" s="17" t="e">
        <f>-53.07 + (304.89 * (CX81)) + (90.79 *(Crescimento!#REF!-Crescimento!#REF!)) - (3.13 * (Crescimento!#REF!-Crescimento!#REF!)^2)</f>
        <v>#REF!</v>
      </c>
      <c r="DA81" s="16" t="e">
        <f>((DB80+(Crescimento!#REF!-(DB80*0.64))/0.8)/1000)-Crescimento!#REF!</f>
        <v>#REF!</v>
      </c>
      <c r="DB81" s="17" t="e">
        <f>-53.07 + (304.89 * (DA81)) + (90.79 *(Crescimento!#REF!-Crescimento!#REF!)) - (3.13 * (Crescimento!#REF!-Crescimento!#REF!)^2)</f>
        <v>#REF!</v>
      </c>
      <c r="DD81" s="16" t="e">
        <f>(DE80+(Crescimento!#REF!-(DE80*0.64))/0.8)/1000</f>
        <v>#REF!</v>
      </c>
      <c r="DE81" s="17" t="e">
        <f>-53.07 + (304.89 * (DD81)) + (90.79 *Crescimento!#REF!) - (3.13 * Crescimento!#REF!*Crescimento!#REF!)</f>
        <v>#REF!</v>
      </c>
      <c r="DG81" s="16" t="e">
        <f>((DH80+(Crescimento!#REF!-(DH80*0.64))/0.8)/1000)-Crescimento!#REF!</f>
        <v>#REF!</v>
      </c>
      <c r="DH81" s="17" t="e">
        <f>-53.07 + (304.89 * (DG81)) + (90.79 *(Crescimento!#REF!-Crescimento!#REF!)) - (3.13 * (Crescimento!#REF!-Crescimento!#REF!)^2)</f>
        <v>#REF!</v>
      </c>
      <c r="DJ81" s="16" t="e">
        <f>((DK80+(Crescimento!#REF!-(DK80*0.64))/0.8)/1000)-Crescimento!#REF!</f>
        <v>#REF!</v>
      </c>
      <c r="DK81" s="17" t="e">
        <f>-53.07 + (304.89 * (DJ81)) + (90.79 *(Crescimento!#REF!-Crescimento!#REF!)) - (3.13 * (Crescimento!#REF!-Crescimento!#REF!)^2)</f>
        <v>#REF!</v>
      </c>
      <c r="DM81" s="16" t="e">
        <f>((DN80+(Crescimento!#REF!-(DN80*0.64))/0.8)/1000)-Crescimento!#REF!</f>
        <v>#REF!</v>
      </c>
      <c r="DN81" s="17" t="e">
        <f>-53.07 + (304.89 * (DM81)) + (90.79 *(Crescimento!#REF!-Crescimento!#REF!)) - (3.13 * (Crescimento!#REF!-Crescimento!#REF!)^2)</f>
        <v>#REF!</v>
      </c>
      <c r="DP81" s="16" t="e">
        <f>(DQ80+(Crescimento!#REF!-(DQ80*0.64))/0.8)/1000</f>
        <v>#REF!</v>
      </c>
      <c r="DQ81" s="17" t="e">
        <f>-53.07 + (304.89 * (DP81)) + (90.79 *(Crescimento!#REF!-Crescimento!#REF!)) - (3.13 * (Crescimento!#REF!-Crescimento!#REF!)^2)</f>
        <v>#REF!</v>
      </c>
      <c r="DS81" s="16" t="e">
        <f>((DT80+(Crescimento!#REF!-(DT80*0.64))/0.8)/1000)-Crescimento!#REF!</f>
        <v>#REF!</v>
      </c>
      <c r="DT81" s="17" t="e">
        <f>-53.07 + (304.89 * (DS81)) + (90.79 *(Crescimento!#REF!-Crescimento!#REF!)) - (3.13 * (Crescimento!#REF!-Crescimento!#REF!)^2)</f>
        <v>#REF!</v>
      </c>
      <c r="DV81" s="16" t="e">
        <f>((DW80+(Crescimento!#REF!-(DW80*0.64))/0.8)/1000)-Crescimento!#REF!</f>
        <v>#REF!</v>
      </c>
      <c r="DW81" s="17" t="e">
        <f>-53.07 + (304.89 * (DV81)) + (90.79 *(Crescimento!#REF!-Crescimento!#REF!)) - (3.13 * (Crescimento!#REF!-Crescimento!#REF!)^2)</f>
        <v>#REF!</v>
      </c>
      <c r="DY81" s="16" t="e">
        <f>((DZ80+(Crescimento!#REF!-(DZ80*0.64))/0.8)/1000)-Crescimento!#REF!</f>
        <v>#REF!</v>
      </c>
      <c r="DZ81" s="17" t="e">
        <f>-53.07 + (304.89 * (DY81)) + (90.79 *(Crescimento!#REF!-Crescimento!#REF!)) - (3.13 * (Crescimento!#REF!-Crescimento!#REF!)^2)</f>
        <v>#REF!</v>
      </c>
      <c r="EB81" s="16" t="e">
        <f>((EC80+(Crescimento!#REF!-(EC80*0.64))/0.8)/1000)-Crescimento!#REF!</f>
        <v>#REF!</v>
      </c>
      <c r="EC81" s="17" t="e">
        <f>-53.07 + (304.89 * (EB81)) + (90.79 *(Crescimento!#REF!-Crescimento!#REF!)) - (3.13 * (Crescimento!#REF!-Crescimento!#REF!)^2)</f>
        <v>#REF!</v>
      </c>
      <c r="EE81" s="16" t="e">
        <f>((EF80+(Crescimento!#REF!-(EF80*0.64))/0.8)/1000)-Crescimento!#REF!</f>
        <v>#REF!</v>
      </c>
      <c r="EF81" s="17" t="e">
        <f>-53.07 + (304.89 * (EE81)) + (90.79 *(Crescimento!#REF!-Crescimento!#REF!)) - (3.13 * (Crescimento!#REF!-Crescimento!#REF!)^2)</f>
        <v>#REF!</v>
      </c>
      <c r="EH81" s="16" t="e">
        <f>((EI80+(Crescimento!#REF!-(EI80*0.64))/0.8)/1000)-Crescimento!#REF!</f>
        <v>#REF!</v>
      </c>
      <c r="EI81" s="17" t="e">
        <f>-53.07 + (304.89 * (EH81)) + (90.79 *(Crescimento!#REF!-Crescimento!#REF!)) - (3.13 * (Crescimento!#REF!-Crescimento!#REF!)^2)</f>
        <v>#REF!</v>
      </c>
      <c r="EK81" s="16" t="e">
        <f>((EL80+(Crescimento!#REF!-(EL80*0.64))/0.8)/1000)-Crescimento!#REF!</f>
        <v>#REF!</v>
      </c>
      <c r="EL81" s="17" t="e">
        <f>-53.07 + (304.89 * (EK81)) + (90.79 *(Crescimento!#REF!-Crescimento!#REF!)) - (3.13 * (Crescimento!#REF!-Crescimento!#REF!)^2)</f>
        <v>#REF!</v>
      </c>
      <c r="EN81" s="16" t="e">
        <f>((EO80+(Crescimento!#REF!-(EO80*0.64))/0.8)/1000)-Crescimento!#REF!</f>
        <v>#REF!</v>
      </c>
      <c r="EO81" s="17" t="e">
        <f>-53.07 + (304.89 * (EN81)) + (90.79 *(Crescimento!#REF!-Crescimento!#REF!)) - (3.13 * (Crescimento!#REF!-Crescimento!#REF!)^2)</f>
        <v>#REF!</v>
      </c>
      <c r="EQ81" s="16" t="e">
        <f>((ER80+(Crescimento!#REF!-(ER80*0.64))/0.8)/1000)-Crescimento!#REF!</f>
        <v>#REF!</v>
      </c>
      <c r="ER81" s="17" t="e">
        <f>-53.07 + (304.89 * (EQ81)) + (90.79 *(Crescimento!#REF!-Crescimento!#REF!)) - (3.13 * (Crescimento!#REF!-Crescimento!#REF!)^2)</f>
        <v>#REF!</v>
      </c>
      <c r="ET81" s="16" t="e">
        <f>((EU80+(Crescimento!#REF!-(EU80*0.64))/0.8)/1000)-Crescimento!#REF!</f>
        <v>#REF!</v>
      </c>
      <c r="EU81" s="17" t="e">
        <f>-53.07 + (304.89 * (ET81)) + (90.79 *(Crescimento!#REF!-Crescimento!#REF!)) - (3.13 * (Crescimento!#REF!-Crescimento!#REF!)^2)</f>
        <v>#REF!</v>
      </c>
      <c r="EW81" s="16" t="e">
        <f>((EX80+('Vacas e Bezerros'!#REF!-(EX80*0.64))/0.8)/1000)-'Vacas e Bezerros'!#REF!</f>
        <v>#REF!</v>
      </c>
      <c r="EX81" s="17" t="e">
        <f>-53.07 + (304.89 * (EW81)) + (90.79 *('Vacas e Bezerros'!#REF!-'Vacas e Bezerros'!#REF!)) - (3.13 * ('Vacas e Bezerros'!#REF!-'Vacas e Bezerros'!#REF!)^2)</f>
        <v>#REF!</v>
      </c>
      <c r="EZ81" s="16" t="e">
        <f>((FA80+('Vacas e Bezerros'!#REF!-(FA80*0.64))/0.8)/1000)-'Vacas e Bezerros'!#REF!</f>
        <v>#REF!</v>
      </c>
      <c r="FA81" s="17" t="e">
        <f>-53.07 + (304.89 * (EZ81)) + (90.79 *('Vacas e Bezerros'!#REF!-'Vacas e Bezerros'!#REF!)) - (3.13 * ('Vacas e Bezerros'!#REF!-'Vacas e Bezerros'!#REF!)^2)</f>
        <v>#REF!</v>
      </c>
      <c r="FC81" s="16" t="e">
        <f>((FD80+('Vacas e Bezerros'!#REF!-(FD80*0.64))/0.8)/1000)-'Vacas e Bezerros'!#REF!</f>
        <v>#REF!</v>
      </c>
      <c r="FD81" s="17" t="e">
        <f>-53.07 + (304.89 * (FC81)) + (90.79 *('Vacas e Bezerros'!#REF!-'Vacas e Bezerros'!#REF!)) - (3.13 * ('Vacas e Bezerros'!#REF!-'Vacas e Bezerros'!#REF!)^2)</f>
        <v>#REF!</v>
      </c>
      <c r="FF81" s="16" t="e">
        <f>((FG80+('Vacas e Bezerros'!#REF!-(FG80*0.64))/0.8)/1000)-'Vacas e Bezerros'!#REF!</f>
        <v>#REF!</v>
      </c>
      <c r="FG81" s="17" t="e">
        <f>-53.07 + (304.89 * (FF81)) + (90.79 *('Vacas e Bezerros'!#REF!-'Vacas e Bezerros'!#REF!)) - (3.13 * ('Vacas e Bezerros'!#REF!-'Vacas e Bezerros'!#REF!)^2)</f>
        <v>#REF!</v>
      </c>
      <c r="FI81" s="16" t="e">
        <f>((FJ80+('Vacas e Bezerros'!#REF!-(FJ80*0.64))/0.8)/1000)-'Vacas e Bezerros'!#REF!</f>
        <v>#REF!</v>
      </c>
      <c r="FJ81" s="17" t="e">
        <f>-53.07 + (304.89 * (FI81)) + (90.79 *('Vacas e Bezerros'!#REF!-'Vacas e Bezerros'!#REF!)) - (3.13 * ('Vacas e Bezerros'!#REF!-'Vacas e Bezerros'!#REF!)^2)</f>
        <v>#REF!</v>
      </c>
      <c r="FL81" s="16" t="e">
        <f>((FM80+('Vacas e Bezerros'!#REF!-(FM80*0.64))/0.8)/1000)-'Vacas e Bezerros'!#REF!</f>
        <v>#REF!</v>
      </c>
      <c r="FM81" s="17" t="e">
        <f>-53.07 + (304.89 * (FL81)) + (90.79 *('Vacas e Bezerros'!#REF!-'Vacas e Bezerros'!#REF!)) - (3.13 * ('Vacas e Bezerros'!#REF!-'Vacas e Bezerros'!#REF!)^2)</f>
        <v>#REF!</v>
      </c>
      <c r="FO81" s="16" t="e">
        <f>((FP80+('Vacas e Bezerros'!#REF!-(FP80*0.64))/0.8)/1000)-'Vacas e Bezerros'!#REF!</f>
        <v>#REF!</v>
      </c>
      <c r="FP81" s="17" t="e">
        <f>-53.07 + (304.89 * (FO81)) + (90.79 *('Vacas e Bezerros'!#REF!-'Vacas e Bezerros'!#REF!)) - (3.13 * ('Vacas e Bezerros'!#REF!-'Vacas e Bezerros'!#REF!)^2)</f>
        <v>#REF!</v>
      </c>
      <c r="FR81" s="16" t="e">
        <f>((FS80+('Vacas e Bezerros'!#REF!-(FS80*0.64))/0.8)/1000)-'Vacas e Bezerros'!#REF!</f>
        <v>#REF!</v>
      </c>
      <c r="FS81" s="17" t="e">
        <f>-53.07 + (304.89 * (FR81)) + (90.79 *('Vacas e Bezerros'!#REF!-'Vacas e Bezerros'!#REF!)) - (3.13 * ('Vacas e Bezerros'!#REF!-'Vacas e Bezerros'!#REF!)^2)</f>
        <v>#REF!</v>
      </c>
      <c r="FU81" s="16" t="e">
        <f>((FV80+('Vacas e Bezerros'!#REF!-(FV80*0.64))/0.8)/1000)-'Vacas e Bezerros'!#REF!</f>
        <v>#REF!</v>
      </c>
      <c r="FV81" s="17" t="e">
        <f>-53.07 + (304.89 * (FU81)) + (90.79 *('Vacas e Bezerros'!#REF!-'Vacas e Bezerros'!#REF!)) - (3.13 * ('Vacas e Bezerros'!#REF!-'Vacas e Bezerros'!#REF!)^2)</f>
        <v>#REF!</v>
      </c>
      <c r="FX81" s="16" t="e">
        <f>((FY80+('Vacas e Bezerros'!#REF!-(FY80*0.64))/0.8)/1000)-'Vacas e Bezerros'!#REF!</f>
        <v>#REF!</v>
      </c>
      <c r="FY81" s="17" t="e">
        <f>-53.07 + (304.89 * (FX81)) + (90.79 *('Vacas e Bezerros'!#REF!-'Vacas e Bezerros'!#REF!)) - (3.13 * ('Vacas e Bezerros'!#REF!-'Vacas e Bezerros'!#REF!)^2)</f>
        <v>#REF!</v>
      </c>
      <c r="GA81" s="16" t="e">
        <f>((GB80+('Vacas e Bezerros'!#REF!-(GB80*0.64))/0.8)/1000)-'Vacas e Bezerros'!#REF!</f>
        <v>#REF!</v>
      </c>
      <c r="GB81" s="17" t="e">
        <f>-53.07 + (304.89 * (GA81)) + (90.79 *('Vacas e Bezerros'!#REF!-'Vacas e Bezerros'!#REF!)) - (3.13 * ('Vacas e Bezerros'!#REF!-'Vacas e Bezerros'!#REF!)^2)</f>
        <v>#REF!</v>
      </c>
      <c r="GD81" s="16" t="e">
        <f>((GE80+('Vacas e Bezerros'!#REF!-(GE80*0.64))/0.8)/1000)-'Vacas e Bezerros'!#REF!</f>
        <v>#REF!</v>
      </c>
      <c r="GE81" s="17" t="e">
        <f>-53.07 + (304.89 * (GD81)) + (90.79 *('Vacas e Bezerros'!#REF!-'Vacas e Bezerros'!#REF!)) - (3.13 * ('Vacas e Bezerros'!#REF!-'Vacas e Bezerros'!#REF!)^2)</f>
        <v>#REF!</v>
      </c>
      <c r="GG81" s="16" t="e">
        <f>((GH80+('Vacas e Bezerros'!#REF!-(GH80*0.64))/0.8)/1000)-'Vacas e Bezerros'!#REF!</f>
        <v>#REF!</v>
      </c>
      <c r="GH81" s="17" t="e">
        <f>-53.07 + (304.89 * (GG81)) + (90.79 *('Vacas e Bezerros'!#REF!-'Vacas e Bezerros'!#REF!)) - (3.13 * ('Vacas e Bezerros'!#REF!-'Vacas e Bezerros'!#REF!)^2)</f>
        <v>#REF!</v>
      </c>
      <c r="GJ81" s="16" t="e">
        <f>((GK80+('Vacas e Bezerros'!#REF!-(GK80*0.64))/0.8)/1000)-'Vacas e Bezerros'!#REF!</f>
        <v>#REF!</v>
      </c>
      <c r="GK81" s="17" t="e">
        <f>-53.07 + (304.89 * (GJ81)) + (90.79 *('Vacas e Bezerros'!#REF!-'Vacas e Bezerros'!#REF!)) - (3.13 * ('Vacas e Bezerros'!#REF!-'Vacas e Bezerros'!#REF!)^2)</f>
        <v>#REF!</v>
      </c>
      <c r="GM81" s="16" t="e">
        <f>((GN80+('Vacas e Bezerros'!#REF!-(GN80*0.64))/0.8)/1000)-'Vacas e Bezerros'!#REF!</f>
        <v>#REF!</v>
      </c>
      <c r="GN81" s="17" t="e">
        <f>-53.07 + (304.89 * (GM81)) + (90.79 *('Vacas e Bezerros'!#REF!-'Vacas e Bezerros'!#REF!)) - (3.13 * ('Vacas e Bezerros'!#REF!-'Vacas e Bezerros'!#REF!)^2)</f>
        <v>#REF!</v>
      </c>
    </row>
    <row r="82" spans="3:196" x14ac:dyDescent="0.25">
      <c r="C82" s="16">
        <f>(D81+('Vacas e Bezerros'!$AA$28-(D81*0.64))/0.8)/1000</f>
        <v>0.35719668016155687</v>
      </c>
      <c r="D82" s="17">
        <f>-53.07 + (304.89 * (C82-'Vacas e Bezerros'!$C$206)) + (90.79 *('Vacas e Bezerros'!$AA$22)) - (3.13 *('Vacas e Bezerros'!$AA$22)^2)</f>
        <v>165.01876457544017</v>
      </c>
      <c r="F82" s="16" t="e">
        <f>(G81+(Crescimento!#REF!-(G81*0.64))/0.8)/1000</f>
        <v>#REF!</v>
      </c>
      <c r="G82" s="17" t="e">
        <f>-53.07 + (304.89 * (F82)) + (90.79 *Crescimento!#REF!) - (3.13 * Crescimento!#REF!*Crescimento!#REF!)</f>
        <v>#REF!</v>
      </c>
      <c r="H82" s="1"/>
      <c r="I82" s="16" t="e">
        <f>(J81+(Crescimento!#REF!-(J81*0.64))/0.8)/1000</f>
        <v>#REF!</v>
      </c>
      <c r="J82" s="17" t="e">
        <f>-53.07 + (304.89 * (I82)) + (90.79 *Crescimento!#REF!) - (3.13 * Crescimento!#REF!*Crescimento!#REF!)</f>
        <v>#REF!</v>
      </c>
      <c r="L82" s="16" t="e">
        <f>(M81+(Crescimento!#REF!-(M81*0.64))/0.8)/1000</f>
        <v>#REF!</v>
      </c>
      <c r="M82" s="17" t="e">
        <f>-53.07 + (304.89 * (L82)) + (90.79 *Crescimento!#REF!) - (3.13 * Crescimento!#REF!*Crescimento!#REF!)</f>
        <v>#REF!</v>
      </c>
      <c r="O82" s="16" t="e">
        <f>(P81+(Crescimento!#REF!-(P81*0.64))/0.8)/1000</f>
        <v>#REF!</v>
      </c>
      <c r="P82" s="17" t="e">
        <f>-53.07 + (304.89 * (O82)) + (90.79 *Crescimento!#REF!) - (3.13 * Crescimento!#REF!*Crescimento!#REF!)</f>
        <v>#REF!</v>
      </c>
      <c r="R82" s="16" t="e">
        <f>(S81+(Crescimento!#REF!-(S81*0.64))/0.8)/1000</f>
        <v>#REF!</v>
      </c>
      <c r="S82" s="17" t="e">
        <f>-53.07 + (304.89 * (R82)) + (90.79 *Crescimento!#REF!) - (3.13 * Crescimento!#REF!*Crescimento!#REF!)</f>
        <v>#REF!</v>
      </c>
      <c r="U82" s="16" t="e">
        <f>(V81+(Crescimento!#REF!-(V81*0.64))/0.8)/1000</f>
        <v>#REF!</v>
      </c>
      <c r="V82" s="17" t="e">
        <f>-53.07 + (304.89 * (U82)) + (90.79 *Crescimento!#REF!) - (3.13 * Crescimento!#REF!*Crescimento!#REF!)</f>
        <v>#REF!</v>
      </c>
      <c r="X82" s="16" t="e">
        <f>(Y81+(Crescimento!#REF!-(Y81*0.64))/0.8)/1000</f>
        <v>#REF!</v>
      </c>
      <c r="Y82" s="17" t="e">
        <f>-53.07 + (304.89 * (X82)) + (90.79 *Crescimento!#REF!) - (3.13 * Crescimento!#REF!*Crescimento!#REF!)</f>
        <v>#REF!</v>
      </c>
      <c r="Z82" s="6"/>
      <c r="AA82" s="16" t="e">
        <f>(AB81+(Crescimento!#REF!-(AB81*0.64))/0.8)/1000</f>
        <v>#REF!</v>
      </c>
      <c r="AB82" s="17" t="e">
        <f>-53.07 + (304.89 * (AA82)) + (90.79 *Crescimento!#REF!) - (3.13 * Crescimento!#REF!*Crescimento!#REF!)</f>
        <v>#REF!</v>
      </c>
      <c r="AC82" s="6"/>
      <c r="AD82" s="16" t="e">
        <f>(AE81+(Crescimento!#REF!-(AE81*0.64))/0.8)/1000</f>
        <v>#REF!</v>
      </c>
      <c r="AE82" s="17" t="e">
        <f>-53.07 + (304.89 * (AD82)) + (90.79 *Crescimento!#REF!) - (3.13 * Crescimento!#REF!*Crescimento!#REF!)</f>
        <v>#REF!</v>
      </c>
      <c r="AF82" s="17"/>
      <c r="AG82" s="16" t="e">
        <f>(AH81+(Crescimento!#REF!-(AH81*0.64))/0.8)/1000</f>
        <v>#REF!</v>
      </c>
      <c r="AH82" s="17" t="e">
        <f>-53.07 + (304.89 * (AG82)) + (90.79 *Crescimento!#REF!) - (3.13 * Crescimento!#REF!*Crescimento!#REF!)</f>
        <v>#REF!</v>
      </c>
      <c r="AJ82" s="16" t="e">
        <f>(AK81+(Crescimento!#REF!-(AK81*0.64))/0.8)/1000</f>
        <v>#REF!</v>
      </c>
      <c r="AK82" s="17" t="e">
        <f>-53.07 + (304.89 * (AJ82)) + (90.79 *Crescimento!#REF!) - (3.13 * Crescimento!#REF!*Crescimento!#REF!)</f>
        <v>#REF!</v>
      </c>
      <c r="AM82" s="16" t="e">
        <f>(AN81+(Crescimento!#REF!-(AN81*0.64))/0.8)/1000</f>
        <v>#REF!</v>
      </c>
      <c r="AN82" s="17" t="e">
        <f>-53.07 + (304.89 * (AM82)) + (90.79 *Crescimento!#REF!) - (3.13 * Crescimento!#REF!*Crescimento!#REF!)</f>
        <v>#REF!</v>
      </c>
      <c r="AP82" s="16" t="e">
        <f>(AQ81+(Crescimento!#REF!-(AQ81*0.64))/0.8)/1000</f>
        <v>#REF!</v>
      </c>
      <c r="AQ82" s="17" t="e">
        <f>-53.07 + (304.89 * (AP82)) + (90.79 *Crescimento!#REF!) - (3.13 * Crescimento!#REF!*Crescimento!#REF!)</f>
        <v>#REF!</v>
      </c>
      <c r="AS82" s="16" t="e">
        <f>(AT81+(Crescimento!#REF!-(AT81*0.64))/0.8)/1000</f>
        <v>#REF!</v>
      </c>
      <c r="AT82" s="17" t="e">
        <f>-53.07 + (304.89 * (AS82)) + (90.79 *Crescimento!#REF!) - (3.13 * Crescimento!#REF!*Crescimento!#REF!)</f>
        <v>#REF!</v>
      </c>
      <c r="AV82" s="16" t="e">
        <f>(AW81+(Crescimento!#REF!-(AW81*0.64))/0.8)/1000</f>
        <v>#REF!</v>
      </c>
      <c r="AW82" s="17" t="e">
        <f>-53.07 + (304.89 * (AV82)) + (90.79 *Crescimento!#REF!) - (3.13 * Crescimento!#REF!*Crescimento!#REF!)</f>
        <v>#REF!</v>
      </c>
      <c r="AY82" s="21" t="e">
        <f>((AZ81+(Crescimento!#REF!-(AZ81*0.64))/0.8)/1000)-Crescimento!#REF!</f>
        <v>#REF!</v>
      </c>
      <c r="AZ82" s="22" t="e">
        <f>-53.07 + (304.89 * (AY82)) + (90.79 *(Crescimento!#REF!-Crescimento!#REF!)) - (3.13 * (Crescimento!#REF!-Crescimento!#REF!)^2)</f>
        <v>#REF!</v>
      </c>
      <c r="BA82" s="23"/>
      <c r="BB82" s="21" t="e">
        <f>((BC81+(Crescimento!#REF!-(BC81*0.64))/0.8)/1000)-Crescimento!#REF!</f>
        <v>#REF!</v>
      </c>
      <c r="BC82" s="22" t="e">
        <f>-53.07 + (304.89 * (BB82)) + (90.79 *(Crescimento!#REF!-Crescimento!#REF!)) - (3.13 * (Crescimento!#REF!-Crescimento!#REF!)^2)</f>
        <v>#REF!</v>
      </c>
      <c r="BD82" s="23"/>
      <c r="BE82" s="21" t="e">
        <f>((BF81+(Crescimento!#REF!-(BF81*0.64))/0.8)/1000)-Crescimento!#REF!</f>
        <v>#REF!</v>
      </c>
      <c r="BF82" s="22" t="e">
        <f>-53.07 + (304.89 * (BE82)) + (90.79 *(Crescimento!#REF!-Crescimento!#REF!)) - (3.13 * (Crescimento!#REF!-Crescimento!#REF!)^2)</f>
        <v>#REF!</v>
      </c>
      <c r="BG82" s="23"/>
      <c r="BH82" s="21" t="e">
        <f>((BI81+(Crescimento!#REF!-(BI81*0.64))/0.8)/1000)-Crescimento!#REF!</f>
        <v>#REF!</v>
      </c>
      <c r="BI82" s="22" t="e">
        <f>-53.07 + (304.89 * (BH82)) + (90.79 *(Crescimento!#REF!-Crescimento!#REF!)) - (3.13 * (Crescimento!#REF!-Crescimento!#REF!)^2)</f>
        <v>#REF!</v>
      </c>
      <c r="BJ82" s="23"/>
      <c r="BK82" s="21" t="e">
        <f>((BL81+(Crescimento!#REF!-(BL81*0.64))/0.8)/1000)-Crescimento!#REF!</f>
        <v>#REF!</v>
      </c>
      <c r="BL82" s="22" t="e">
        <f>-53.07 + (304.89 * (BK82)) + (90.79 *(Crescimento!#REF!-Crescimento!#REF!)) - (3.13 * (Crescimento!#REF!-Crescimento!#REF!)^2)</f>
        <v>#REF!</v>
      </c>
      <c r="BM82" s="23"/>
      <c r="BN82" s="21" t="e">
        <f>((BO81+(Crescimento!#REF!-(BO81*0.64))/0.8)/1000)-Crescimento!#REF!</f>
        <v>#REF!</v>
      </c>
      <c r="BO82" s="22" t="e">
        <f>-53.07 + (304.89 * (BN82)) + (90.79 *(Crescimento!#REF!-Crescimento!#REF!)) - (3.13 * (Crescimento!#REF!-Crescimento!#REF!)^2)</f>
        <v>#REF!</v>
      </c>
      <c r="BP82" s="23"/>
      <c r="BQ82" s="21" t="e">
        <f>((BR81+(Crescimento!#REF!-(BR81*0.64))/0.8)/1000)-Crescimento!#REF!</f>
        <v>#REF!</v>
      </c>
      <c r="BR82" s="22" t="e">
        <f>-53.07 + (304.89 * (BQ82)) + (90.79 *(Crescimento!#REF!-Crescimento!#REF!)) - (3.13 * (Crescimento!#REF!-Crescimento!#REF!)^2)</f>
        <v>#REF!</v>
      </c>
      <c r="BS82" s="23"/>
      <c r="BT82" s="21" t="e">
        <f>((BU81+(Crescimento!#REF!-(BU81*0.64))/0.8)/1000)-Crescimento!#REF!</f>
        <v>#REF!</v>
      </c>
      <c r="BU82" s="22" t="e">
        <f>-53.07 + (304.89 * (BT82)) + (90.79 *(Crescimento!#REF!-Crescimento!#REF!)) - (3.13 * (Crescimento!#REF!-Crescimento!#REF!)^2)</f>
        <v>#REF!</v>
      </c>
      <c r="BV82" s="23"/>
      <c r="BW82" s="21" t="e">
        <f>((BX81+(Crescimento!#REF!-(BX81*0.64))/0.8)/1000)-Crescimento!#REF!</f>
        <v>#REF!</v>
      </c>
      <c r="BX82" s="22" t="e">
        <f>-53.07 + (304.89 * (BW82)) + (90.79 *(Crescimento!#REF!-Crescimento!#REF!)) - (3.13 * (Crescimento!#REF!-Crescimento!#REF!)^2)</f>
        <v>#REF!</v>
      </c>
      <c r="BY82" s="23"/>
      <c r="BZ82" s="21" t="e">
        <f>((CA81+(Crescimento!#REF!-(CA81*0.64))/0.8)/1000)-Crescimento!#REF!</f>
        <v>#REF!</v>
      </c>
      <c r="CA82" s="22" t="e">
        <f>-53.07 + (304.89 * (BZ82)) + (90.79 *(Crescimento!#REF!-Crescimento!#REF!)) - (3.13 * (Crescimento!#REF!-Crescimento!#REF!)^2)</f>
        <v>#REF!</v>
      </c>
      <c r="CB82" s="23"/>
      <c r="CC82" s="21" t="e">
        <f>((CD81+(Crescimento!#REF!-(CD81*0.64))/0.8)/1000)-Crescimento!#REF!</f>
        <v>#REF!</v>
      </c>
      <c r="CD82" s="22" t="e">
        <f>-53.07 + (304.89 * (CC82)) + (90.79 *(Crescimento!#REF!-Crescimento!#REF!)) - (3.13 * (Crescimento!#REF!-Crescimento!#REF!)^2)</f>
        <v>#REF!</v>
      </c>
      <c r="CE82" s="23"/>
      <c r="CF82" s="21" t="e">
        <f>((CG81+(Crescimento!#REF!-(CG81*0.64))/0.8)/1000)-Crescimento!#REF!</f>
        <v>#REF!</v>
      </c>
      <c r="CG82" s="22" t="e">
        <f>-53.07 + (304.89 * (CF82)) + (90.79 *(Crescimento!#REF!-Crescimento!#REF!)) - (3.13 * (Crescimento!#REF!-Crescimento!#REF!)^2)</f>
        <v>#REF!</v>
      </c>
      <c r="CH82" s="23"/>
      <c r="CI82" s="21" t="e">
        <f>((CJ81+(Crescimento!#REF!-(CJ81*0.64))/0.8)/1000)-Crescimento!#REF!</f>
        <v>#REF!</v>
      </c>
      <c r="CJ82" s="22" t="e">
        <f>-53.07 + (304.89 * (CI82)) + (90.79 *(Crescimento!#REF!-Crescimento!#REF!)) - (3.13 * (Crescimento!#REF!-Crescimento!#REF!)^2)</f>
        <v>#REF!</v>
      </c>
      <c r="CK82" s="23"/>
      <c r="CL82" s="21" t="e">
        <f>((CM81+(Crescimento!#REF!-(CM81*0.64))/0.8)/1000)-Crescimento!#REF!</f>
        <v>#REF!</v>
      </c>
      <c r="CM82" s="22" t="e">
        <f>-53.07 + (304.89 * (CL82)) + (90.79 *(Crescimento!#REF!-Crescimento!#REF!)) - (3.13 * (Crescimento!#REF!-Crescimento!#REF!)^2)</f>
        <v>#REF!</v>
      </c>
      <c r="CN82" s="23"/>
      <c r="CO82" s="21" t="e">
        <f>((CP81+(Crescimento!#REF!-(CP81*0.64))/0.8)/1000)-Crescimento!#REF!</f>
        <v>#REF!</v>
      </c>
      <c r="CP82" s="22" t="e">
        <f>-53.07 + (304.89 * (CO82)) + (90.79 *(Crescimento!#REF!-Crescimento!#REF!)) - (3.13 * (Crescimento!#REF!-Crescimento!#REF!)^2)</f>
        <v>#REF!</v>
      </c>
      <c r="CQ82" s="23"/>
      <c r="CR82" s="21" t="e">
        <f>((CS81+(Crescimento!#REF!-(CS81*0.64))/0.8)/1000)-Crescimento!#REF!</f>
        <v>#REF!</v>
      </c>
      <c r="CS82" s="22" t="e">
        <f>-53.07 + (304.89 * (CR82)) + (90.79 *(Crescimento!#REF!-Crescimento!#REF!)) - (3.13 * (Crescimento!#REF!-Crescimento!#REF!)^2)</f>
        <v>#REF!</v>
      </c>
      <c r="CX82" s="16" t="e">
        <f>((CY81+(Crescimento!#REF!-(CY81*0.64))/0.8)/1000)-Crescimento!#REF!</f>
        <v>#REF!</v>
      </c>
      <c r="CY82" s="17" t="e">
        <f>-53.07 + (304.89 * (CX82)) + (90.79 *(Crescimento!#REF!-Crescimento!#REF!)) - (3.13 * (Crescimento!#REF!-Crescimento!#REF!)^2)</f>
        <v>#REF!</v>
      </c>
      <c r="DA82" s="16" t="e">
        <f>((DB81+(Crescimento!#REF!-(DB81*0.64))/0.8)/1000)-Crescimento!#REF!</f>
        <v>#REF!</v>
      </c>
      <c r="DB82" s="17" t="e">
        <f>-53.07 + (304.89 * (DA82)) + (90.79 *(Crescimento!#REF!-Crescimento!#REF!)) - (3.13 * (Crescimento!#REF!-Crescimento!#REF!)^2)</f>
        <v>#REF!</v>
      </c>
      <c r="DD82" s="16" t="e">
        <f>(DE81+(Crescimento!#REF!-(DE81*0.64))/0.8)/1000</f>
        <v>#REF!</v>
      </c>
      <c r="DE82" s="17" t="e">
        <f>-53.07 + (304.89 * (DD82)) + (90.79 *Crescimento!#REF!) - (3.13 * Crescimento!#REF!*Crescimento!#REF!)</f>
        <v>#REF!</v>
      </c>
      <c r="DG82" s="16" t="e">
        <f>((DH81+(Crescimento!#REF!-(DH81*0.64))/0.8)/1000)-Crescimento!#REF!</f>
        <v>#REF!</v>
      </c>
      <c r="DH82" s="17" t="e">
        <f>-53.07 + (304.89 * (DG82)) + (90.79 *(Crescimento!#REF!-Crescimento!#REF!)) - (3.13 * (Crescimento!#REF!-Crescimento!#REF!)^2)</f>
        <v>#REF!</v>
      </c>
      <c r="DJ82" s="16" t="e">
        <f>((DK81+(Crescimento!#REF!-(DK81*0.64))/0.8)/1000)-Crescimento!#REF!</f>
        <v>#REF!</v>
      </c>
      <c r="DK82" s="17" t="e">
        <f>-53.07 + (304.89 * (DJ82)) + (90.79 *(Crescimento!#REF!-Crescimento!#REF!)) - (3.13 * (Crescimento!#REF!-Crescimento!#REF!)^2)</f>
        <v>#REF!</v>
      </c>
      <c r="DM82" s="16" t="e">
        <f>((DN81+(Crescimento!#REF!-(DN81*0.64))/0.8)/1000)-Crescimento!#REF!</f>
        <v>#REF!</v>
      </c>
      <c r="DN82" s="17" t="e">
        <f>-53.07 + (304.89 * (DM82)) + (90.79 *(Crescimento!#REF!-Crescimento!#REF!)) - (3.13 * (Crescimento!#REF!-Crescimento!#REF!)^2)</f>
        <v>#REF!</v>
      </c>
      <c r="DP82" s="16" t="e">
        <f>(DQ81+(Crescimento!#REF!-(DQ81*0.64))/0.8)/1000</f>
        <v>#REF!</v>
      </c>
      <c r="DQ82" s="17" t="e">
        <f>-53.07 + (304.89 * (DP82)) + (90.79 *(Crescimento!#REF!-Crescimento!#REF!)) - (3.13 * (Crescimento!#REF!-Crescimento!#REF!)^2)</f>
        <v>#REF!</v>
      </c>
      <c r="DS82" s="16" t="e">
        <f>((DT81+(Crescimento!#REF!-(DT81*0.64))/0.8)/1000)-Crescimento!#REF!</f>
        <v>#REF!</v>
      </c>
      <c r="DT82" s="17" t="e">
        <f>-53.07 + (304.89 * (DS82)) + (90.79 *(Crescimento!#REF!-Crescimento!#REF!)) - (3.13 * (Crescimento!#REF!-Crescimento!#REF!)^2)</f>
        <v>#REF!</v>
      </c>
      <c r="DV82" s="16" t="e">
        <f>((DW81+(Crescimento!#REF!-(DW81*0.64))/0.8)/1000)-Crescimento!#REF!</f>
        <v>#REF!</v>
      </c>
      <c r="DW82" s="17" t="e">
        <f>-53.07 + (304.89 * (DV82)) + (90.79 *(Crescimento!#REF!-Crescimento!#REF!)) - (3.13 * (Crescimento!#REF!-Crescimento!#REF!)^2)</f>
        <v>#REF!</v>
      </c>
      <c r="DY82" s="16" t="e">
        <f>((DZ81+(Crescimento!#REF!-(DZ81*0.64))/0.8)/1000)-Crescimento!#REF!</f>
        <v>#REF!</v>
      </c>
      <c r="DZ82" s="17" t="e">
        <f>-53.07 + (304.89 * (DY82)) + (90.79 *(Crescimento!#REF!-Crescimento!#REF!)) - (3.13 * (Crescimento!#REF!-Crescimento!#REF!)^2)</f>
        <v>#REF!</v>
      </c>
      <c r="EB82" s="16" t="e">
        <f>((EC81+(Crescimento!#REF!-(EC81*0.64))/0.8)/1000)-Crescimento!#REF!</f>
        <v>#REF!</v>
      </c>
      <c r="EC82" s="17" t="e">
        <f>-53.07 + (304.89 * (EB82)) + (90.79 *(Crescimento!#REF!-Crescimento!#REF!)) - (3.13 * (Crescimento!#REF!-Crescimento!#REF!)^2)</f>
        <v>#REF!</v>
      </c>
      <c r="EE82" s="16" t="e">
        <f>((EF81+(Crescimento!#REF!-(EF81*0.64))/0.8)/1000)-Crescimento!#REF!</f>
        <v>#REF!</v>
      </c>
      <c r="EF82" s="17" t="e">
        <f>-53.07 + (304.89 * (EE82)) + (90.79 *(Crescimento!#REF!-Crescimento!#REF!)) - (3.13 * (Crescimento!#REF!-Crescimento!#REF!)^2)</f>
        <v>#REF!</v>
      </c>
      <c r="EH82" s="16" t="e">
        <f>((EI81+(Crescimento!#REF!-(EI81*0.64))/0.8)/1000)-Crescimento!#REF!</f>
        <v>#REF!</v>
      </c>
      <c r="EI82" s="17" t="e">
        <f>-53.07 + (304.89 * (EH82)) + (90.79 *(Crescimento!#REF!-Crescimento!#REF!)) - (3.13 * (Crescimento!#REF!-Crescimento!#REF!)^2)</f>
        <v>#REF!</v>
      </c>
      <c r="EK82" s="16" t="e">
        <f>((EL81+(Crescimento!#REF!-(EL81*0.64))/0.8)/1000)-Crescimento!#REF!</f>
        <v>#REF!</v>
      </c>
      <c r="EL82" s="17" t="e">
        <f>-53.07 + (304.89 * (EK82)) + (90.79 *(Crescimento!#REF!-Crescimento!#REF!)) - (3.13 * (Crescimento!#REF!-Crescimento!#REF!)^2)</f>
        <v>#REF!</v>
      </c>
      <c r="EN82" s="16" t="e">
        <f>((EO81+(Crescimento!#REF!-(EO81*0.64))/0.8)/1000)-Crescimento!#REF!</f>
        <v>#REF!</v>
      </c>
      <c r="EO82" s="17" t="e">
        <f>-53.07 + (304.89 * (EN82)) + (90.79 *(Crescimento!#REF!-Crescimento!#REF!)) - (3.13 * (Crescimento!#REF!-Crescimento!#REF!)^2)</f>
        <v>#REF!</v>
      </c>
      <c r="EQ82" s="16" t="e">
        <f>((ER81+(Crescimento!#REF!-(ER81*0.64))/0.8)/1000)-Crescimento!#REF!</f>
        <v>#REF!</v>
      </c>
      <c r="ER82" s="17" t="e">
        <f>-53.07 + (304.89 * (EQ82)) + (90.79 *(Crescimento!#REF!-Crescimento!#REF!)) - (3.13 * (Crescimento!#REF!-Crescimento!#REF!)^2)</f>
        <v>#REF!</v>
      </c>
      <c r="ET82" s="16" t="e">
        <f>((EU81+(Crescimento!#REF!-(EU81*0.64))/0.8)/1000)-Crescimento!#REF!</f>
        <v>#REF!</v>
      </c>
      <c r="EU82" s="17" t="e">
        <f>-53.07 + (304.89 * (ET82)) + (90.79 *(Crescimento!#REF!-Crescimento!#REF!)) - (3.13 * (Crescimento!#REF!-Crescimento!#REF!)^2)</f>
        <v>#REF!</v>
      </c>
      <c r="EW82" s="16" t="e">
        <f>((EX81+('Vacas e Bezerros'!#REF!-(EX81*0.64))/0.8)/1000)-'Vacas e Bezerros'!#REF!</f>
        <v>#REF!</v>
      </c>
      <c r="EX82" s="17" t="e">
        <f>-53.07 + (304.89 * (EW82)) + (90.79 *('Vacas e Bezerros'!#REF!-'Vacas e Bezerros'!#REF!)) - (3.13 * ('Vacas e Bezerros'!#REF!-'Vacas e Bezerros'!#REF!)^2)</f>
        <v>#REF!</v>
      </c>
      <c r="EZ82" s="16" t="e">
        <f>((FA81+('Vacas e Bezerros'!#REF!-(FA81*0.64))/0.8)/1000)-'Vacas e Bezerros'!#REF!</f>
        <v>#REF!</v>
      </c>
      <c r="FA82" s="17" t="e">
        <f>-53.07 + (304.89 * (EZ82)) + (90.79 *('Vacas e Bezerros'!#REF!-'Vacas e Bezerros'!#REF!)) - (3.13 * ('Vacas e Bezerros'!#REF!-'Vacas e Bezerros'!#REF!)^2)</f>
        <v>#REF!</v>
      </c>
      <c r="FC82" s="16" t="e">
        <f>((FD81+('Vacas e Bezerros'!#REF!-(FD81*0.64))/0.8)/1000)-'Vacas e Bezerros'!#REF!</f>
        <v>#REF!</v>
      </c>
      <c r="FD82" s="17" t="e">
        <f>-53.07 + (304.89 * (FC82)) + (90.79 *('Vacas e Bezerros'!#REF!-'Vacas e Bezerros'!#REF!)) - (3.13 * ('Vacas e Bezerros'!#REF!-'Vacas e Bezerros'!#REF!)^2)</f>
        <v>#REF!</v>
      </c>
      <c r="FF82" s="16" t="e">
        <f>((FG81+('Vacas e Bezerros'!#REF!-(FG81*0.64))/0.8)/1000)-'Vacas e Bezerros'!#REF!</f>
        <v>#REF!</v>
      </c>
      <c r="FG82" s="17" t="e">
        <f>-53.07 + (304.89 * (FF82)) + (90.79 *('Vacas e Bezerros'!#REF!-'Vacas e Bezerros'!#REF!)) - (3.13 * ('Vacas e Bezerros'!#REF!-'Vacas e Bezerros'!#REF!)^2)</f>
        <v>#REF!</v>
      </c>
      <c r="FI82" s="16" t="e">
        <f>((FJ81+('Vacas e Bezerros'!#REF!-(FJ81*0.64))/0.8)/1000)-'Vacas e Bezerros'!#REF!</f>
        <v>#REF!</v>
      </c>
      <c r="FJ82" s="17" t="e">
        <f>-53.07 + (304.89 * (FI82)) + (90.79 *('Vacas e Bezerros'!#REF!-'Vacas e Bezerros'!#REF!)) - (3.13 * ('Vacas e Bezerros'!#REF!-'Vacas e Bezerros'!#REF!)^2)</f>
        <v>#REF!</v>
      </c>
      <c r="FL82" s="16" t="e">
        <f>((FM81+('Vacas e Bezerros'!#REF!-(FM81*0.64))/0.8)/1000)-'Vacas e Bezerros'!#REF!</f>
        <v>#REF!</v>
      </c>
      <c r="FM82" s="17" t="e">
        <f>-53.07 + (304.89 * (FL82)) + (90.79 *('Vacas e Bezerros'!#REF!-'Vacas e Bezerros'!#REF!)) - (3.13 * ('Vacas e Bezerros'!#REF!-'Vacas e Bezerros'!#REF!)^2)</f>
        <v>#REF!</v>
      </c>
      <c r="FO82" s="16" t="e">
        <f>((FP81+('Vacas e Bezerros'!#REF!-(FP81*0.64))/0.8)/1000)-'Vacas e Bezerros'!#REF!</f>
        <v>#REF!</v>
      </c>
      <c r="FP82" s="17" t="e">
        <f>-53.07 + (304.89 * (FO82)) + (90.79 *('Vacas e Bezerros'!#REF!-'Vacas e Bezerros'!#REF!)) - (3.13 * ('Vacas e Bezerros'!#REF!-'Vacas e Bezerros'!#REF!)^2)</f>
        <v>#REF!</v>
      </c>
      <c r="FR82" s="16" t="e">
        <f>((FS81+('Vacas e Bezerros'!#REF!-(FS81*0.64))/0.8)/1000)-'Vacas e Bezerros'!#REF!</f>
        <v>#REF!</v>
      </c>
      <c r="FS82" s="17" t="e">
        <f>-53.07 + (304.89 * (FR82)) + (90.79 *('Vacas e Bezerros'!#REF!-'Vacas e Bezerros'!#REF!)) - (3.13 * ('Vacas e Bezerros'!#REF!-'Vacas e Bezerros'!#REF!)^2)</f>
        <v>#REF!</v>
      </c>
      <c r="FU82" s="16" t="e">
        <f>((FV81+('Vacas e Bezerros'!#REF!-(FV81*0.64))/0.8)/1000)-'Vacas e Bezerros'!#REF!</f>
        <v>#REF!</v>
      </c>
      <c r="FV82" s="17" t="e">
        <f>-53.07 + (304.89 * (FU82)) + (90.79 *('Vacas e Bezerros'!#REF!-'Vacas e Bezerros'!#REF!)) - (3.13 * ('Vacas e Bezerros'!#REF!-'Vacas e Bezerros'!#REF!)^2)</f>
        <v>#REF!</v>
      </c>
      <c r="FX82" s="16" t="e">
        <f>((FY81+('Vacas e Bezerros'!#REF!-(FY81*0.64))/0.8)/1000)-'Vacas e Bezerros'!#REF!</f>
        <v>#REF!</v>
      </c>
      <c r="FY82" s="17" t="e">
        <f>-53.07 + (304.89 * (FX82)) + (90.79 *('Vacas e Bezerros'!#REF!-'Vacas e Bezerros'!#REF!)) - (3.13 * ('Vacas e Bezerros'!#REF!-'Vacas e Bezerros'!#REF!)^2)</f>
        <v>#REF!</v>
      </c>
      <c r="GA82" s="16" t="e">
        <f>((GB81+('Vacas e Bezerros'!#REF!-(GB81*0.64))/0.8)/1000)-'Vacas e Bezerros'!#REF!</f>
        <v>#REF!</v>
      </c>
      <c r="GB82" s="17" t="e">
        <f>-53.07 + (304.89 * (GA82)) + (90.79 *('Vacas e Bezerros'!#REF!-'Vacas e Bezerros'!#REF!)) - (3.13 * ('Vacas e Bezerros'!#REF!-'Vacas e Bezerros'!#REF!)^2)</f>
        <v>#REF!</v>
      </c>
      <c r="GD82" s="16" t="e">
        <f>((GE81+('Vacas e Bezerros'!#REF!-(GE81*0.64))/0.8)/1000)-'Vacas e Bezerros'!#REF!</f>
        <v>#REF!</v>
      </c>
      <c r="GE82" s="17" t="e">
        <f>-53.07 + (304.89 * (GD82)) + (90.79 *('Vacas e Bezerros'!#REF!-'Vacas e Bezerros'!#REF!)) - (3.13 * ('Vacas e Bezerros'!#REF!-'Vacas e Bezerros'!#REF!)^2)</f>
        <v>#REF!</v>
      </c>
      <c r="GG82" s="16" t="e">
        <f>((GH81+('Vacas e Bezerros'!#REF!-(GH81*0.64))/0.8)/1000)-'Vacas e Bezerros'!#REF!</f>
        <v>#REF!</v>
      </c>
      <c r="GH82" s="17" t="e">
        <f>-53.07 + (304.89 * (GG82)) + (90.79 *('Vacas e Bezerros'!#REF!-'Vacas e Bezerros'!#REF!)) - (3.13 * ('Vacas e Bezerros'!#REF!-'Vacas e Bezerros'!#REF!)^2)</f>
        <v>#REF!</v>
      </c>
      <c r="GJ82" s="16" t="e">
        <f>((GK81+('Vacas e Bezerros'!#REF!-(GK81*0.64))/0.8)/1000)-'Vacas e Bezerros'!#REF!</f>
        <v>#REF!</v>
      </c>
      <c r="GK82" s="17" t="e">
        <f>-53.07 + (304.89 * (GJ82)) + (90.79 *('Vacas e Bezerros'!#REF!-'Vacas e Bezerros'!#REF!)) - (3.13 * ('Vacas e Bezerros'!#REF!-'Vacas e Bezerros'!#REF!)^2)</f>
        <v>#REF!</v>
      </c>
      <c r="GM82" s="16" t="e">
        <f>((GN81+('Vacas e Bezerros'!#REF!-(GN81*0.64))/0.8)/1000)-'Vacas e Bezerros'!#REF!</f>
        <v>#REF!</v>
      </c>
      <c r="GN82" s="17" t="e">
        <f>-53.07 + (304.89 * (GM82)) + (90.79 *('Vacas e Bezerros'!#REF!-'Vacas e Bezerros'!#REF!)) - (3.13 * ('Vacas e Bezerros'!#REF!-'Vacas e Bezerros'!#REF!)^2)</f>
        <v>#REF!</v>
      </c>
    </row>
    <row r="83" spans="3:196" x14ac:dyDescent="0.25">
      <c r="C83" s="16">
        <f>(D82+('Vacas e Bezerros'!$AA$28-(D82*0.64))/0.8)/1000</f>
        <v>0.35719668016155687</v>
      </c>
      <c r="D83" s="17">
        <f>-53.07 + (304.89 * (C83-'Vacas e Bezerros'!$C$206)) + (90.79 *('Vacas e Bezerros'!$AA$22)) - (3.13 *('Vacas e Bezerros'!$AA$22)^2)</f>
        <v>165.01876457544017</v>
      </c>
      <c r="F83" s="16" t="e">
        <f>(G82+(Crescimento!#REF!-(G82*0.64))/0.8)/1000</f>
        <v>#REF!</v>
      </c>
      <c r="G83" s="17" t="e">
        <f>-53.07 + (304.89 * (F83)) + (90.79 *Crescimento!#REF!) - (3.13 * Crescimento!#REF!*Crescimento!#REF!)</f>
        <v>#REF!</v>
      </c>
      <c r="H83" s="1"/>
      <c r="I83" s="16" t="e">
        <f>(J82+(Crescimento!#REF!-(J82*0.64))/0.8)/1000</f>
        <v>#REF!</v>
      </c>
      <c r="J83" s="17" t="e">
        <f>-53.07 + (304.89 * (I83)) + (90.79 *Crescimento!#REF!) - (3.13 * Crescimento!#REF!*Crescimento!#REF!)</f>
        <v>#REF!</v>
      </c>
      <c r="L83" s="16" t="e">
        <f>(M82+(Crescimento!#REF!-(M82*0.64))/0.8)/1000</f>
        <v>#REF!</v>
      </c>
      <c r="M83" s="17" t="e">
        <f>-53.07 + (304.89 * (L83)) + (90.79 *Crescimento!#REF!) - (3.13 * Crescimento!#REF!*Crescimento!#REF!)</f>
        <v>#REF!</v>
      </c>
      <c r="O83" s="16" t="e">
        <f>(P82+(Crescimento!#REF!-(P82*0.64))/0.8)/1000</f>
        <v>#REF!</v>
      </c>
      <c r="P83" s="17" t="e">
        <f>-53.07 + (304.89 * (O83)) + (90.79 *Crescimento!#REF!) - (3.13 * Crescimento!#REF!*Crescimento!#REF!)</f>
        <v>#REF!</v>
      </c>
      <c r="R83" s="16" t="e">
        <f>(S82+(Crescimento!#REF!-(S82*0.64))/0.8)/1000</f>
        <v>#REF!</v>
      </c>
      <c r="S83" s="17" t="e">
        <f>-53.07 + (304.89 * (R83)) + (90.79 *Crescimento!#REF!) - (3.13 * Crescimento!#REF!*Crescimento!#REF!)</f>
        <v>#REF!</v>
      </c>
      <c r="U83" s="16" t="e">
        <f>(V82+(Crescimento!#REF!-(V82*0.64))/0.8)/1000</f>
        <v>#REF!</v>
      </c>
      <c r="V83" s="17" t="e">
        <f>-53.07 + (304.89 * (U83)) + (90.79 *Crescimento!#REF!) - (3.13 * Crescimento!#REF!*Crescimento!#REF!)</f>
        <v>#REF!</v>
      </c>
      <c r="X83" s="16" t="e">
        <f>(Y82+(Crescimento!#REF!-(Y82*0.64))/0.8)/1000</f>
        <v>#REF!</v>
      </c>
      <c r="Y83" s="17" t="e">
        <f>-53.07 + (304.89 * (X83)) + (90.79 *Crescimento!#REF!) - (3.13 * Crescimento!#REF!*Crescimento!#REF!)</f>
        <v>#REF!</v>
      </c>
      <c r="Z83" s="6"/>
      <c r="AA83" s="16" t="e">
        <f>(AB82+(Crescimento!#REF!-(AB82*0.64))/0.8)/1000</f>
        <v>#REF!</v>
      </c>
      <c r="AB83" s="17" t="e">
        <f>-53.07 + (304.89 * (AA83)) + (90.79 *Crescimento!#REF!) - (3.13 * Crescimento!#REF!*Crescimento!#REF!)</f>
        <v>#REF!</v>
      </c>
      <c r="AC83" s="6"/>
      <c r="AD83" s="16" t="e">
        <f>(AE82+(Crescimento!#REF!-(AE82*0.64))/0.8)/1000</f>
        <v>#REF!</v>
      </c>
      <c r="AE83" s="17" t="e">
        <f>-53.07 + (304.89 * (AD83)) + (90.79 *Crescimento!#REF!) - (3.13 * Crescimento!#REF!*Crescimento!#REF!)</f>
        <v>#REF!</v>
      </c>
      <c r="AF83" s="17"/>
      <c r="AG83" s="16" t="e">
        <f>(AH82+(Crescimento!#REF!-(AH82*0.64))/0.8)/1000</f>
        <v>#REF!</v>
      </c>
      <c r="AH83" s="17" t="e">
        <f>-53.07 + (304.89 * (AG83)) + (90.79 *Crescimento!#REF!) - (3.13 * Crescimento!#REF!*Crescimento!#REF!)</f>
        <v>#REF!</v>
      </c>
      <c r="AJ83" s="16" t="e">
        <f>(AK82+(Crescimento!#REF!-(AK82*0.64))/0.8)/1000</f>
        <v>#REF!</v>
      </c>
      <c r="AK83" s="17" t="e">
        <f>-53.07 + (304.89 * (AJ83)) + (90.79 *Crescimento!#REF!) - (3.13 * Crescimento!#REF!*Crescimento!#REF!)</f>
        <v>#REF!</v>
      </c>
      <c r="AM83" s="16" t="e">
        <f>(AN82+(Crescimento!#REF!-(AN82*0.64))/0.8)/1000</f>
        <v>#REF!</v>
      </c>
      <c r="AN83" s="17" t="e">
        <f>-53.07 + (304.89 * (AM83)) + (90.79 *Crescimento!#REF!) - (3.13 * Crescimento!#REF!*Crescimento!#REF!)</f>
        <v>#REF!</v>
      </c>
      <c r="AP83" s="16" t="e">
        <f>(AQ82+(Crescimento!#REF!-(AQ82*0.64))/0.8)/1000</f>
        <v>#REF!</v>
      </c>
      <c r="AQ83" s="17" t="e">
        <f>-53.07 + (304.89 * (AP83)) + (90.79 *Crescimento!#REF!) - (3.13 * Crescimento!#REF!*Crescimento!#REF!)</f>
        <v>#REF!</v>
      </c>
      <c r="AS83" s="16" t="e">
        <f>(AT82+(Crescimento!#REF!-(AT82*0.64))/0.8)/1000</f>
        <v>#REF!</v>
      </c>
      <c r="AT83" s="17" t="e">
        <f>-53.07 + (304.89 * (AS83)) + (90.79 *Crescimento!#REF!) - (3.13 * Crescimento!#REF!*Crescimento!#REF!)</f>
        <v>#REF!</v>
      </c>
      <c r="AV83" s="16" t="e">
        <f>(AW82+(Crescimento!#REF!-(AW82*0.64))/0.8)/1000</f>
        <v>#REF!</v>
      </c>
      <c r="AW83" s="17" t="e">
        <f>-53.07 + (304.89 * (AV83)) + (90.79 *Crescimento!#REF!) - (3.13 * Crescimento!#REF!*Crescimento!#REF!)</f>
        <v>#REF!</v>
      </c>
      <c r="AY83" s="21" t="e">
        <f>((AZ82+(Crescimento!#REF!-(AZ82*0.64))/0.8)/1000)-Crescimento!#REF!</f>
        <v>#REF!</v>
      </c>
      <c r="AZ83" s="22" t="e">
        <f>-53.07 + (304.89 * (AY83)) + (90.79 *(Crescimento!#REF!-Crescimento!#REF!)) - (3.13 * (Crescimento!#REF!-Crescimento!#REF!)^2)</f>
        <v>#REF!</v>
      </c>
      <c r="BA83" s="23"/>
      <c r="BB83" s="21" t="e">
        <f>((BC82+(Crescimento!#REF!-(BC82*0.64))/0.8)/1000)-Crescimento!#REF!</f>
        <v>#REF!</v>
      </c>
      <c r="BC83" s="22" t="e">
        <f>-53.07 + (304.89 * (BB83)) + (90.79 *(Crescimento!#REF!-Crescimento!#REF!)) - (3.13 * (Crescimento!#REF!-Crescimento!#REF!)^2)</f>
        <v>#REF!</v>
      </c>
      <c r="BD83" s="23"/>
      <c r="BE83" s="21" t="e">
        <f>((BF82+(Crescimento!#REF!-(BF82*0.64))/0.8)/1000)-Crescimento!#REF!</f>
        <v>#REF!</v>
      </c>
      <c r="BF83" s="22" t="e">
        <f>-53.07 + (304.89 * (BE83)) + (90.79 *(Crescimento!#REF!-Crescimento!#REF!)) - (3.13 * (Crescimento!#REF!-Crescimento!#REF!)^2)</f>
        <v>#REF!</v>
      </c>
      <c r="BG83" s="23"/>
      <c r="BH83" s="21" t="e">
        <f>((BI82+(Crescimento!#REF!-(BI82*0.64))/0.8)/1000)-Crescimento!#REF!</f>
        <v>#REF!</v>
      </c>
      <c r="BI83" s="22" t="e">
        <f>-53.07 + (304.89 * (BH83)) + (90.79 *(Crescimento!#REF!-Crescimento!#REF!)) - (3.13 * (Crescimento!#REF!-Crescimento!#REF!)^2)</f>
        <v>#REF!</v>
      </c>
      <c r="BJ83" s="23"/>
      <c r="BK83" s="21" t="e">
        <f>((BL82+(Crescimento!#REF!-(BL82*0.64))/0.8)/1000)-Crescimento!#REF!</f>
        <v>#REF!</v>
      </c>
      <c r="BL83" s="22" t="e">
        <f>-53.07 + (304.89 * (BK83)) + (90.79 *(Crescimento!#REF!-Crescimento!#REF!)) - (3.13 * (Crescimento!#REF!-Crescimento!#REF!)^2)</f>
        <v>#REF!</v>
      </c>
      <c r="BM83" s="23"/>
      <c r="BN83" s="21" t="e">
        <f>((BO82+(Crescimento!#REF!-(BO82*0.64))/0.8)/1000)-Crescimento!#REF!</f>
        <v>#REF!</v>
      </c>
      <c r="BO83" s="22" t="e">
        <f>-53.07 + (304.89 * (BN83)) + (90.79 *(Crescimento!#REF!-Crescimento!#REF!)) - (3.13 * (Crescimento!#REF!-Crescimento!#REF!)^2)</f>
        <v>#REF!</v>
      </c>
      <c r="BP83" s="23"/>
      <c r="BQ83" s="21" t="e">
        <f>((BR82+(Crescimento!#REF!-(BR82*0.64))/0.8)/1000)-Crescimento!#REF!</f>
        <v>#REF!</v>
      </c>
      <c r="BR83" s="22" t="e">
        <f>-53.07 + (304.89 * (BQ83)) + (90.79 *(Crescimento!#REF!-Crescimento!#REF!)) - (3.13 * (Crescimento!#REF!-Crescimento!#REF!)^2)</f>
        <v>#REF!</v>
      </c>
      <c r="BS83" s="23"/>
      <c r="BT83" s="21" t="e">
        <f>((BU82+(Crescimento!#REF!-(BU82*0.64))/0.8)/1000)-Crescimento!#REF!</f>
        <v>#REF!</v>
      </c>
      <c r="BU83" s="22" t="e">
        <f>-53.07 + (304.89 * (BT83)) + (90.79 *(Crescimento!#REF!-Crescimento!#REF!)) - (3.13 * (Crescimento!#REF!-Crescimento!#REF!)^2)</f>
        <v>#REF!</v>
      </c>
      <c r="BV83" s="23"/>
      <c r="BW83" s="21" t="e">
        <f>((BX82+(Crescimento!#REF!-(BX82*0.64))/0.8)/1000)-Crescimento!#REF!</f>
        <v>#REF!</v>
      </c>
      <c r="BX83" s="22" t="e">
        <f>-53.07 + (304.89 * (BW83)) + (90.79 *(Crescimento!#REF!-Crescimento!#REF!)) - (3.13 * (Crescimento!#REF!-Crescimento!#REF!)^2)</f>
        <v>#REF!</v>
      </c>
      <c r="BY83" s="23"/>
      <c r="BZ83" s="21" t="e">
        <f>((CA82+(Crescimento!#REF!-(CA82*0.64))/0.8)/1000)-Crescimento!#REF!</f>
        <v>#REF!</v>
      </c>
      <c r="CA83" s="22" t="e">
        <f>-53.07 + (304.89 * (BZ83)) + (90.79 *(Crescimento!#REF!-Crescimento!#REF!)) - (3.13 * (Crescimento!#REF!-Crescimento!#REF!)^2)</f>
        <v>#REF!</v>
      </c>
      <c r="CB83" s="23"/>
      <c r="CC83" s="21" t="e">
        <f>((CD82+(Crescimento!#REF!-(CD82*0.64))/0.8)/1000)-Crescimento!#REF!</f>
        <v>#REF!</v>
      </c>
      <c r="CD83" s="22" t="e">
        <f>-53.07 + (304.89 * (CC83)) + (90.79 *(Crescimento!#REF!-Crescimento!#REF!)) - (3.13 * (Crescimento!#REF!-Crescimento!#REF!)^2)</f>
        <v>#REF!</v>
      </c>
      <c r="CE83" s="23"/>
      <c r="CF83" s="21" t="e">
        <f>((CG82+(Crescimento!#REF!-(CG82*0.64))/0.8)/1000)-Crescimento!#REF!</f>
        <v>#REF!</v>
      </c>
      <c r="CG83" s="22" t="e">
        <f>-53.07 + (304.89 * (CF83)) + (90.79 *(Crescimento!#REF!-Crescimento!#REF!)) - (3.13 * (Crescimento!#REF!-Crescimento!#REF!)^2)</f>
        <v>#REF!</v>
      </c>
      <c r="CH83" s="23"/>
      <c r="CI83" s="21" t="e">
        <f>((CJ82+(Crescimento!#REF!-(CJ82*0.64))/0.8)/1000)-Crescimento!#REF!</f>
        <v>#REF!</v>
      </c>
      <c r="CJ83" s="22" t="e">
        <f>-53.07 + (304.89 * (CI83)) + (90.79 *(Crescimento!#REF!-Crescimento!#REF!)) - (3.13 * (Crescimento!#REF!-Crescimento!#REF!)^2)</f>
        <v>#REF!</v>
      </c>
      <c r="CK83" s="23"/>
      <c r="CL83" s="21" t="e">
        <f>((CM82+(Crescimento!#REF!-(CM82*0.64))/0.8)/1000)-Crescimento!#REF!</f>
        <v>#REF!</v>
      </c>
      <c r="CM83" s="22" t="e">
        <f>-53.07 + (304.89 * (CL83)) + (90.79 *(Crescimento!#REF!-Crescimento!#REF!)) - (3.13 * (Crescimento!#REF!-Crescimento!#REF!)^2)</f>
        <v>#REF!</v>
      </c>
      <c r="CN83" s="23"/>
      <c r="CO83" s="21" t="e">
        <f>((CP82+(Crescimento!#REF!-(CP82*0.64))/0.8)/1000)-Crescimento!#REF!</f>
        <v>#REF!</v>
      </c>
      <c r="CP83" s="22" t="e">
        <f>-53.07 + (304.89 * (CO83)) + (90.79 *(Crescimento!#REF!-Crescimento!#REF!)) - (3.13 * (Crescimento!#REF!-Crescimento!#REF!)^2)</f>
        <v>#REF!</v>
      </c>
      <c r="CQ83" s="23"/>
      <c r="CR83" s="21" t="e">
        <f>((CS82+(Crescimento!#REF!-(CS82*0.64))/0.8)/1000)-Crescimento!#REF!</f>
        <v>#REF!</v>
      </c>
      <c r="CS83" s="22" t="e">
        <f>-53.07 + (304.89 * (CR83)) + (90.79 *(Crescimento!#REF!-Crescimento!#REF!)) - (3.13 * (Crescimento!#REF!-Crescimento!#REF!)^2)</f>
        <v>#REF!</v>
      </c>
      <c r="CX83" s="16" t="e">
        <f>((CY82+(Crescimento!#REF!-(CY82*0.64))/0.8)/1000)-Crescimento!#REF!</f>
        <v>#REF!</v>
      </c>
      <c r="CY83" s="17" t="e">
        <f>-53.07 + (304.89 * (CX83)) + (90.79 *(Crescimento!#REF!-Crescimento!#REF!)) - (3.13 * (Crescimento!#REF!-Crescimento!#REF!)^2)</f>
        <v>#REF!</v>
      </c>
      <c r="DA83" s="16" t="e">
        <f>((DB82+(Crescimento!#REF!-(DB82*0.64))/0.8)/1000)-Crescimento!#REF!</f>
        <v>#REF!</v>
      </c>
      <c r="DB83" s="17" t="e">
        <f>-53.07 + (304.89 * (DA83)) + (90.79 *(Crescimento!#REF!-Crescimento!#REF!)) - (3.13 * (Crescimento!#REF!-Crescimento!#REF!)^2)</f>
        <v>#REF!</v>
      </c>
      <c r="DD83" s="16" t="e">
        <f>(DE82+(Crescimento!#REF!-(DE82*0.64))/0.8)/1000</f>
        <v>#REF!</v>
      </c>
      <c r="DE83" s="17" t="e">
        <f>-53.07 + (304.89 * (DD83)) + (90.79 *Crescimento!#REF!) - (3.13 * Crescimento!#REF!*Crescimento!#REF!)</f>
        <v>#REF!</v>
      </c>
      <c r="DG83" s="16" t="e">
        <f>((DH82+(Crescimento!#REF!-(DH82*0.64))/0.8)/1000)-Crescimento!#REF!</f>
        <v>#REF!</v>
      </c>
      <c r="DH83" s="17" t="e">
        <f>-53.07 + (304.89 * (DG83)) + (90.79 *(Crescimento!#REF!-Crescimento!#REF!)) - (3.13 * (Crescimento!#REF!-Crescimento!#REF!)^2)</f>
        <v>#REF!</v>
      </c>
      <c r="DJ83" s="16" t="e">
        <f>((DK82+(Crescimento!#REF!-(DK82*0.64))/0.8)/1000)-Crescimento!#REF!</f>
        <v>#REF!</v>
      </c>
      <c r="DK83" s="17" t="e">
        <f>-53.07 + (304.89 * (DJ83)) + (90.79 *(Crescimento!#REF!-Crescimento!#REF!)) - (3.13 * (Crescimento!#REF!-Crescimento!#REF!)^2)</f>
        <v>#REF!</v>
      </c>
      <c r="DM83" s="16" t="e">
        <f>((DN82+(Crescimento!#REF!-(DN82*0.64))/0.8)/1000)-Crescimento!#REF!</f>
        <v>#REF!</v>
      </c>
      <c r="DN83" s="17" t="e">
        <f>-53.07 + (304.89 * (DM83)) + (90.79 *(Crescimento!#REF!-Crescimento!#REF!)) - (3.13 * (Crescimento!#REF!-Crescimento!#REF!)^2)</f>
        <v>#REF!</v>
      </c>
      <c r="DP83" s="16" t="e">
        <f>(DQ82+(Crescimento!#REF!-(DQ82*0.64))/0.8)/1000</f>
        <v>#REF!</v>
      </c>
      <c r="DQ83" s="17" t="e">
        <f>-53.07 + (304.89 * (DP83)) + (90.79 *(Crescimento!#REF!-Crescimento!#REF!)) - (3.13 * (Crescimento!#REF!-Crescimento!#REF!)^2)</f>
        <v>#REF!</v>
      </c>
      <c r="DS83" s="16" t="e">
        <f>((DT82+(Crescimento!#REF!-(DT82*0.64))/0.8)/1000)-Crescimento!#REF!</f>
        <v>#REF!</v>
      </c>
      <c r="DT83" s="17" t="e">
        <f>-53.07 + (304.89 * (DS83)) + (90.79 *(Crescimento!#REF!-Crescimento!#REF!)) - (3.13 * (Crescimento!#REF!-Crescimento!#REF!)^2)</f>
        <v>#REF!</v>
      </c>
      <c r="DV83" s="16" t="e">
        <f>((DW82+(Crescimento!#REF!-(DW82*0.64))/0.8)/1000)-Crescimento!#REF!</f>
        <v>#REF!</v>
      </c>
      <c r="DW83" s="17" t="e">
        <f>-53.07 + (304.89 * (DV83)) + (90.79 *(Crescimento!#REF!-Crescimento!#REF!)) - (3.13 * (Crescimento!#REF!-Crescimento!#REF!)^2)</f>
        <v>#REF!</v>
      </c>
      <c r="DY83" s="16" t="e">
        <f>((DZ82+(Crescimento!#REF!-(DZ82*0.64))/0.8)/1000)-Crescimento!#REF!</f>
        <v>#REF!</v>
      </c>
      <c r="DZ83" s="17" t="e">
        <f>-53.07 + (304.89 * (DY83)) + (90.79 *(Crescimento!#REF!-Crescimento!#REF!)) - (3.13 * (Crescimento!#REF!-Crescimento!#REF!)^2)</f>
        <v>#REF!</v>
      </c>
      <c r="EB83" s="16" t="e">
        <f>((EC82+(Crescimento!#REF!-(EC82*0.64))/0.8)/1000)-Crescimento!#REF!</f>
        <v>#REF!</v>
      </c>
      <c r="EC83" s="17" t="e">
        <f>-53.07 + (304.89 * (EB83)) + (90.79 *(Crescimento!#REF!-Crescimento!#REF!)) - (3.13 * (Crescimento!#REF!-Crescimento!#REF!)^2)</f>
        <v>#REF!</v>
      </c>
      <c r="EE83" s="16" t="e">
        <f>((EF82+(Crescimento!#REF!-(EF82*0.64))/0.8)/1000)-Crescimento!#REF!</f>
        <v>#REF!</v>
      </c>
      <c r="EF83" s="17" t="e">
        <f>-53.07 + (304.89 * (EE83)) + (90.79 *(Crescimento!#REF!-Crescimento!#REF!)) - (3.13 * (Crescimento!#REF!-Crescimento!#REF!)^2)</f>
        <v>#REF!</v>
      </c>
      <c r="EH83" s="16" t="e">
        <f>((EI82+(Crescimento!#REF!-(EI82*0.64))/0.8)/1000)-Crescimento!#REF!</f>
        <v>#REF!</v>
      </c>
      <c r="EI83" s="17" t="e">
        <f>-53.07 + (304.89 * (EH83)) + (90.79 *(Crescimento!#REF!-Crescimento!#REF!)) - (3.13 * (Crescimento!#REF!-Crescimento!#REF!)^2)</f>
        <v>#REF!</v>
      </c>
      <c r="EK83" s="16" t="e">
        <f>((EL82+(Crescimento!#REF!-(EL82*0.64))/0.8)/1000)-Crescimento!#REF!</f>
        <v>#REF!</v>
      </c>
      <c r="EL83" s="17" t="e">
        <f>-53.07 + (304.89 * (EK83)) + (90.79 *(Crescimento!#REF!-Crescimento!#REF!)) - (3.13 * (Crescimento!#REF!-Crescimento!#REF!)^2)</f>
        <v>#REF!</v>
      </c>
      <c r="EN83" s="16" t="e">
        <f>((EO82+(Crescimento!#REF!-(EO82*0.64))/0.8)/1000)-Crescimento!#REF!</f>
        <v>#REF!</v>
      </c>
      <c r="EO83" s="17" t="e">
        <f>-53.07 + (304.89 * (EN83)) + (90.79 *(Crescimento!#REF!-Crescimento!#REF!)) - (3.13 * (Crescimento!#REF!-Crescimento!#REF!)^2)</f>
        <v>#REF!</v>
      </c>
      <c r="EQ83" s="16" t="e">
        <f>((ER82+(Crescimento!#REF!-(ER82*0.64))/0.8)/1000)-Crescimento!#REF!</f>
        <v>#REF!</v>
      </c>
      <c r="ER83" s="17" t="e">
        <f>-53.07 + (304.89 * (EQ83)) + (90.79 *(Crescimento!#REF!-Crescimento!#REF!)) - (3.13 * (Crescimento!#REF!-Crescimento!#REF!)^2)</f>
        <v>#REF!</v>
      </c>
      <c r="ET83" s="16" t="e">
        <f>((EU82+(Crescimento!#REF!-(EU82*0.64))/0.8)/1000)-Crescimento!#REF!</f>
        <v>#REF!</v>
      </c>
      <c r="EU83" s="17" t="e">
        <f>-53.07 + (304.89 * (ET83)) + (90.79 *(Crescimento!#REF!-Crescimento!#REF!)) - (3.13 * (Crescimento!#REF!-Crescimento!#REF!)^2)</f>
        <v>#REF!</v>
      </c>
      <c r="EW83" s="16" t="e">
        <f>((EX82+('Vacas e Bezerros'!#REF!-(EX82*0.64))/0.8)/1000)-'Vacas e Bezerros'!#REF!</f>
        <v>#REF!</v>
      </c>
      <c r="EX83" s="17" t="e">
        <f>-53.07 + (304.89 * (EW83)) + (90.79 *('Vacas e Bezerros'!#REF!-'Vacas e Bezerros'!#REF!)) - (3.13 * ('Vacas e Bezerros'!#REF!-'Vacas e Bezerros'!#REF!)^2)</f>
        <v>#REF!</v>
      </c>
      <c r="EZ83" s="16" t="e">
        <f>((FA82+('Vacas e Bezerros'!#REF!-(FA82*0.64))/0.8)/1000)-'Vacas e Bezerros'!#REF!</f>
        <v>#REF!</v>
      </c>
      <c r="FA83" s="17" t="e">
        <f>-53.07 + (304.89 * (EZ83)) + (90.79 *('Vacas e Bezerros'!#REF!-'Vacas e Bezerros'!#REF!)) - (3.13 * ('Vacas e Bezerros'!#REF!-'Vacas e Bezerros'!#REF!)^2)</f>
        <v>#REF!</v>
      </c>
      <c r="FC83" s="16" t="e">
        <f>((FD82+('Vacas e Bezerros'!#REF!-(FD82*0.64))/0.8)/1000)-'Vacas e Bezerros'!#REF!</f>
        <v>#REF!</v>
      </c>
      <c r="FD83" s="17" t="e">
        <f>-53.07 + (304.89 * (FC83)) + (90.79 *('Vacas e Bezerros'!#REF!-'Vacas e Bezerros'!#REF!)) - (3.13 * ('Vacas e Bezerros'!#REF!-'Vacas e Bezerros'!#REF!)^2)</f>
        <v>#REF!</v>
      </c>
      <c r="FF83" s="16" t="e">
        <f>((FG82+('Vacas e Bezerros'!#REF!-(FG82*0.64))/0.8)/1000)-'Vacas e Bezerros'!#REF!</f>
        <v>#REF!</v>
      </c>
      <c r="FG83" s="17" t="e">
        <f>-53.07 + (304.89 * (FF83)) + (90.79 *('Vacas e Bezerros'!#REF!-'Vacas e Bezerros'!#REF!)) - (3.13 * ('Vacas e Bezerros'!#REF!-'Vacas e Bezerros'!#REF!)^2)</f>
        <v>#REF!</v>
      </c>
      <c r="FI83" s="16" t="e">
        <f>((FJ82+('Vacas e Bezerros'!#REF!-(FJ82*0.64))/0.8)/1000)-'Vacas e Bezerros'!#REF!</f>
        <v>#REF!</v>
      </c>
      <c r="FJ83" s="17" t="e">
        <f>-53.07 + (304.89 * (FI83)) + (90.79 *('Vacas e Bezerros'!#REF!-'Vacas e Bezerros'!#REF!)) - (3.13 * ('Vacas e Bezerros'!#REF!-'Vacas e Bezerros'!#REF!)^2)</f>
        <v>#REF!</v>
      </c>
      <c r="FL83" s="16" t="e">
        <f>((FM82+('Vacas e Bezerros'!#REF!-(FM82*0.64))/0.8)/1000)-'Vacas e Bezerros'!#REF!</f>
        <v>#REF!</v>
      </c>
      <c r="FM83" s="17" t="e">
        <f>-53.07 + (304.89 * (FL83)) + (90.79 *('Vacas e Bezerros'!#REF!-'Vacas e Bezerros'!#REF!)) - (3.13 * ('Vacas e Bezerros'!#REF!-'Vacas e Bezerros'!#REF!)^2)</f>
        <v>#REF!</v>
      </c>
      <c r="FO83" s="16" t="e">
        <f>((FP82+('Vacas e Bezerros'!#REF!-(FP82*0.64))/0.8)/1000)-'Vacas e Bezerros'!#REF!</f>
        <v>#REF!</v>
      </c>
      <c r="FP83" s="17" t="e">
        <f>-53.07 + (304.89 * (FO83)) + (90.79 *('Vacas e Bezerros'!#REF!-'Vacas e Bezerros'!#REF!)) - (3.13 * ('Vacas e Bezerros'!#REF!-'Vacas e Bezerros'!#REF!)^2)</f>
        <v>#REF!</v>
      </c>
      <c r="FR83" s="16" t="e">
        <f>((FS82+('Vacas e Bezerros'!#REF!-(FS82*0.64))/0.8)/1000)-'Vacas e Bezerros'!#REF!</f>
        <v>#REF!</v>
      </c>
      <c r="FS83" s="17" t="e">
        <f>-53.07 + (304.89 * (FR83)) + (90.79 *('Vacas e Bezerros'!#REF!-'Vacas e Bezerros'!#REF!)) - (3.13 * ('Vacas e Bezerros'!#REF!-'Vacas e Bezerros'!#REF!)^2)</f>
        <v>#REF!</v>
      </c>
      <c r="FU83" s="16" t="e">
        <f>((FV82+('Vacas e Bezerros'!#REF!-(FV82*0.64))/0.8)/1000)-'Vacas e Bezerros'!#REF!</f>
        <v>#REF!</v>
      </c>
      <c r="FV83" s="17" t="e">
        <f>-53.07 + (304.89 * (FU83)) + (90.79 *('Vacas e Bezerros'!#REF!-'Vacas e Bezerros'!#REF!)) - (3.13 * ('Vacas e Bezerros'!#REF!-'Vacas e Bezerros'!#REF!)^2)</f>
        <v>#REF!</v>
      </c>
      <c r="FX83" s="16" t="e">
        <f>((FY82+('Vacas e Bezerros'!#REF!-(FY82*0.64))/0.8)/1000)-'Vacas e Bezerros'!#REF!</f>
        <v>#REF!</v>
      </c>
      <c r="FY83" s="17" t="e">
        <f>-53.07 + (304.89 * (FX83)) + (90.79 *('Vacas e Bezerros'!#REF!-'Vacas e Bezerros'!#REF!)) - (3.13 * ('Vacas e Bezerros'!#REF!-'Vacas e Bezerros'!#REF!)^2)</f>
        <v>#REF!</v>
      </c>
      <c r="GA83" s="16" t="e">
        <f>((GB82+('Vacas e Bezerros'!#REF!-(GB82*0.64))/0.8)/1000)-'Vacas e Bezerros'!#REF!</f>
        <v>#REF!</v>
      </c>
      <c r="GB83" s="17" t="e">
        <f>-53.07 + (304.89 * (GA83)) + (90.79 *('Vacas e Bezerros'!#REF!-'Vacas e Bezerros'!#REF!)) - (3.13 * ('Vacas e Bezerros'!#REF!-'Vacas e Bezerros'!#REF!)^2)</f>
        <v>#REF!</v>
      </c>
      <c r="GD83" s="16" t="e">
        <f>((GE82+('Vacas e Bezerros'!#REF!-(GE82*0.64))/0.8)/1000)-'Vacas e Bezerros'!#REF!</f>
        <v>#REF!</v>
      </c>
      <c r="GE83" s="17" t="e">
        <f>-53.07 + (304.89 * (GD83)) + (90.79 *('Vacas e Bezerros'!#REF!-'Vacas e Bezerros'!#REF!)) - (3.13 * ('Vacas e Bezerros'!#REF!-'Vacas e Bezerros'!#REF!)^2)</f>
        <v>#REF!</v>
      </c>
      <c r="GG83" s="16" t="e">
        <f>((GH82+('Vacas e Bezerros'!#REF!-(GH82*0.64))/0.8)/1000)-'Vacas e Bezerros'!#REF!</f>
        <v>#REF!</v>
      </c>
      <c r="GH83" s="17" t="e">
        <f>-53.07 + (304.89 * (GG83)) + (90.79 *('Vacas e Bezerros'!#REF!-'Vacas e Bezerros'!#REF!)) - (3.13 * ('Vacas e Bezerros'!#REF!-'Vacas e Bezerros'!#REF!)^2)</f>
        <v>#REF!</v>
      </c>
      <c r="GJ83" s="16" t="e">
        <f>((GK82+('Vacas e Bezerros'!#REF!-(GK82*0.64))/0.8)/1000)-'Vacas e Bezerros'!#REF!</f>
        <v>#REF!</v>
      </c>
      <c r="GK83" s="17" t="e">
        <f>-53.07 + (304.89 * (GJ83)) + (90.79 *('Vacas e Bezerros'!#REF!-'Vacas e Bezerros'!#REF!)) - (3.13 * ('Vacas e Bezerros'!#REF!-'Vacas e Bezerros'!#REF!)^2)</f>
        <v>#REF!</v>
      </c>
      <c r="GM83" s="16" t="e">
        <f>((GN82+('Vacas e Bezerros'!#REF!-(GN82*0.64))/0.8)/1000)-'Vacas e Bezerros'!#REF!</f>
        <v>#REF!</v>
      </c>
      <c r="GN83" s="17" t="e">
        <f>-53.07 + (304.89 * (GM83)) + (90.79 *('Vacas e Bezerros'!#REF!-'Vacas e Bezerros'!#REF!)) - (3.13 * ('Vacas e Bezerros'!#REF!-'Vacas e Bezerros'!#REF!)^2)</f>
        <v>#REF!</v>
      </c>
    </row>
    <row r="84" spans="3:196" x14ac:dyDescent="0.25">
      <c r="C84" s="16">
        <f>(D83+('Vacas e Bezerros'!$AA$28-(D83*0.64))/0.8)/1000</f>
        <v>0.35719668016155687</v>
      </c>
      <c r="D84" s="17">
        <f>-53.07 + (304.89 * (C84-'Vacas e Bezerros'!$C$206)) + (90.79 *('Vacas e Bezerros'!$AA$22)) - (3.13 *('Vacas e Bezerros'!$AA$22)^2)</f>
        <v>165.01876457544017</v>
      </c>
      <c r="F84" s="16" t="e">
        <f>(G83+(Crescimento!#REF!-(G83*0.64))/0.8)/1000</f>
        <v>#REF!</v>
      </c>
      <c r="G84" s="17" t="e">
        <f>-53.07 + (304.89 * (F84)) + (90.79 *Crescimento!#REF!) - (3.13 * Crescimento!#REF!*Crescimento!#REF!)</f>
        <v>#REF!</v>
      </c>
      <c r="H84" s="1"/>
      <c r="I84" s="16" t="e">
        <f>(J83+(Crescimento!#REF!-(J83*0.64))/0.8)/1000</f>
        <v>#REF!</v>
      </c>
      <c r="J84" s="17" t="e">
        <f>-53.07 + (304.89 * (I84)) + (90.79 *Crescimento!#REF!) - (3.13 * Crescimento!#REF!*Crescimento!#REF!)</f>
        <v>#REF!</v>
      </c>
      <c r="L84" s="16" t="e">
        <f>(M83+(Crescimento!#REF!-(M83*0.64))/0.8)/1000</f>
        <v>#REF!</v>
      </c>
      <c r="M84" s="17" t="e">
        <f>-53.07 + (304.89 * (L84)) + (90.79 *Crescimento!#REF!) - (3.13 * Crescimento!#REF!*Crescimento!#REF!)</f>
        <v>#REF!</v>
      </c>
      <c r="O84" s="16" t="e">
        <f>(P83+(Crescimento!#REF!-(P83*0.64))/0.8)/1000</f>
        <v>#REF!</v>
      </c>
      <c r="P84" s="17" t="e">
        <f>-53.07 + (304.89 * (O84)) + (90.79 *Crescimento!#REF!) - (3.13 * Crescimento!#REF!*Crescimento!#REF!)</f>
        <v>#REF!</v>
      </c>
      <c r="R84" s="16" t="e">
        <f>(S83+(Crescimento!#REF!-(S83*0.64))/0.8)/1000</f>
        <v>#REF!</v>
      </c>
      <c r="S84" s="17" t="e">
        <f>-53.07 + (304.89 * (R84)) + (90.79 *Crescimento!#REF!) - (3.13 * Crescimento!#REF!*Crescimento!#REF!)</f>
        <v>#REF!</v>
      </c>
      <c r="U84" s="16" t="e">
        <f>(V83+(Crescimento!#REF!-(V83*0.64))/0.8)/1000</f>
        <v>#REF!</v>
      </c>
      <c r="V84" s="17" t="e">
        <f>-53.07 + (304.89 * (U84)) + (90.79 *Crescimento!#REF!) - (3.13 * Crescimento!#REF!*Crescimento!#REF!)</f>
        <v>#REF!</v>
      </c>
      <c r="X84" s="16" t="e">
        <f>(Y83+(Crescimento!#REF!-(Y83*0.64))/0.8)/1000</f>
        <v>#REF!</v>
      </c>
      <c r="Y84" s="17" t="e">
        <f>-53.07 + (304.89 * (X84)) + (90.79 *Crescimento!#REF!) - (3.13 * Crescimento!#REF!*Crescimento!#REF!)</f>
        <v>#REF!</v>
      </c>
      <c r="Z84" s="6"/>
      <c r="AA84" s="16" t="e">
        <f>(AB83+(Crescimento!#REF!-(AB83*0.64))/0.8)/1000</f>
        <v>#REF!</v>
      </c>
      <c r="AB84" s="17" t="e">
        <f>-53.07 + (304.89 * (AA84)) + (90.79 *Crescimento!#REF!) - (3.13 * Crescimento!#REF!*Crescimento!#REF!)</f>
        <v>#REF!</v>
      </c>
      <c r="AC84" s="6"/>
      <c r="AD84" s="16" t="e">
        <f>(AE83+(Crescimento!#REF!-(AE83*0.64))/0.8)/1000</f>
        <v>#REF!</v>
      </c>
      <c r="AE84" s="17" t="e">
        <f>-53.07 + (304.89 * (AD84)) + (90.79 *Crescimento!#REF!) - (3.13 * Crescimento!#REF!*Crescimento!#REF!)</f>
        <v>#REF!</v>
      </c>
      <c r="AF84" s="17"/>
      <c r="AG84" s="16" t="e">
        <f>(AH83+(Crescimento!#REF!-(AH83*0.64))/0.8)/1000</f>
        <v>#REF!</v>
      </c>
      <c r="AH84" s="17" t="e">
        <f>-53.07 + (304.89 * (AG84)) + (90.79 *Crescimento!#REF!) - (3.13 * Crescimento!#REF!*Crescimento!#REF!)</f>
        <v>#REF!</v>
      </c>
      <c r="AJ84" s="16" t="e">
        <f>(AK83+(Crescimento!#REF!-(AK83*0.64))/0.8)/1000</f>
        <v>#REF!</v>
      </c>
      <c r="AK84" s="17" t="e">
        <f>-53.07 + (304.89 * (AJ84)) + (90.79 *Crescimento!#REF!) - (3.13 * Crescimento!#REF!*Crescimento!#REF!)</f>
        <v>#REF!</v>
      </c>
      <c r="AM84" s="16" t="e">
        <f>(AN83+(Crescimento!#REF!-(AN83*0.64))/0.8)/1000</f>
        <v>#REF!</v>
      </c>
      <c r="AN84" s="17" t="e">
        <f>-53.07 + (304.89 * (AM84)) + (90.79 *Crescimento!#REF!) - (3.13 * Crescimento!#REF!*Crescimento!#REF!)</f>
        <v>#REF!</v>
      </c>
      <c r="AP84" s="16" t="e">
        <f>(AQ83+(Crescimento!#REF!-(AQ83*0.64))/0.8)/1000</f>
        <v>#REF!</v>
      </c>
      <c r="AQ84" s="17" t="e">
        <f>-53.07 + (304.89 * (AP84)) + (90.79 *Crescimento!#REF!) - (3.13 * Crescimento!#REF!*Crescimento!#REF!)</f>
        <v>#REF!</v>
      </c>
      <c r="AS84" s="16" t="e">
        <f>(AT83+(Crescimento!#REF!-(AT83*0.64))/0.8)/1000</f>
        <v>#REF!</v>
      </c>
      <c r="AT84" s="17" t="e">
        <f>-53.07 + (304.89 * (AS84)) + (90.79 *Crescimento!#REF!) - (3.13 * Crescimento!#REF!*Crescimento!#REF!)</f>
        <v>#REF!</v>
      </c>
      <c r="AV84" s="16" t="e">
        <f>(AW83+(Crescimento!#REF!-(AW83*0.64))/0.8)/1000</f>
        <v>#REF!</v>
      </c>
      <c r="AW84" s="17" t="e">
        <f>-53.07 + (304.89 * (AV84)) + (90.79 *Crescimento!#REF!) - (3.13 * Crescimento!#REF!*Crescimento!#REF!)</f>
        <v>#REF!</v>
      </c>
      <c r="AY84" s="21" t="e">
        <f>((AZ83+(Crescimento!#REF!-(AZ83*0.64))/0.8)/1000)-Crescimento!#REF!</f>
        <v>#REF!</v>
      </c>
      <c r="AZ84" s="22" t="e">
        <f>-53.07 + (304.89 * (AY84)) + (90.79 *(Crescimento!#REF!-Crescimento!#REF!)) - (3.13 * (Crescimento!#REF!-Crescimento!#REF!)^2)</f>
        <v>#REF!</v>
      </c>
      <c r="BA84" s="23"/>
      <c r="BB84" s="21" t="e">
        <f>((BC83+(Crescimento!#REF!-(BC83*0.64))/0.8)/1000)-Crescimento!#REF!</f>
        <v>#REF!</v>
      </c>
      <c r="BC84" s="22" t="e">
        <f>-53.07 + (304.89 * (BB84)) + (90.79 *(Crescimento!#REF!-Crescimento!#REF!)) - (3.13 * (Crescimento!#REF!-Crescimento!#REF!)^2)</f>
        <v>#REF!</v>
      </c>
      <c r="BD84" s="23"/>
      <c r="BE84" s="21" t="e">
        <f>((BF83+(Crescimento!#REF!-(BF83*0.64))/0.8)/1000)-Crescimento!#REF!</f>
        <v>#REF!</v>
      </c>
      <c r="BF84" s="22" t="e">
        <f>-53.07 + (304.89 * (BE84)) + (90.79 *(Crescimento!#REF!-Crescimento!#REF!)) - (3.13 * (Crescimento!#REF!-Crescimento!#REF!)^2)</f>
        <v>#REF!</v>
      </c>
      <c r="BG84" s="23"/>
      <c r="BH84" s="21" t="e">
        <f>((BI83+(Crescimento!#REF!-(BI83*0.64))/0.8)/1000)-Crescimento!#REF!</f>
        <v>#REF!</v>
      </c>
      <c r="BI84" s="22" t="e">
        <f>-53.07 + (304.89 * (BH84)) + (90.79 *(Crescimento!#REF!-Crescimento!#REF!)) - (3.13 * (Crescimento!#REF!-Crescimento!#REF!)^2)</f>
        <v>#REF!</v>
      </c>
      <c r="BJ84" s="23"/>
      <c r="BK84" s="21" t="e">
        <f>((BL83+(Crescimento!#REF!-(BL83*0.64))/0.8)/1000)-Crescimento!#REF!</f>
        <v>#REF!</v>
      </c>
      <c r="BL84" s="22" t="e">
        <f>-53.07 + (304.89 * (BK84)) + (90.79 *(Crescimento!#REF!-Crescimento!#REF!)) - (3.13 * (Crescimento!#REF!-Crescimento!#REF!)^2)</f>
        <v>#REF!</v>
      </c>
      <c r="BM84" s="23"/>
      <c r="BN84" s="21" t="e">
        <f>((BO83+(Crescimento!#REF!-(BO83*0.64))/0.8)/1000)-Crescimento!#REF!</f>
        <v>#REF!</v>
      </c>
      <c r="BO84" s="22" t="e">
        <f>-53.07 + (304.89 * (BN84)) + (90.79 *(Crescimento!#REF!-Crescimento!#REF!)) - (3.13 * (Crescimento!#REF!-Crescimento!#REF!)^2)</f>
        <v>#REF!</v>
      </c>
      <c r="BP84" s="23"/>
      <c r="BQ84" s="21" t="e">
        <f>((BR83+(Crescimento!#REF!-(BR83*0.64))/0.8)/1000)-Crescimento!#REF!</f>
        <v>#REF!</v>
      </c>
      <c r="BR84" s="22" t="e">
        <f>-53.07 + (304.89 * (BQ84)) + (90.79 *(Crescimento!#REF!-Crescimento!#REF!)) - (3.13 * (Crescimento!#REF!-Crescimento!#REF!)^2)</f>
        <v>#REF!</v>
      </c>
      <c r="BS84" s="23"/>
      <c r="BT84" s="21" t="e">
        <f>((BU83+(Crescimento!#REF!-(BU83*0.64))/0.8)/1000)-Crescimento!#REF!</f>
        <v>#REF!</v>
      </c>
      <c r="BU84" s="22" t="e">
        <f>-53.07 + (304.89 * (BT84)) + (90.79 *(Crescimento!#REF!-Crescimento!#REF!)) - (3.13 * (Crescimento!#REF!-Crescimento!#REF!)^2)</f>
        <v>#REF!</v>
      </c>
      <c r="BV84" s="23"/>
      <c r="BW84" s="21" t="e">
        <f>((BX83+(Crescimento!#REF!-(BX83*0.64))/0.8)/1000)-Crescimento!#REF!</f>
        <v>#REF!</v>
      </c>
      <c r="BX84" s="22" t="e">
        <f>-53.07 + (304.89 * (BW84)) + (90.79 *(Crescimento!#REF!-Crescimento!#REF!)) - (3.13 * (Crescimento!#REF!-Crescimento!#REF!)^2)</f>
        <v>#REF!</v>
      </c>
      <c r="BY84" s="23"/>
      <c r="BZ84" s="21" t="e">
        <f>((CA83+(Crescimento!#REF!-(CA83*0.64))/0.8)/1000)-Crescimento!#REF!</f>
        <v>#REF!</v>
      </c>
      <c r="CA84" s="22" t="e">
        <f>-53.07 + (304.89 * (BZ84)) + (90.79 *(Crescimento!#REF!-Crescimento!#REF!)) - (3.13 * (Crescimento!#REF!-Crescimento!#REF!)^2)</f>
        <v>#REF!</v>
      </c>
      <c r="CB84" s="23"/>
      <c r="CC84" s="21" t="e">
        <f>((CD83+(Crescimento!#REF!-(CD83*0.64))/0.8)/1000)-Crescimento!#REF!</f>
        <v>#REF!</v>
      </c>
      <c r="CD84" s="22" t="e">
        <f>-53.07 + (304.89 * (CC84)) + (90.79 *(Crescimento!#REF!-Crescimento!#REF!)) - (3.13 * (Crescimento!#REF!-Crescimento!#REF!)^2)</f>
        <v>#REF!</v>
      </c>
      <c r="CE84" s="23"/>
      <c r="CF84" s="21" t="e">
        <f>((CG83+(Crescimento!#REF!-(CG83*0.64))/0.8)/1000)-Crescimento!#REF!</f>
        <v>#REF!</v>
      </c>
      <c r="CG84" s="22" t="e">
        <f>-53.07 + (304.89 * (CF84)) + (90.79 *(Crescimento!#REF!-Crescimento!#REF!)) - (3.13 * (Crescimento!#REF!-Crescimento!#REF!)^2)</f>
        <v>#REF!</v>
      </c>
      <c r="CH84" s="23"/>
      <c r="CI84" s="21" t="e">
        <f>((CJ83+(Crescimento!#REF!-(CJ83*0.64))/0.8)/1000)-Crescimento!#REF!</f>
        <v>#REF!</v>
      </c>
      <c r="CJ84" s="22" t="e">
        <f>-53.07 + (304.89 * (CI84)) + (90.79 *(Crescimento!#REF!-Crescimento!#REF!)) - (3.13 * (Crescimento!#REF!-Crescimento!#REF!)^2)</f>
        <v>#REF!</v>
      </c>
      <c r="CK84" s="23"/>
      <c r="CL84" s="21" t="e">
        <f>((CM83+(Crescimento!#REF!-(CM83*0.64))/0.8)/1000)-Crescimento!#REF!</f>
        <v>#REF!</v>
      </c>
      <c r="CM84" s="22" t="e">
        <f>-53.07 + (304.89 * (CL84)) + (90.79 *(Crescimento!#REF!-Crescimento!#REF!)) - (3.13 * (Crescimento!#REF!-Crescimento!#REF!)^2)</f>
        <v>#REF!</v>
      </c>
      <c r="CN84" s="23"/>
      <c r="CO84" s="21" t="e">
        <f>((CP83+(Crescimento!#REF!-(CP83*0.64))/0.8)/1000)-Crescimento!#REF!</f>
        <v>#REF!</v>
      </c>
      <c r="CP84" s="22" t="e">
        <f>-53.07 + (304.89 * (CO84)) + (90.79 *(Crescimento!#REF!-Crescimento!#REF!)) - (3.13 * (Crescimento!#REF!-Crescimento!#REF!)^2)</f>
        <v>#REF!</v>
      </c>
      <c r="CQ84" s="23"/>
      <c r="CR84" s="21" t="e">
        <f>((CS83+(Crescimento!#REF!-(CS83*0.64))/0.8)/1000)-Crescimento!#REF!</f>
        <v>#REF!</v>
      </c>
      <c r="CS84" s="22" t="e">
        <f>-53.07 + (304.89 * (CR84)) + (90.79 *(Crescimento!#REF!-Crescimento!#REF!)) - (3.13 * (Crescimento!#REF!-Crescimento!#REF!)^2)</f>
        <v>#REF!</v>
      </c>
      <c r="CX84" s="16" t="e">
        <f>((CY83+(Crescimento!#REF!-(CY83*0.64))/0.8)/1000)-Crescimento!#REF!</f>
        <v>#REF!</v>
      </c>
      <c r="CY84" s="17" t="e">
        <f>-53.07 + (304.89 * (CX84)) + (90.79 *(Crescimento!#REF!-Crescimento!#REF!)) - (3.13 * (Crescimento!#REF!-Crescimento!#REF!)^2)</f>
        <v>#REF!</v>
      </c>
      <c r="DA84" s="16" t="e">
        <f>((DB83+(Crescimento!#REF!-(DB83*0.64))/0.8)/1000)-Crescimento!#REF!</f>
        <v>#REF!</v>
      </c>
      <c r="DB84" s="17" t="e">
        <f>-53.07 + (304.89 * (DA84)) + (90.79 *(Crescimento!#REF!-Crescimento!#REF!)) - (3.13 * (Crescimento!#REF!-Crescimento!#REF!)^2)</f>
        <v>#REF!</v>
      </c>
      <c r="DD84" s="16" t="e">
        <f>(DE83+(Crescimento!#REF!-(DE83*0.64))/0.8)/1000</f>
        <v>#REF!</v>
      </c>
      <c r="DE84" s="17" t="e">
        <f>-53.07 + (304.89 * (DD84)) + (90.79 *Crescimento!#REF!) - (3.13 * Crescimento!#REF!*Crescimento!#REF!)</f>
        <v>#REF!</v>
      </c>
      <c r="DG84" s="16" t="e">
        <f>((DH83+(Crescimento!#REF!-(DH83*0.64))/0.8)/1000)-Crescimento!#REF!</f>
        <v>#REF!</v>
      </c>
      <c r="DH84" s="17" t="e">
        <f>-53.07 + (304.89 * (DG84)) + (90.79 *(Crescimento!#REF!-Crescimento!#REF!)) - (3.13 * (Crescimento!#REF!-Crescimento!#REF!)^2)</f>
        <v>#REF!</v>
      </c>
      <c r="DJ84" s="16" t="e">
        <f>((DK83+(Crescimento!#REF!-(DK83*0.64))/0.8)/1000)-Crescimento!#REF!</f>
        <v>#REF!</v>
      </c>
      <c r="DK84" s="17" t="e">
        <f>-53.07 + (304.89 * (DJ84)) + (90.79 *(Crescimento!#REF!-Crescimento!#REF!)) - (3.13 * (Crescimento!#REF!-Crescimento!#REF!)^2)</f>
        <v>#REF!</v>
      </c>
      <c r="DM84" s="16" t="e">
        <f>((DN83+(Crescimento!#REF!-(DN83*0.64))/0.8)/1000)-Crescimento!#REF!</f>
        <v>#REF!</v>
      </c>
      <c r="DN84" s="17" t="e">
        <f>-53.07 + (304.89 * (DM84)) + (90.79 *(Crescimento!#REF!-Crescimento!#REF!)) - (3.13 * (Crescimento!#REF!-Crescimento!#REF!)^2)</f>
        <v>#REF!</v>
      </c>
      <c r="DP84" s="16" t="e">
        <f>(DQ83+(Crescimento!#REF!-(DQ83*0.64))/0.8)/1000</f>
        <v>#REF!</v>
      </c>
      <c r="DQ84" s="17" t="e">
        <f>-53.07 + (304.89 * (DP84)) + (90.79 *(Crescimento!#REF!-Crescimento!#REF!)) - (3.13 * (Crescimento!#REF!-Crescimento!#REF!)^2)</f>
        <v>#REF!</v>
      </c>
      <c r="DS84" s="16" t="e">
        <f>((DT83+(Crescimento!#REF!-(DT83*0.64))/0.8)/1000)-Crescimento!#REF!</f>
        <v>#REF!</v>
      </c>
      <c r="DT84" s="17" t="e">
        <f>-53.07 + (304.89 * (DS84)) + (90.79 *(Crescimento!#REF!-Crescimento!#REF!)) - (3.13 * (Crescimento!#REF!-Crescimento!#REF!)^2)</f>
        <v>#REF!</v>
      </c>
      <c r="DV84" s="16" t="e">
        <f>((DW83+(Crescimento!#REF!-(DW83*0.64))/0.8)/1000)-Crescimento!#REF!</f>
        <v>#REF!</v>
      </c>
      <c r="DW84" s="17" t="e">
        <f>-53.07 + (304.89 * (DV84)) + (90.79 *(Crescimento!#REF!-Crescimento!#REF!)) - (3.13 * (Crescimento!#REF!-Crescimento!#REF!)^2)</f>
        <v>#REF!</v>
      </c>
      <c r="DY84" s="16" t="e">
        <f>((DZ83+(Crescimento!#REF!-(DZ83*0.64))/0.8)/1000)-Crescimento!#REF!</f>
        <v>#REF!</v>
      </c>
      <c r="DZ84" s="17" t="e">
        <f>-53.07 + (304.89 * (DY84)) + (90.79 *(Crescimento!#REF!-Crescimento!#REF!)) - (3.13 * (Crescimento!#REF!-Crescimento!#REF!)^2)</f>
        <v>#REF!</v>
      </c>
      <c r="EB84" s="16" t="e">
        <f>((EC83+(Crescimento!#REF!-(EC83*0.64))/0.8)/1000)-Crescimento!#REF!</f>
        <v>#REF!</v>
      </c>
      <c r="EC84" s="17" t="e">
        <f>-53.07 + (304.89 * (EB84)) + (90.79 *(Crescimento!#REF!-Crescimento!#REF!)) - (3.13 * (Crescimento!#REF!-Crescimento!#REF!)^2)</f>
        <v>#REF!</v>
      </c>
      <c r="EE84" s="16" t="e">
        <f>((EF83+(Crescimento!#REF!-(EF83*0.64))/0.8)/1000)-Crescimento!#REF!</f>
        <v>#REF!</v>
      </c>
      <c r="EF84" s="17" t="e">
        <f>-53.07 + (304.89 * (EE84)) + (90.79 *(Crescimento!#REF!-Crescimento!#REF!)) - (3.13 * (Crescimento!#REF!-Crescimento!#REF!)^2)</f>
        <v>#REF!</v>
      </c>
      <c r="EH84" s="16" t="e">
        <f>((EI83+(Crescimento!#REF!-(EI83*0.64))/0.8)/1000)-Crescimento!#REF!</f>
        <v>#REF!</v>
      </c>
      <c r="EI84" s="17" t="e">
        <f>-53.07 + (304.89 * (EH84)) + (90.79 *(Crescimento!#REF!-Crescimento!#REF!)) - (3.13 * (Crescimento!#REF!-Crescimento!#REF!)^2)</f>
        <v>#REF!</v>
      </c>
      <c r="EK84" s="16" t="e">
        <f>((EL83+(Crescimento!#REF!-(EL83*0.64))/0.8)/1000)-Crescimento!#REF!</f>
        <v>#REF!</v>
      </c>
      <c r="EL84" s="17" t="e">
        <f>-53.07 + (304.89 * (EK84)) + (90.79 *(Crescimento!#REF!-Crescimento!#REF!)) - (3.13 * (Crescimento!#REF!-Crescimento!#REF!)^2)</f>
        <v>#REF!</v>
      </c>
      <c r="EN84" s="16" t="e">
        <f>((EO83+(Crescimento!#REF!-(EO83*0.64))/0.8)/1000)-Crescimento!#REF!</f>
        <v>#REF!</v>
      </c>
      <c r="EO84" s="17" t="e">
        <f>-53.07 + (304.89 * (EN84)) + (90.79 *(Crescimento!#REF!-Crescimento!#REF!)) - (3.13 * (Crescimento!#REF!-Crescimento!#REF!)^2)</f>
        <v>#REF!</v>
      </c>
      <c r="EQ84" s="16" t="e">
        <f>((ER83+(Crescimento!#REF!-(ER83*0.64))/0.8)/1000)-Crescimento!#REF!</f>
        <v>#REF!</v>
      </c>
      <c r="ER84" s="17" t="e">
        <f>-53.07 + (304.89 * (EQ84)) + (90.79 *(Crescimento!#REF!-Crescimento!#REF!)) - (3.13 * (Crescimento!#REF!-Crescimento!#REF!)^2)</f>
        <v>#REF!</v>
      </c>
      <c r="ET84" s="16" t="e">
        <f>((EU83+(Crescimento!#REF!-(EU83*0.64))/0.8)/1000)-Crescimento!#REF!</f>
        <v>#REF!</v>
      </c>
      <c r="EU84" s="17" t="e">
        <f>-53.07 + (304.89 * (ET84)) + (90.79 *(Crescimento!#REF!-Crescimento!#REF!)) - (3.13 * (Crescimento!#REF!-Crescimento!#REF!)^2)</f>
        <v>#REF!</v>
      </c>
      <c r="EW84" s="16" t="e">
        <f>((EX83+('Vacas e Bezerros'!#REF!-(EX83*0.64))/0.8)/1000)-'Vacas e Bezerros'!#REF!</f>
        <v>#REF!</v>
      </c>
      <c r="EX84" s="17" t="e">
        <f>-53.07 + (304.89 * (EW84)) + (90.79 *('Vacas e Bezerros'!#REF!-'Vacas e Bezerros'!#REF!)) - (3.13 * ('Vacas e Bezerros'!#REF!-'Vacas e Bezerros'!#REF!)^2)</f>
        <v>#REF!</v>
      </c>
      <c r="EZ84" s="16" t="e">
        <f>((FA83+('Vacas e Bezerros'!#REF!-(FA83*0.64))/0.8)/1000)-'Vacas e Bezerros'!#REF!</f>
        <v>#REF!</v>
      </c>
      <c r="FA84" s="17" t="e">
        <f>-53.07 + (304.89 * (EZ84)) + (90.79 *('Vacas e Bezerros'!#REF!-'Vacas e Bezerros'!#REF!)) - (3.13 * ('Vacas e Bezerros'!#REF!-'Vacas e Bezerros'!#REF!)^2)</f>
        <v>#REF!</v>
      </c>
      <c r="FC84" s="16" t="e">
        <f>((FD83+('Vacas e Bezerros'!#REF!-(FD83*0.64))/0.8)/1000)-'Vacas e Bezerros'!#REF!</f>
        <v>#REF!</v>
      </c>
      <c r="FD84" s="17" t="e">
        <f>-53.07 + (304.89 * (FC84)) + (90.79 *('Vacas e Bezerros'!#REF!-'Vacas e Bezerros'!#REF!)) - (3.13 * ('Vacas e Bezerros'!#REF!-'Vacas e Bezerros'!#REF!)^2)</f>
        <v>#REF!</v>
      </c>
      <c r="FF84" s="16" t="e">
        <f>((FG83+('Vacas e Bezerros'!#REF!-(FG83*0.64))/0.8)/1000)-'Vacas e Bezerros'!#REF!</f>
        <v>#REF!</v>
      </c>
      <c r="FG84" s="17" t="e">
        <f>-53.07 + (304.89 * (FF84)) + (90.79 *('Vacas e Bezerros'!#REF!-'Vacas e Bezerros'!#REF!)) - (3.13 * ('Vacas e Bezerros'!#REF!-'Vacas e Bezerros'!#REF!)^2)</f>
        <v>#REF!</v>
      </c>
      <c r="FI84" s="16" t="e">
        <f>((FJ83+('Vacas e Bezerros'!#REF!-(FJ83*0.64))/0.8)/1000)-'Vacas e Bezerros'!#REF!</f>
        <v>#REF!</v>
      </c>
      <c r="FJ84" s="17" t="e">
        <f>-53.07 + (304.89 * (FI84)) + (90.79 *('Vacas e Bezerros'!#REF!-'Vacas e Bezerros'!#REF!)) - (3.13 * ('Vacas e Bezerros'!#REF!-'Vacas e Bezerros'!#REF!)^2)</f>
        <v>#REF!</v>
      </c>
      <c r="FL84" s="16" t="e">
        <f>((FM83+('Vacas e Bezerros'!#REF!-(FM83*0.64))/0.8)/1000)-'Vacas e Bezerros'!#REF!</f>
        <v>#REF!</v>
      </c>
      <c r="FM84" s="17" t="e">
        <f>-53.07 + (304.89 * (FL84)) + (90.79 *('Vacas e Bezerros'!#REF!-'Vacas e Bezerros'!#REF!)) - (3.13 * ('Vacas e Bezerros'!#REF!-'Vacas e Bezerros'!#REF!)^2)</f>
        <v>#REF!</v>
      </c>
      <c r="FO84" s="16" t="e">
        <f>((FP83+('Vacas e Bezerros'!#REF!-(FP83*0.64))/0.8)/1000)-'Vacas e Bezerros'!#REF!</f>
        <v>#REF!</v>
      </c>
      <c r="FP84" s="17" t="e">
        <f>-53.07 + (304.89 * (FO84)) + (90.79 *('Vacas e Bezerros'!#REF!-'Vacas e Bezerros'!#REF!)) - (3.13 * ('Vacas e Bezerros'!#REF!-'Vacas e Bezerros'!#REF!)^2)</f>
        <v>#REF!</v>
      </c>
      <c r="FR84" s="16" t="e">
        <f>((FS83+('Vacas e Bezerros'!#REF!-(FS83*0.64))/0.8)/1000)-'Vacas e Bezerros'!#REF!</f>
        <v>#REF!</v>
      </c>
      <c r="FS84" s="17" t="e">
        <f>-53.07 + (304.89 * (FR84)) + (90.79 *('Vacas e Bezerros'!#REF!-'Vacas e Bezerros'!#REF!)) - (3.13 * ('Vacas e Bezerros'!#REF!-'Vacas e Bezerros'!#REF!)^2)</f>
        <v>#REF!</v>
      </c>
      <c r="FU84" s="16" t="e">
        <f>((FV83+('Vacas e Bezerros'!#REF!-(FV83*0.64))/0.8)/1000)-'Vacas e Bezerros'!#REF!</f>
        <v>#REF!</v>
      </c>
      <c r="FV84" s="17" t="e">
        <f>-53.07 + (304.89 * (FU84)) + (90.79 *('Vacas e Bezerros'!#REF!-'Vacas e Bezerros'!#REF!)) - (3.13 * ('Vacas e Bezerros'!#REF!-'Vacas e Bezerros'!#REF!)^2)</f>
        <v>#REF!</v>
      </c>
      <c r="FX84" s="16" t="e">
        <f>((FY83+('Vacas e Bezerros'!#REF!-(FY83*0.64))/0.8)/1000)-'Vacas e Bezerros'!#REF!</f>
        <v>#REF!</v>
      </c>
      <c r="FY84" s="17" t="e">
        <f>-53.07 + (304.89 * (FX84)) + (90.79 *('Vacas e Bezerros'!#REF!-'Vacas e Bezerros'!#REF!)) - (3.13 * ('Vacas e Bezerros'!#REF!-'Vacas e Bezerros'!#REF!)^2)</f>
        <v>#REF!</v>
      </c>
      <c r="GA84" s="16" t="e">
        <f>((GB83+('Vacas e Bezerros'!#REF!-(GB83*0.64))/0.8)/1000)-'Vacas e Bezerros'!#REF!</f>
        <v>#REF!</v>
      </c>
      <c r="GB84" s="17" t="e">
        <f>-53.07 + (304.89 * (GA84)) + (90.79 *('Vacas e Bezerros'!#REF!-'Vacas e Bezerros'!#REF!)) - (3.13 * ('Vacas e Bezerros'!#REF!-'Vacas e Bezerros'!#REF!)^2)</f>
        <v>#REF!</v>
      </c>
      <c r="GD84" s="16" t="e">
        <f>((GE83+('Vacas e Bezerros'!#REF!-(GE83*0.64))/0.8)/1000)-'Vacas e Bezerros'!#REF!</f>
        <v>#REF!</v>
      </c>
      <c r="GE84" s="17" t="e">
        <f>-53.07 + (304.89 * (GD84)) + (90.79 *('Vacas e Bezerros'!#REF!-'Vacas e Bezerros'!#REF!)) - (3.13 * ('Vacas e Bezerros'!#REF!-'Vacas e Bezerros'!#REF!)^2)</f>
        <v>#REF!</v>
      </c>
      <c r="GG84" s="16" t="e">
        <f>((GH83+('Vacas e Bezerros'!#REF!-(GH83*0.64))/0.8)/1000)-'Vacas e Bezerros'!#REF!</f>
        <v>#REF!</v>
      </c>
      <c r="GH84" s="17" t="e">
        <f>-53.07 + (304.89 * (GG84)) + (90.79 *('Vacas e Bezerros'!#REF!-'Vacas e Bezerros'!#REF!)) - (3.13 * ('Vacas e Bezerros'!#REF!-'Vacas e Bezerros'!#REF!)^2)</f>
        <v>#REF!</v>
      </c>
      <c r="GJ84" s="16" t="e">
        <f>((GK83+('Vacas e Bezerros'!#REF!-(GK83*0.64))/0.8)/1000)-'Vacas e Bezerros'!#REF!</f>
        <v>#REF!</v>
      </c>
      <c r="GK84" s="17" t="e">
        <f>-53.07 + (304.89 * (GJ84)) + (90.79 *('Vacas e Bezerros'!#REF!-'Vacas e Bezerros'!#REF!)) - (3.13 * ('Vacas e Bezerros'!#REF!-'Vacas e Bezerros'!#REF!)^2)</f>
        <v>#REF!</v>
      </c>
      <c r="GM84" s="16" t="e">
        <f>((GN83+('Vacas e Bezerros'!#REF!-(GN83*0.64))/0.8)/1000)-'Vacas e Bezerros'!#REF!</f>
        <v>#REF!</v>
      </c>
      <c r="GN84" s="17" t="e">
        <f>-53.07 + (304.89 * (GM84)) + (90.79 *('Vacas e Bezerros'!#REF!-'Vacas e Bezerros'!#REF!)) - (3.13 * ('Vacas e Bezerros'!#REF!-'Vacas e Bezerros'!#REF!)^2)</f>
        <v>#REF!</v>
      </c>
    </row>
    <row r="85" spans="3:196" x14ac:dyDescent="0.25">
      <c r="C85" s="16">
        <f>(D84+('Vacas e Bezerros'!$AA$28-(D84*0.64))/0.8)/1000</f>
        <v>0.35719668016155687</v>
      </c>
      <c r="D85" s="17">
        <f>-53.07 + (304.89 * (C85-'Vacas e Bezerros'!$C$206)) + (90.79 *('Vacas e Bezerros'!$AA$22)) - (3.13 *('Vacas e Bezerros'!$AA$22)^2)</f>
        <v>165.01876457544017</v>
      </c>
      <c r="F85" s="16" t="e">
        <f>(G84+(Crescimento!#REF!-(G84*0.64))/0.8)/1000</f>
        <v>#REF!</v>
      </c>
      <c r="G85" s="17" t="e">
        <f>-53.07 + (304.89 * (F85)) + (90.79 *Crescimento!#REF!) - (3.13 * Crescimento!#REF!*Crescimento!#REF!)</f>
        <v>#REF!</v>
      </c>
      <c r="H85" s="1"/>
      <c r="I85" s="16" t="e">
        <f>(J84+(Crescimento!#REF!-(J84*0.64))/0.8)/1000</f>
        <v>#REF!</v>
      </c>
      <c r="J85" s="17" t="e">
        <f>-53.07 + (304.89 * (I85)) + (90.79 *Crescimento!#REF!) - (3.13 * Crescimento!#REF!*Crescimento!#REF!)</f>
        <v>#REF!</v>
      </c>
      <c r="L85" s="16" t="e">
        <f>(M84+(Crescimento!#REF!-(M84*0.64))/0.8)/1000</f>
        <v>#REF!</v>
      </c>
      <c r="M85" s="17" t="e">
        <f>-53.07 + (304.89 * (L85)) + (90.79 *Crescimento!#REF!) - (3.13 * Crescimento!#REF!*Crescimento!#REF!)</f>
        <v>#REF!</v>
      </c>
      <c r="O85" s="16" t="e">
        <f>(P84+(Crescimento!#REF!-(P84*0.64))/0.8)/1000</f>
        <v>#REF!</v>
      </c>
      <c r="P85" s="17" t="e">
        <f>-53.07 + (304.89 * (O85)) + (90.79 *Crescimento!#REF!) - (3.13 * Crescimento!#REF!*Crescimento!#REF!)</f>
        <v>#REF!</v>
      </c>
      <c r="R85" s="16" t="e">
        <f>(S84+(Crescimento!#REF!-(S84*0.64))/0.8)/1000</f>
        <v>#REF!</v>
      </c>
      <c r="S85" s="17" t="e">
        <f>-53.07 + (304.89 * (R85)) + (90.79 *Crescimento!#REF!) - (3.13 * Crescimento!#REF!*Crescimento!#REF!)</f>
        <v>#REF!</v>
      </c>
      <c r="U85" s="16" t="e">
        <f>(V84+(Crescimento!#REF!-(V84*0.64))/0.8)/1000</f>
        <v>#REF!</v>
      </c>
      <c r="V85" s="17" t="e">
        <f>-53.07 + (304.89 * (U85)) + (90.79 *Crescimento!#REF!) - (3.13 * Crescimento!#REF!*Crescimento!#REF!)</f>
        <v>#REF!</v>
      </c>
      <c r="X85" s="16" t="e">
        <f>(Y84+(Crescimento!#REF!-(Y84*0.64))/0.8)/1000</f>
        <v>#REF!</v>
      </c>
      <c r="Y85" s="17" t="e">
        <f>-53.07 + (304.89 * (X85)) + (90.79 *Crescimento!#REF!) - (3.13 * Crescimento!#REF!*Crescimento!#REF!)</f>
        <v>#REF!</v>
      </c>
      <c r="Z85" s="6"/>
      <c r="AA85" s="16" t="e">
        <f>(AB84+(Crescimento!#REF!-(AB84*0.64))/0.8)/1000</f>
        <v>#REF!</v>
      </c>
      <c r="AB85" s="17" t="e">
        <f>-53.07 + (304.89 * (AA85)) + (90.79 *Crescimento!#REF!) - (3.13 * Crescimento!#REF!*Crescimento!#REF!)</f>
        <v>#REF!</v>
      </c>
      <c r="AC85" s="6"/>
      <c r="AD85" s="16" t="e">
        <f>(AE84+(Crescimento!#REF!-(AE84*0.64))/0.8)/1000</f>
        <v>#REF!</v>
      </c>
      <c r="AE85" s="17" t="e">
        <f>-53.07 + (304.89 * (AD85)) + (90.79 *Crescimento!#REF!) - (3.13 * Crescimento!#REF!*Crescimento!#REF!)</f>
        <v>#REF!</v>
      </c>
      <c r="AF85" s="17"/>
      <c r="AG85" s="16" t="e">
        <f>(AH84+(Crescimento!#REF!-(AH84*0.64))/0.8)/1000</f>
        <v>#REF!</v>
      </c>
      <c r="AH85" s="17" t="e">
        <f>-53.07 + (304.89 * (AG85)) + (90.79 *Crescimento!#REF!) - (3.13 * Crescimento!#REF!*Crescimento!#REF!)</f>
        <v>#REF!</v>
      </c>
      <c r="AJ85" s="16" t="e">
        <f>(AK84+(Crescimento!#REF!-(AK84*0.64))/0.8)/1000</f>
        <v>#REF!</v>
      </c>
      <c r="AK85" s="17" t="e">
        <f>-53.07 + (304.89 * (AJ85)) + (90.79 *Crescimento!#REF!) - (3.13 * Crescimento!#REF!*Crescimento!#REF!)</f>
        <v>#REF!</v>
      </c>
      <c r="AM85" s="16" t="e">
        <f>(AN84+(Crescimento!#REF!-(AN84*0.64))/0.8)/1000</f>
        <v>#REF!</v>
      </c>
      <c r="AN85" s="17" t="e">
        <f>-53.07 + (304.89 * (AM85)) + (90.79 *Crescimento!#REF!) - (3.13 * Crescimento!#REF!*Crescimento!#REF!)</f>
        <v>#REF!</v>
      </c>
      <c r="AP85" s="16" t="e">
        <f>(AQ84+(Crescimento!#REF!-(AQ84*0.64))/0.8)/1000</f>
        <v>#REF!</v>
      </c>
      <c r="AQ85" s="17" t="e">
        <f>-53.07 + (304.89 * (AP85)) + (90.79 *Crescimento!#REF!) - (3.13 * Crescimento!#REF!*Crescimento!#REF!)</f>
        <v>#REF!</v>
      </c>
      <c r="AS85" s="16" t="e">
        <f>(AT84+(Crescimento!#REF!-(AT84*0.64))/0.8)/1000</f>
        <v>#REF!</v>
      </c>
      <c r="AT85" s="17" t="e">
        <f>-53.07 + (304.89 * (AS85)) + (90.79 *Crescimento!#REF!) - (3.13 * Crescimento!#REF!*Crescimento!#REF!)</f>
        <v>#REF!</v>
      </c>
      <c r="AV85" s="16" t="e">
        <f>(AW84+(Crescimento!#REF!-(AW84*0.64))/0.8)/1000</f>
        <v>#REF!</v>
      </c>
      <c r="AW85" s="17" t="e">
        <f>-53.07 + (304.89 * (AV85)) + (90.79 *Crescimento!#REF!) - (3.13 * Crescimento!#REF!*Crescimento!#REF!)</f>
        <v>#REF!</v>
      </c>
      <c r="AY85" s="21" t="e">
        <f>((AZ84+(Crescimento!#REF!-(AZ84*0.64))/0.8)/1000)-Crescimento!#REF!</f>
        <v>#REF!</v>
      </c>
      <c r="AZ85" s="22" t="e">
        <f>-53.07 + (304.89 * (AY85)) + (90.79 *(Crescimento!#REF!-Crescimento!#REF!)) - (3.13 * (Crescimento!#REF!-Crescimento!#REF!)^2)</f>
        <v>#REF!</v>
      </c>
      <c r="BA85" s="23"/>
      <c r="BB85" s="21" t="e">
        <f>((BC84+(Crescimento!#REF!-(BC84*0.64))/0.8)/1000)-Crescimento!#REF!</f>
        <v>#REF!</v>
      </c>
      <c r="BC85" s="22" t="e">
        <f>-53.07 + (304.89 * (BB85)) + (90.79 *(Crescimento!#REF!-Crescimento!#REF!)) - (3.13 * (Crescimento!#REF!-Crescimento!#REF!)^2)</f>
        <v>#REF!</v>
      </c>
      <c r="BD85" s="23"/>
      <c r="BE85" s="21" t="e">
        <f>((BF84+(Crescimento!#REF!-(BF84*0.64))/0.8)/1000)-Crescimento!#REF!</f>
        <v>#REF!</v>
      </c>
      <c r="BF85" s="22" t="e">
        <f>-53.07 + (304.89 * (BE85)) + (90.79 *(Crescimento!#REF!-Crescimento!#REF!)) - (3.13 * (Crescimento!#REF!-Crescimento!#REF!)^2)</f>
        <v>#REF!</v>
      </c>
      <c r="BG85" s="23"/>
      <c r="BH85" s="21" t="e">
        <f>((BI84+(Crescimento!#REF!-(BI84*0.64))/0.8)/1000)-Crescimento!#REF!</f>
        <v>#REF!</v>
      </c>
      <c r="BI85" s="22" t="e">
        <f>-53.07 + (304.89 * (BH85)) + (90.79 *(Crescimento!#REF!-Crescimento!#REF!)) - (3.13 * (Crescimento!#REF!-Crescimento!#REF!)^2)</f>
        <v>#REF!</v>
      </c>
      <c r="BJ85" s="23"/>
      <c r="BK85" s="21" t="e">
        <f>((BL84+(Crescimento!#REF!-(BL84*0.64))/0.8)/1000)-Crescimento!#REF!</f>
        <v>#REF!</v>
      </c>
      <c r="BL85" s="22" t="e">
        <f>-53.07 + (304.89 * (BK85)) + (90.79 *(Crescimento!#REF!-Crescimento!#REF!)) - (3.13 * (Crescimento!#REF!-Crescimento!#REF!)^2)</f>
        <v>#REF!</v>
      </c>
      <c r="BM85" s="23"/>
      <c r="BN85" s="21" t="e">
        <f>((BO84+(Crescimento!#REF!-(BO84*0.64))/0.8)/1000)-Crescimento!#REF!</f>
        <v>#REF!</v>
      </c>
      <c r="BO85" s="22" t="e">
        <f>-53.07 + (304.89 * (BN85)) + (90.79 *(Crescimento!#REF!-Crescimento!#REF!)) - (3.13 * (Crescimento!#REF!-Crescimento!#REF!)^2)</f>
        <v>#REF!</v>
      </c>
      <c r="BP85" s="23"/>
      <c r="BQ85" s="21" t="e">
        <f>((BR84+(Crescimento!#REF!-(BR84*0.64))/0.8)/1000)-Crescimento!#REF!</f>
        <v>#REF!</v>
      </c>
      <c r="BR85" s="22" t="e">
        <f>-53.07 + (304.89 * (BQ85)) + (90.79 *(Crescimento!#REF!-Crescimento!#REF!)) - (3.13 * (Crescimento!#REF!-Crescimento!#REF!)^2)</f>
        <v>#REF!</v>
      </c>
      <c r="BS85" s="23"/>
      <c r="BT85" s="21" t="e">
        <f>((BU84+(Crescimento!#REF!-(BU84*0.64))/0.8)/1000)-Crescimento!#REF!</f>
        <v>#REF!</v>
      </c>
      <c r="BU85" s="22" t="e">
        <f>-53.07 + (304.89 * (BT85)) + (90.79 *(Crescimento!#REF!-Crescimento!#REF!)) - (3.13 * (Crescimento!#REF!-Crescimento!#REF!)^2)</f>
        <v>#REF!</v>
      </c>
      <c r="BV85" s="23"/>
      <c r="BW85" s="21" t="e">
        <f>((BX84+(Crescimento!#REF!-(BX84*0.64))/0.8)/1000)-Crescimento!#REF!</f>
        <v>#REF!</v>
      </c>
      <c r="BX85" s="22" t="e">
        <f>-53.07 + (304.89 * (BW85)) + (90.79 *(Crescimento!#REF!-Crescimento!#REF!)) - (3.13 * (Crescimento!#REF!-Crescimento!#REF!)^2)</f>
        <v>#REF!</v>
      </c>
      <c r="BY85" s="23"/>
      <c r="BZ85" s="21" t="e">
        <f>((CA84+(Crescimento!#REF!-(CA84*0.64))/0.8)/1000)-Crescimento!#REF!</f>
        <v>#REF!</v>
      </c>
      <c r="CA85" s="22" t="e">
        <f>-53.07 + (304.89 * (BZ85)) + (90.79 *(Crescimento!#REF!-Crescimento!#REF!)) - (3.13 * (Crescimento!#REF!-Crescimento!#REF!)^2)</f>
        <v>#REF!</v>
      </c>
      <c r="CB85" s="23"/>
      <c r="CC85" s="21" t="e">
        <f>((CD84+(Crescimento!#REF!-(CD84*0.64))/0.8)/1000)-Crescimento!#REF!</f>
        <v>#REF!</v>
      </c>
      <c r="CD85" s="22" t="e">
        <f>-53.07 + (304.89 * (CC85)) + (90.79 *(Crescimento!#REF!-Crescimento!#REF!)) - (3.13 * (Crescimento!#REF!-Crescimento!#REF!)^2)</f>
        <v>#REF!</v>
      </c>
      <c r="CE85" s="23"/>
      <c r="CF85" s="21" t="e">
        <f>((CG84+(Crescimento!#REF!-(CG84*0.64))/0.8)/1000)-Crescimento!#REF!</f>
        <v>#REF!</v>
      </c>
      <c r="CG85" s="22" t="e">
        <f>-53.07 + (304.89 * (CF85)) + (90.79 *(Crescimento!#REF!-Crescimento!#REF!)) - (3.13 * (Crescimento!#REF!-Crescimento!#REF!)^2)</f>
        <v>#REF!</v>
      </c>
      <c r="CH85" s="23"/>
      <c r="CI85" s="21" t="e">
        <f>((CJ84+(Crescimento!#REF!-(CJ84*0.64))/0.8)/1000)-Crescimento!#REF!</f>
        <v>#REF!</v>
      </c>
      <c r="CJ85" s="22" t="e">
        <f>-53.07 + (304.89 * (CI85)) + (90.79 *(Crescimento!#REF!-Crescimento!#REF!)) - (3.13 * (Crescimento!#REF!-Crescimento!#REF!)^2)</f>
        <v>#REF!</v>
      </c>
      <c r="CK85" s="23"/>
      <c r="CL85" s="21" t="e">
        <f>((CM84+(Crescimento!#REF!-(CM84*0.64))/0.8)/1000)-Crescimento!#REF!</f>
        <v>#REF!</v>
      </c>
      <c r="CM85" s="22" t="e">
        <f>-53.07 + (304.89 * (CL85)) + (90.79 *(Crescimento!#REF!-Crescimento!#REF!)) - (3.13 * (Crescimento!#REF!-Crescimento!#REF!)^2)</f>
        <v>#REF!</v>
      </c>
      <c r="CN85" s="23"/>
      <c r="CO85" s="21" t="e">
        <f>((CP84+(Crescimento!#REF!-(CP84*0.64))/0.8)/1000)-Crescimento!#REF!</f>
        <v>#REF!</v>
      </c>
      <c r="CP85" s="22" t="e">
        <f>-53.07 + (304.89 * (CO85)) + (90.79 *(Crescimento!#REF!-Crescimento!#REF!)) - (3.13 * (Crescimento!#REF!-Crescimento!#REF!)^2)</f>
        <v>#REF!</v>
      </c>
      <c r="CQ85" s="23"/>
      <c r="CR85" s="21" t="e">
        <f>((CS84+(Crescimento!#REF!-(CS84*0.64))/0.8)/1000)-Crescimento!#REF!</f>
        <v>#REF!</v>
      </c>
      <c r="CS85" s="22" t="e">
        <f>-53.07 + (304.89 * (CR85)) + (90.79 *(Crescimento!#REF!-Crescimento!#REF!)) - (3.13 * (Crescimento!#REF!-Crescimento!#REF!)^2)</f>
        <v>#REF!</v>
      </c>
      <c r="CX85" s="16" t="e">
        <f>((CY84+(Crescimento!#REF!-(CY84*0.64))/0.8)/1000)-Crescimento!#REF!</f>
        <v>#REF!</v>
      </c>
      <c r="CY85" s="17" t="e">
        <f>-53.07 + (304.89 * (CX85)) + (90.79 *(Crescimento!#REF!-Crescimento!#REF!)) - (3.13 * (Crescimento!#REF!-Crescimento!#REF!)^2)</f>
        <v>#REF!</v>
      </c>
      <c r="DA85" s="16" t="e">
        <f>((DB84+(Crescimento!#REF!-(DB84*0.64))/0.8)/1000)-Crescimento!#REF!</f>
        <v>#REF!</v>
      </c>
      <c r="DB85" s="17" t="e">
        <f>-53.07 + (304.89 * (DA85)) + (90.79 *(Crescimento!#REF!-Crescimento!#REF!)) - (3.13 * (Crescimento!#REF!-Crescimento!#REF!)^2)</f>
        <v>#REF!</v>
      </c>
      <c r="DD85" s="16" t="e">
        <f>(DE84+(Crescimento!#REF!-(DE84*0.64))/0.8)/1000</f>
        <v>#REF!</v>
      </c>
      <c r="DE85" s="17" t="e">
        <f>-53.07 + (304.89 * (DD85)) + (90.79 *Crescimento!#REF!) - (3.13 * Crescimento!#REF!*Crescimento!#REF!)</f>
        <v>#REF!</v>
      </c>
      <c r="DG85" s="16" t="e">
        <f>((DH84+(Crescimento!#REF!-(DH84*0.64))/0.8)/1000)-Crescimento!#REF!</f>
        <v>#REF!</v>
      </c>
      <c r="DH85" s="17" t="e">
        <f>-53.07 + (304.89 * (DG85)) + (90.79 *(Crescimento!#REF!-Crescimento!#REF!)) - (3.13 * (Crescimento!#REF!-Crescimento!#REF!)^2)</f>
        <v>#REF!</v>
      </c>
      <c r="DJ85" s="16" t="e">
        <f>((DK84+(Crescimento!#REF!-(DK84*0.64))/0.8)/1000)-Crescimento!#REF!</f>
        <v>#REF!</v>
      </c>
      <c r="DK85" s="17" t="e">
        <f>-53.07 + (304.89 * (DJ85)) + (90.79 *(Crescimento!#REF!-Crescimento!#REF!)) - (3.13 * (Crescimento!#REF!-Crescimento!#REF!)^2)</f>
        <v>#REF!</v>
      </c>
      <c r="DM85" s="16" t="e">
        <f>((DN84+(Crescimento!#REF!-(DN84*0.64))/0.8)/1000)-Crescimento!#REF!</f>
        <v>#REF!</v>
      </c>
      <c r="DN85" s="17" t="e">
        <f>-53.07 + (304.89 * (DM85)) + (90.79 *(Crescimento!#REF!-Crescimento!#REF!)) - (3.13 * (Crescimento!#REF!-Crescimento!#REF!)^2)</f>
        <v>#REF!</v>
      </c>
      <c r="DP85" s="16" t="e">
        <f>(DQ84+(Crescimento!#REF!-(DQ84*0.64))/0.8)/1000</f>
        <v>#REF!</v>
      </c>
      <c r="DQ85" s="17" t="e">
        <f>-53.07 + (304.89 * (DP85)) + (90.79 *(Crescimento!#REF!-Crescimento!#REF!)) - (3.13 * (Crescimento!#REF!-Crescimento!#REF!)^2)</f>
        <v>#REF!</v>
      </c>
      <c r="DS85" s="16" t="e">
        <f>((DT84+(Crescimento!#REF!-(DT84*0.64))/0.8)/1000)-Crescimento!#REF!</f>
        <v>#REF!</v>
      </c>
      <c r="DT85" s="17" t="e">
        <f>-53.07 + (304.89 * (DS85)) + (90.79 *(Crescimento!#REF!-Crescimento!#REF!)) - (3.13 * (Crescimento!#REF!-Crescimento!#REF!)^2)</f>
        <v>#REF!</v>
      </c>
      <c r="DV85" s="16" t="e">
        <f>((DW84+(Crescimento!#REF!-(DW84*0.64))/0.8)/1000)-Crescimento!#REF!</f>
        <v>#REF!</v>
      </c>
      <c r="DW85" s="17" t="e">
        <f>-53.07 + (304.89 * (DV85)) + (90.79 *(Crescimento!#REF!-Crescimento!#REF!)) - (3.13 * (Crescimento!#REF!-Crescimento!#REF!)^2)</f>
        <v>#REF!</v>
      </c>
      <c r="DY85" s="16" t="e">
        <f>((DZ84+(Crescimento!#REF!-(DZ84*0.64))/0.8)/1000)-Crescimento!#REF!</f>
        <v>#REF!</v>
      </c>
      <c r="DZ85" s="17" t="e">
        <f>-53.07 + (304.89 * (DY85)) + (90.79 *(Crescimento!#REF!-Crescimento!#REF!)) - (3.13 * (Crescimento!#REF!-Crescimento!#REF!)^2)</f>
        <v>#REF!</v>
      </c>
      <c r="EB85" s="16" t="e">
        <f>((EC84+(Crescimento!#REF!-(EC84*0.64))/0.8)/1000)-Crescimento!#REF!</f>
        <v>#REF!</v>
      </c>
      <c r="EC85" s="17" t="e">
        <f>-53.07 + (304.89 * (EB85)) + (90.79 *(Crescimento!#REF!-Crescimento!#REF!)) - (3.13 * (Crescimento!#REF!-Crescimento!#REF!)^2)</f>
        <v>#REF!</v>
      </c>
      <c r="EE85" s="16" t="e">
        <f>((EF84+(Crescimento!#REF!-(EF84*0.64))/0.8)/1000)-Crescimento!#REF!</f>
        <v>#REF!</v>
      </c>
      <c r="EF85" s="17" t="e">
        <f>-53.07 + (304.89 * (EE85)) + (90.79 *(Crescimento!#REF!-Crescimento!#REF!)) - (3.13 * (Crescimento!#REF!-Crescimento!#REF!)^2)</f>
        <v>#REF!</v>
      </c>
      <c r="EH85" s="16" t="e">
        <f>((EI84+(Crescimento!#REF!-(EI84*0.64))/0.8)/1000)-Crescimento!#REF!</f>
        <v>#REF!</v>
      </c>
      <c r="EI85" s="17" t="e">
        <f>-53.07 + (304.89 * (EH85)) + (90.79 *(Crescimento!#REF!-Crescimento!#REF!)) - (3.13 * (Crescimento!#REF!-Crescimento!#REF!)^2)</f>
        <v>#REF!</v>
      </c>
      <c r="EK85" s="16" t="e">
        <f>((EL84+(Crescimento!#REF!-(EL84*0.64))/0.8)/1000)-Crescimento!#REF!</f>
        <v>#REF!</v>
      </c>
      <c r="EL85" s="17" t="e">
        <f>-53.07 + (304.89 * (EK85)) + (90.79 *(Crescimento!#REF!-Crescimento!#REF!)) - (3.13 * (Crescimento!#REF!-Crescimento!#REF!)^2)</f>
        <v>#REF!</v>
      </c>
      <c r="EN85" s="16" t="e">
        <f>((EO84+(Crescimento!#REF!-(EO84*0.64))/0.8)/1000)-Crescimento!#REF!</f>
        <v>#REF!</v>
      </c>
      <c r="EO85" s="17" t="e">
        <f>-53.07 + (304.89 * (EN85)) + (90.79 *(Crescimento!#REF!-Crescimento!#REF!)) - (3.13 * (Crescimento!#REF!-Crescimento!#REF!)^2)</f>
        <v>#REF!</v>
      </c>
      <c r="EQ85" s="16" t="e">
        <f>((ER84+(Crescimento!#REF!-(ER84*0.64))/0.8)/1000)-Crescimento!#REF!</f>
        <v>#REF!</v>
      </c>
      <c r="ER85" s="17" t="e">
        <f>-53.07 + (304.89 * (EQ85)) + (90.79 *(Crescimento!#REF!-Crescimento!#REF!)) - (3.13 * (Crescimento!#REF!-Crescimento!#REF!)^2)</f>
        <v>#REF!</v>
      </c>
      <c r="ET85" s="16" t="e">
        <f>((EU84+(Crescimento!#REF!-(EU84*0.64))/0.8)/1000)-Crescimento!#REF!</f>
        <v>#REF!</v>
      </c>
      <c r="EU85" s="17" t="e">
        <f>-53.07 + (304.89 * (ET85)) + (90.79 *(Crescimento!#REF!-Crescimento!#REF!)) - (3.13 * (Crescimento!#REF!-Crescimento!#REF!)^2)</f>
        <v>#REF!</v>
      </c>
      <c r="EW85" s="16" t="e">
        <f>((EX84+('Vacas e Bezerros'!#REF!-(EX84*0.64))/0.8)/1000)-'Vacas e Bezerros'!#REF!</f>
        <v>#REF!</v>
      </c>
      <c r="EX85" s="17" t="e">
        <f>-53.07 + (304.89 * (EW85)) + (90.79 *('Vacas e Bezerros'!#REF!-'Vacas e Bezerros'!#REF!)) - (3.13 * ('Vacas e Bezerros'!#REF!-'Vacas e Bezerros'!#REF!)^2)</f>
        <v>#REF!</v>
      </c>
      <c r="EZ85" s="16" t="e">
        <f>((FA84+('Vacas e Bezerros'!#REF!-(FA84*0.64))/0.8)/1000)-'Vacas e Bezerros'!#REF!</f>
        <v>#REF!</v>
      </c>
      <c r="FA85" s="17" t="e">
        <f>-53.07 + (304.89 * (EZ85)) + (90.79 *('Vacas e Bezerros'!#REF!-'Vacas e Bezerros'!#REF!)) - (3.13 * ('Vacas e Bezerros'!#REF!-'Vacas e Bezerros'!#REF!)^2)</f>
        <v>#REF!</v>
      </c>
      <c r="FC85" s="16" t="e">
        <f>((FD84+('Vacas e Bezerros'!#REF!-(FD84*0.64))/0.8)/1000)-'Vacas e Bezerros'!#REF!</f>
        <v>#REF!</v>
      </c>
      <c r="FD85" s="17" t="e">
        <f>-53.07 + (304.89 * (FC85)) + (90.79 *('Vacas e Bezerros'!#REF!-'Vacas e Bezerros'!#REF!)) - (3.13 * ('Vacas e Bezerros'!#REF!-'Vacas e Bezerros'!#REF!)^2)</f>
        <v>#REF!</v>
      </c>
      <c r="FF85" s="16" t="e">
        <f>((FG84+('Vacas e Bezerros'!#REF!-(FG84*0.64))/0.8)/1000)-'Vacas e Bezerros'!#REF!</f>
        <v>#REF!</v>
      </c>
      <c r="FG85" s="17" t="e">
        <f>-53.07 + (304.89 * (FF85)) + (90.79 *('Vacas e Bezerros'!#REF!-'Vacas e Bezerros'!#REF!)) - (3.13 * ('Vacas e Bezerros'!#REF!-'Vacas e Bezerros'!#REF!)^2)</f>
        <v>#REF!</v>
      </c>
      <c r="FI85" s="16" t="e">
        <f>((FJ84+('Vacas e Bezerros'!#REF!-(FJ84*0.64))/0.8)/1000)-'Vacas e Bezerros'!#REF!</f>
        <v>#REF!</v>
      </c>
      <c r="FJ85" s="17" t="e">
        <f>-53.07 + (304.89 * (FI85)) + (90.79 *('Vacas e Bezerros'!#REF!-'Vacas e Bezerros'!#REF!)) - (3.13 * ('Vacas e Bezerros'!#REF!-'Vacas e Bezerros'!#REF!)^2)</f>
        <v>#REF!</v>
      </c>
      <c r="FL85" s="16" t="e">
        <f>((FM84+('Vacas e Bezerros'!#REF!-(FM84*0.64))/0.8)/1000)-'Vacas e Bezerros'!#REF!</f>
        <v>#REF!</v>
      </c>
      <c r="FM85" s="17" t="e">
        <f>-53.07 + (304.89 * (FL85)) + (90.79 *('Vacas e Bezerros'!#REF!-'Vacas e Bezerros'!#REF!)) - (3.13 * ('Vacas e Bezerros'!#REF!-'Vacas e Bezerros'!#REF!)^2)</f>
        <v>#REF!</v>
      </c>
      <c r="FO85" s="16" t="e">
        <f>((FP84+('Vacas e Bezerros'!#REF!-(FP84*0.64))/0.8)/1000)-'Vacas e Bezerros'!#REF!</f>
        <v>#REF!</v>
      </c>
      <c r="FP85" s="17" t="e">
        <f>-53.07 + (304.89 * (FO85)) + (90.79 *('Vacas e Bezerros'!#REF!-'Vacas e Bezerros'!#REF!)) - (3.13 * ('Vacas e Bezerros'!#REF!-'Vacas e Bezerros'!#REF!)^2)</f>
        <v>#REF!</v>
      </c>
      <c r="FR85" s="16" t="e">
        <f>((FS84+('Vacas e Bezerros'!#REF!-(FS84*0.64))/0.8)/1000)-'Vacas e Bezerros'!#REF!</f>
        <v>#REF!</v>
      </c>
      <c r="FS85" s="17" t="e">
        <f>-53.07 + (304.89 * (FR85)) + (90.79 *('Vacas e Bezerros'!#REF!-'Vacas e Bezerros'!#REF!)) - (3.13 * ('Vacas e Bezerros'!#REF!-'Vacas e Bezerros'!#REF!)^2)</f>
        <v>#REF!</v>
      </c>
      <c r="FU85" s="16" t="e">
        <f>((FV84+('Vacas e Bezerros'!#REF!-(FV84*0.64))/0.8)/1000)-'Vacas e Bezerros'!#REF!</f>
        <v>#REF!</v>
      </c>
      <c r="FV85" s="17" t="e">
        <f>-53.07 + (304.89 * (FU85)) + (90.79 *('Vacas e Bezerros'!#REF!-'Vacas e Bezerros'!#REF!)) - (3.13 * ('Vacas e Bezerros'!#REF!-'Vacas e Bezerros'!#REF!)^2)</f>
        <v>#REF!</v>
      </c>
      <c r="FX85" s="16" t="e">
        <f>((FY84+('Vacas e Bezerros'!#REF!-(FY84*0.64))/0.8)/1000)-'Vacas e Bezerros'!#REF!</f>
        <v>#REF!</v>
      </c>
      <c r="FY85" s="17" t="e">
        <f>-53.07 + (304.89 * (FX85)) + (90.79 *('Vacas e Bezerros'!#REF!-'Vacas e Bezerros'!#REF!)) - (3.13 * ('Vacas e Bezerros'!#REF!-'Vacas e Bezerros'!#REF!)^2)</f>
        <v>#REF!</v>
      </c>
      <c r="GA85" s="16" t="e">
        <f>((GB84+('Vacas e Bezerros'!#REF!-(GB84*0.64))/0.8)/1000)-'Vacas e Bezerros'!#REF!</f>
        <v>#REF!</v>
      </c>
      <c r="GB85" s="17" t="e">
        <f>-53.07 + (304.89 * (GA85)) + (90.79 *('Vacas e Bezerros'!#REF!-'Vacas e Bezerros'!#REF!)) - (3.13 * ('Vacas e Bezerros'!#REF!-'Vacas e Bezerros'!#REF!)^2)</f>
        <v>#REF!</v>
      </c>
      <c r="GD85" s="16" t="e">
        <f>((GE84+('Vacas e Bezerros'!#REF!-(GE84*0.64))/0.8)/1000)-'Vacas e Bezerros'!#REF!</f>
        <v>#REF!</v>
      </c>
      <c r="GE85" s="17" t="e">
        <f>-53.07 + (304.89 * (GD85)) + (90.79 *('Vacas e Bezerros'!#REF!-'Vacas e Bezerros'!#REF!)) - (3.13 * ('Vacas e Bezerros'!#REF!-'Vacas e Bezerros'!#REF!)^2)</f>
        <v>#REF!</v>
      </c>
      <c r="GG85" s="16" t="e">
        <f>((GH84+('Vacas e Bezerros'!#REF!-(GH84*0.64))/0.8)/1000)-'Vacas e Bezerros'!#REF!</f>
        <v>#REF!</v>
      </c>
      <c r="GH85" s="17" t="e">
        <f>-53.07 + (304.89 * (GG85)) + (90.79 *('Vacas e Bezerros'!#REF!-'Vacas e Bezerros'!#REF!)) - (3.13 * ('Vacas e Bezerros'!#REF!-'Vacas e Bezerros'!#REF!)^2)</f>
        <v>#REF!</v>
      </c>
      <c r="GJ85" s="16" t="e">
        <f>((GK84+('Vacas e Bezerros'!#REF!-(GK84*0.64))/0.8)/1000)-'Vacas e Bezerros'!#REF!</f>
        <v>#REF!</v>
      </c>
      <c r="GK85" s="17" t="e">
        <f>-53.07 + (304.89 * (GJ85)) + (90.79 *('Vacas e Bezerros'!#REF!-'Vacas e Bezerros'!#REF!)) - (3.13 * ('Vacas e Bezerros'!#REF!-'Vacas e Bezerros'!#REF!)^2)</f>
        <v>#REF!</v>
      </c>
      <c r="GM85" s="16" t="e">
        <f>((GN84+('Vacas e Bezerros'!#REF!-(GN84*0.64))/0.8)/1000)-'Vacas e Bezerros'!#REF!</f>
        <v>#REF!</v>
      </c>
      <c r="GN85" s="17" t="e">
        <f>-53.07 + (304.89 * (GM85)) + (90.79 *('Vacas e Bezerros'!#REF!-'Vacas e Bezerros'!#REF!)) - (3.13 * ('Vacas e Bezerros'!#REF!-'Vacas e Bezerros'!#REF!)^2)</f>
        <v>#REF!</v>
      </c>
    </row>
    <row r="86" spans="3:196" x14ac:dyDescent="0.25">
      <c r="C86" s="16">
        <f>(D85+('Vacas e Bezerros'!$AA$28-(D85*0.64))/0.8)/1000</f>
        <v>0.35719668016155687</v>
      </c>
      <c r="D86" s="17">
        <f>-53.07 + (304.89 * (C86-'Vacas e Bezerros'!$C$206)) + (90.79 *('Vacas e Bezerros'!$AA$22)) - (3.13 *('Vacas e Bezerros'!$AA$22)^2)</f>
        <v>165.01876457544017</v>
      </c>
      <c r="F86" s="16" t="e">
        <f>(G85+(Crescimento!#REF!-(G85*0.64))/0.8)/1000</f>
        <v>#REF!</v>
      </c>
      <c r="G86" s="17" t="e">
        <f>-53.07 + (304.89 * (F86)) + (90.79 *Crescimento!#REF!) - (3.13 * Crescimento!#REF!*Crescimento!#REF!)</f>
        <v>#REF!</v>
      </c>
      <c r="H86" s="1"/>
      <c r="I86" s="16" t="e">
        <f>(J85+(Crescimento!#REF!-(J85*0.64))/0.8)/1000</f>
        <v>#REF!</v>
      </c>
      <c r="J86" s="17" t="e">
        <f>-53.07 + (304.89 * (I86)) + (90.79 *Crescimento!#REF!) - (3.13 * Crescimento!#REF!*Crescimento!#REF!)</f>
        <v>#REF!</v>
      </c>
      <c r="L86" s="16" t="e">
        <f>(M85+(Crescimento!#REF!-(M85*0.64))/0.8)/1000</f>
        <v>#REF!</v>
      </c>
      <c r="M86" s="17" t="e">
        <f>-53.07 + (304.89 * (L86)) + (90.79 *Crescimento!#REF!) - (3.13 * Crescimento!#REF!*Crescimento!#REF!)</f>
        <v>#REF!</v>
      </c>
      <c r="O86" s="16" t="e">
        <f>(P85+(Crescimento!#REF!-(P85*0.64))/0.8)/1000</f>
        <v>#REF!</v>
      </c>
      <c r="P86" s="17" t="e">
        <f>-53.07 + (304.89 * (O86)) + (90.79 *Crescimento!#REF!) - (3.13 * Crescimento!#REF!*Crescimento!#REF!)</f>
        <v>#REF!</v>
      </c>
      <c r="R86" s="16" t="e">
        <f>(S85+(Crescimento!#REF!-(S85*0.64))/0.8)/1000</f>
        <v>#REF!</v>
      </c>
      <c r="S86" s="17" t="e">
        <f>-53.07 + (304.89 * (R86)) + (90.79 *Crescimento!#REF!) - (3.13 * Crescimento!#REF!*Crescimento!#REF!)</f>
        <v>#REF!</v>
      </c>
      <c r="U86" s="16" t="e">
        <f>(V85+(Crescimento!#REF!-(V85*0.64))/0.8)/1000</f>
        <v>#REF!</v>
      </c>
      <c r="V86" s="17" t="e">
        <f>-53.07 + (304.89 * (U86)) + (90.79 *Crescimento!#REF!) - (3.13 * Crescimento!#REF!*Crescimento!#REF!)</f>
        <v>#REF!</v>
      </c>
      <c r="X86" s="16" t="e">
        <f>(Y85+(Crescimento!#REF!-(Y85*0.64))/0.8)/1000</f>
        <v>#REF!</v>
      </c>
      <c r="Y86" s="17" t="e">
        <f>-53.07 + (304.89 * (X86)) + (90.79 *Crescimento!#REF!) - (3.13 * Crescimento!#REF!*Crescimento!#REF!)</f>
        <v>#REF!</v>
      </c>
      <c r="Z86" s="6"/>
      <c r="AA86" s="16" t="e">
        <f>(AB85+(Crescimento!#REF!-(AB85*0.64))/0.8)/1000</f>
        <v>#REF!</v>
      </c>
      <c r="AB86" s="17" t="e">
        <f>-53.07 + (304.89 * (AA86)) + (90.79 *Crescimento!#REF!) - (3.13 * Crescimento!#REF!*Crescimento!#REF!)</f>
        <v>#REF!</v>
      </c>
      <c r="AC86" s="6"/>
      <c r="AD86" s="16" t="e">
        <f>(AE85+(Crescimento!#REF!-(AE85*0.64))/0.8)/1000</f>
        <v>#REF!</v>
      </c>
      <c r="AE86" s="17" t="e">
        <f>-53.07 + (304.89 * (AD86)) + (90.79 *Crescimento!#REF!) - (3.13 * Crescimento!#REF!*Crescimento!#REF!)</f>
        <v>#REF!</v>
      </c>
      <c r="AF86" s="17"/>
      <c r="AG86" s="16" t="e">
        <f>(AH85+(Crescimento!#REF!-(AH85*0.64))/0.8)/1000</f>
        <v>#REF!</v>
      </c>
      <c r="AH86" s="17" t="e">
        <f>-53.07 + (304.89 * (AG86)) + (90.79 *Crescimento!#REF!) - (3.13 * Crescimento!#REF!*Crescimento!#REF!)</f>
        <v>#REF!</v>
      </c>
      <c r="AJ86" s="16" t="e">
        <f>(AK85+(Crescimento!#REF!-(AK85*0.64))/0.8)/1000</f>
        <v>#REF!</v>
      </c>
      <c r="AK86" s="17" t="e">
        <f>-53.07 + (304.89 * (AJ86)) + (90.79 *Crescimento!#REF!) - (3.13 * Crescimento!#REF!*Crescimento!#REF!)</f>
        <v>#REF!</v>
      </c>
      <c r="AM86" s="16" t="e">
        <f>(AN85+(Crescimento!#REF!-(AN85*0.64))/0.8)/1000</f>
        <v>#REF!</v>
      </c>
      <c r="AN86" s="17" t="e">
        <f>-53.07 + (304.89 * (AM86)) + (90.79 *Crescimento!#REF!) - (3.13 * Crescimento!#REF!*Crescimento!#REF!)</f>
        <v>#REF!</v>
      </c>
      <c r="AP86" s="16" t="e">
        <f>(AQ85+(Crescimento!#REF!-(AQ85*0.64))/0.8)/1000</f>
        <v>#REF!</v>
      </c>
      <c r="AQ86" s="17" t="e">
        <f>-53.07 + (304.89 * (AP86)) + (90.79 *Crescimento!#REF!) - (3.13 * Crescimento!#REF!*Crescimento!#REF!)</f>
        <v>#REF!</v>
      </c>
      <c r="AS86" s="16" t="e">
        <f>(AT85+(Crescimento!#REF!-(AT85*0.64))/0.8)/1000</f>
        <v>#REF!</v>
      </c>
      <c r="AT86" s="17" t="e">
        <f>-53.07 + (304.89 * (AS86)) + (90.79 *Crescimento!#REF!) - (3.13 * Crescimento!#REF!*Crescimento!#REF!)</f>
        <v>#REF!</v>
      </c>
      <c r="AV86" s="16" t="e">
        <f>(AW85+(Crescimento!#REF!-(AW85*0.64))/0.8)/1000</f>
        <v>#REF!</v>
      </c>
      <c r="AW86" s="17" t="e">
        <f>-53.07 + (304.89 * (AV86)) + (90.79 *Crescimento!#REF!) - (3.13 * Crescimento!#REF!*Crescimento!#REF!)</f>
        <v>#REF!</v>
      </c>
      <c r="AY86" s="21" t="e">
        <f>((AZ85+(Crescimento!#REF!-(AZ85*0.64))/0.8)/1000)-Crescimento!#REF!</f>
        <v>#REF!</v>
      </c>
      <c r="AZ86" s="22" t="e">
        <f>-53.07 + (304.89 * (AY86)) + (90.79 *(Crescimento!#REF!-Crescimento!#REF!)) - (3.13 * (Crescimento!#REF!-Crescimento!#REF!)^2)</f>
        <v>#REF!</v>
      </c>
      <c r="BA86" s="23"/>
      <c r="BB86" s="21" t="e">
        <f>((BC85+(Crescimento!#REF!-(BC85*0.64))/0.8)/1000)-Crescimento!#REF!</f>
        <v>#REF!</v>
      </c>
      <c r="BC86" s="22" t="e">
        <f>-53.07 + (304.89 * (BB86)) + (90.79 *(Crescimento!#REF!-Crescimento!#REF!)) - (3.13 * (Crescimento!#REF!-Crescimento!#REF!)^2)</f>
        <v>#REF!</v>
      </c>
      <c r="BD86" s="23"/>
      <c r="BE86" s="21" t="e">
        <f>((BF85+(Crescimento!#REF!-(BF85*0.64))/0.8)/1000)-Crescimento!#REF!</f>
        <v>#REF!</v>
      </c>
      <c r="BF86" s="22" t="e">
        <f>-53.07 + (304.89 * (BE86)) + (90.79 *(Crescimento!#REF!-Crescimento!#REF!)) - (3.13 * (Crescimento!#REF!-Crescimento!#REF!)^2)</f>
        <v>#REF!</v>
      </c>
      <c r="BG86" s="23"/>
      <c r="BH86" s="21" t="e">
        <f>((BI85+(Crescimento!#REF!-(BI85*0.64))/0.8)/1000)-Crescimento!#REF!</f>
        <v>#REF!</v>
      </c>
      <c r="BI86" s="22" t="e">
        <f>-53.07 + (304.89 * (BH86)) + (90.79 *(Crescimento!#REF!-Crescimento!#REF!)) - (3.13 * (Crescimento!#REF!-Crescimento!#REF!)^2)</f>
        <v>#REF!</v>
      </c>
      <c r="BJ86" s="23"/>
      <c r="BK86" s="21" t="e">
        <f>((BL85+(Crescimento!#REF!-(BL85*0.64))/0.8)/1000)-Crescimento!#REF!</f>
        <v>#REF!</v>
      </c>
      <c r="BL86" s="22" t="e">
        <f>-53.07 + (304.89 * (BK86)) + (90.79 *(Crescimento!#REF!-Crescimento!#REF!)) - (3.13 * (Crescimento!#REF!-Crescimento!#REF!)^2)</f>
        <v>#REF!</v>
      </c>
      <c r="BM86" s="23"/>
      <c r="BN86" s="21" t="e">
        <f>((BO85+(Crescimento!#REF!-(BO85*0.64))/0.8)/1000)-Crescimento!#REF!</f>
        <v>#REF!</v>
      </c>
      <c r="BO86" s="22" t="e">
        <f>-53.07 + (304.89 * (BN86)) + (90.79 *(Crescimento!#REF!-Crescimento!#REF!)) - (3.13 * (Crescimento!#REF!-Crescimento!#REF!)^2)</f>
        <v>#REF!</v>
      </c>
      <c r="BP86" s="23"/>
      <c r="BQ86" s="21" t="e">
        <f>((BR85+(Crescimento!#REF!-(BR85*0.64))/0.8)/1000)-Crescimento!#REF!</f>
        <v>#REF!</v>
      </c>
      <c r="BR86" s="22" t="e">
        <f>-53.07 + (304.89 * (BQ86)) + (90.79 *(Crescimento!#REF!-Crescimento!#REF!)) - (3.13 * (Crescimento!#REF!-Crescimento!#REF!)^2)</f>
        <v>#REF!</v>
      </c>
      <c r="BS86" s="23"/>
      <c r="BT86" s="21" t="e">
        <f>((BU85+(Crescimento!#REF!-(BU85*0.64))/0.8)/1000)-Crescimento!#REF!</f>
        <v>#REF!</v>
      </c>
      <c r="BU86" s="22" t="e">
        <f>-53.07 + (304.89 * (BT86)) + (90.79 *(Crescimento!#REF!-Crescimento!#REF!)) - (3.13 * (Crescimento!#REF!-Crescimento!#REF!)^2)</f>
        <v>#REF!</v>
      </c>
      <c r="BV86" s="23"/>
      <c r="BW86" s="21" t="e">
        <f>((BX85+(Crescimento!#REF!-(BX85*0.64))/0.8)/1000)-Crescimento!#REF!</f>
        <v>#REF!</v>
      </c>
      <c r="BX86" s="22" t="e">
        <f>-53.07 + (304.89 * (BW86)) + (90.79 *(Crescimento!#REF!-Crescimento!#REF!)) - (3.13 * (Crescimento!#REF!-Crescimento!#REF!)^2)</f>
        <v>#REF!</v>
      </c>
      <c r="BY86" s="23"/>
      <c r="BZ86" s="21" t="e">
        <f>((CA85+(Crescimento!#REF!-(CA85*0.64))/0.8)/1000)-Crescimento!#REF!</f>
        <v>#REF!</v>
      </c>
      <c r="CA86" s="22" t="e">
        <f>-53.07 + (304.89 * (BZ86)) + (90.79 *(Crescimento!#REF!-Crescimento!#REF!)) - (3.13 * (Crescimento!#REF!-Crescimento!#REF!)^2)</f>
        <v>#REF!</v>
      </c>
      <c r="CB86" s="23"/>
      <c r="CC86" s="21" t="e">
        <f>((CD85+(Crescimento!#REF!-(CD85*0.64))/0.8)/1000)-Crescimento!#REF!</f>
        <v>#REF!</v>
      </c>
      <c r="CD86" s="22" t="e">
        <f>-53.07 + (304.89 * (CC86)) + (90.79 *(Crescimento!#REF!-Crescimento!#REF!)) - (3.13 * (Crescimento!#REF!-Crescimento!#REF!)^2)</f>
        <v>#REF!</v>
      </c>
      <c r="CE86" s="23"/>
      <c r="CF86" s="21" t="e">
        <f>((CG85+(Crescimento!#REF!-(CG85*0.64))/0.8)/1000)-Crescimento!#REF!</f>
        <v>#REF!</v>
      </c>
      <c r="CG86" s="22" t="e">
        <f>-53.07 + (304.89 * (CF86)) + (90.79 *(Crescimento!#REF!-Crescimento!#REF!)) - (3.13 * (Crescimento!#REF!-Crescimento!#REF!)^2)</f>
        <v>#REF!</v>
      </c>
      <c r="CH86" s="23"/>
      <c r="CI86" s="21" t="e">
        <f>((CJ85+(Crescimento!#REF!-(CJ85*0.64))/0.8)/1000)-Crescimento!#REF!</f>
        <v>#REF!</v>
      </c>
      <c r="CJ86" s="22" t="e">
        <f>-53.07 + (304.89 * (CI86)) + (90.79 *(Crescimento!#REF!-Crescimento!#REF!)) - (3.13 * (Crescimento!#REF!-Crescimento!#REF!)^2)</f>
        <v>#REF!</v>
      </c>
      <c r="CK86" s="23"/>
      <c r="CL86" s="21" t="e">
        <f>((CM85+(Crescimento!#REF!-(CM85*0.64))/0.8)/1000)-Crescimento!#REF!</f>
        <v>#REF!</v>
      </c>
      <c r="CM86" s="22" t="e">
        <f>-53.07 + (304.89 * (CL86)) + (90.79 *(Crescimento!#REF!-Crescimento!#REF!)) - (3.13 * (Crescimento!#REF!-Crescimento!#REF!)^2)</f>
        <v>#REF!</v>
      </c>
      <c r="CN86" s="23"/>
      <c r="CO86" s="21" t="e">
        <f>((CP85+(Crescimento!#REF!-(CP85*0.64))/0.8)/1000)-Crescimento!#REF!</f>
        <v>#REF!</v>
      </c>
      <c r="CP86" s="22" t="e">
        <f>-53.07 + (304.89 * (CO86)) + (90.79 *(Crescimento!#REF!-Crescimento!#REF!)) - (3.13 * (Crescimento!#REF!-Crescimento!#REF!)^2)</f>
        <v>#REF!</v>
      </c>
      <c r="CQ86" s="23"/>
      <c r="CR86" s="21" t="e">
        <f>((CS85+(Crescimento!#REF!-(CS85*0.64))/0.8)/1000)-Crescimento!#REF!</f>
        <v>#REF!</v>
      </c>
      <c r="CS86" s="22" t="e">
        <f>-53.07 + (304.89 * (CR86)) + (90.79 *(Crescimento!#REF!-Crescimento!#REF!)) - (3.13 * (Crescimento!#REF!-Crescimento!#REF!)^2)</f>
        <v>#REF!</v>
      </c>
      <c r="CX86" s="16" t="e">
        <f>((CY85+(Crescimento!#REF!-(CY85*0.64))/0.8)/1000)-Crescimento!#REF!</f>
        <v>#REF!</v>
      </c>
      <c r="CY86" s="17" t="e">
        <f>-53.07 + (304.89 * (CX86)) + (90.79 *(Crescimento!#REF!-Crescimento!#REF!)) - (3.13 * (Crescimento!#REF!-Crescimento!#REF!)^2)</f>
        <v>#REF!</v>
      </c>
      <c r="DA86" s="16" t="e">
        <f>((DB85+(Crescimento!#REF!-(DB85*0.64))/0.8)/1000)-Crescimento!#REF!</f>
        <v>#REF!</v>
      </c>
      <c r="DB86" s="17" t="e">
        <f>-53.07 + (304.89 * (DA86)) + (90.79 *(Crescimento!#REF!-Crescimento!#REF!)) - (3.13 * (Crescimento!#REF!-Crescimento!#REF!)^2)</f>
        <v>#REF!</v>
      </c>
      <c r="DD86" s="16" t="e">
        <f>(DE85+(Crescimento!#REF!-(DE85*0.64))/0.8)/1000</f>
        <v>#REF!</v>
      </c>
      <c r="DE86" s="17" t="e">
        <f>-53.07 + (304.89 * (DD86)) + (90.79 *Crescimento!#REF!) - (3.13 * Crescimento!#REF!*Crescimento!#REF!)</f>
        <v>#REF!</v>
      </c>
      <c r="DG86" s="16" t="e">
        <f>((DH85+(Crescimento!#REF!-(DH85*0.64))/0.8)/1000)-Crescimento!#REF!</f>
        <v>#REF!</v>
      </c>
      <c r="DH86" s="17" t="e">
        <f>-53.07 + (304.89 * (DG86)) + (90.79 *(Crescimento!#REF!-Crescimento!#REF!)) - (3.13 * (Crescimento!#REF!-Crescimento!#REF!)^2)</f>
        <v>#REF!</v>
      </c>
      <c r="DJ86" s="16" t="e">
        <f>((DK85+(Crescimento!#REF!-(DK85*0.64))/0.8)/1000)-Crescimento!#REF!</f>
        <v>#REF!</v>
      </c>
      <c r="DK86" s="17" t="e">
        <f>-53.07 + (304.89 * (DJ86)) + (90.79 *(Crescimento!#REF!-Crescimento!#REF!)) - (3.13 * (Crescimento!#REF!-Crescimento!#REF!)^2)</f>
        <v>#REF!</v>
      </c>
      <c r="DM86" s="16" t="e">
        <f>((DN85+(Crescimento!#REF!-(DN85*0.64))/0.8)/1000)-Crescimento!#REF!</f>
        <v>#REF!</v>
      </c>
      <c r="DN86" s="17" t="e">
        <f>-53.07 + (304.89 * (DM86)) + (90.79 *(Crescimento!#REF!-Crescimento!#REF!)) - (3.13 * (Crescimento!#REF!-Crescimento!#REF!)^2)</f>
        <v>#REF!</v>
      </c>
      <c r="DP86" s="16" t="e">
        <f>(DQ85+(Crescimento!#REF!-(DQ85*0.64))/0.8)/1000</f>
        <v>#REF!</v>
      </c>
      <c r="DQ86" s="17" t="e">
        <f>-53.07 + (304.89 * (DP86)) + (90.79 *(Crescimento!#REF!-Crescimento!#REF!)) - (3.13 * (Crescimento!#REF!-Crescimento!#REF!)^2)</f>
        <v>#REF!</v>
      </c>
      <c r="DS86" s="16" t="e">
        <f>((DT85+(Crescimento!#REF!-(DT85*0.64))/0.8)/1000)-Crescimento!#REF!</f>
        <v>#REF!</v>
      </c>
      <c r="DT86" s="17" t="e">
        <f>-53.07 + (304.89 * (DS86)) + (90.79 *(Crescimento!#REF!-Crescimento!#REF!)) - (3.13 * (Crescimento!#REF!-Crescimento!#REF!)^2)</f>
        <v>#REF!</v>
      </c>
      <c r="DV86" s="16" t="e">
        <f>((DW85+(Crescimento!#REF!-(DW85*0.64))/0.8)/1000)-Crescimento!#REF!</f>
        <v>#REF!</v>
      </c>
      <c r="DW86" s="17" t="e">
        <f>-53.07 + (304.89 * (DV86)) + (90.79 *(Crescimento!#REF!-Crescimento!#REF!)) - (3.13 * (Crescimento!#REF!-Crescimento!#REF!)^2)</f>
        <v>#REF!</v>
      </c>
      <c r="DY86" s="16" t="e">
        <f>((DZ85+(Crescimento!#REF!-(DZ85*0.64))/0.8)/1000)-Crescimento!#REF!</f>
        <v>#REF!</v>
      </c>
      <c r="DZ86" s="17" t="e">
        <f>-53.07 + (304.89 * (DY86)) + (90.79 *(Crescimento!#REF!-Crescimento!#REF!)) - (3.13 * (Crescimento!#REF!-Crescimento!#REF!)^2)</f>
        <v>#REF!</v>
      </c>
      <c r="EB86" s="16" t="e">
        <f>((EC85+(Crescimento!#REF!-(EC85*0.64))/0.8)/1000)-Crescimento!#REF!</f>
        <v>#REF!</v>
      </c>
      <c r="EC86" s="17" t="e">
        <f>-53.07 + (304.89 * (EB86)) + (90.79 *(Crescimento!#REF!-Crescimento!#REF!)) - (3.13 * (Crescimento!#REF!-Crescimento!#REF!)^2)</f>
        <v>#REF!</v>
      </c>
      <c r="EE86" s="16" t="e">
        <f>((EF85+(Crescimento!#REF!-(EF85*0.64))/0.8)/1000)-Crescimento!#REF!</f>
        <v>#REF!</v>
      </c>
      <c r="EF86" s="17" t="e">
        <f>-53.07 + (304.89 * (EE86)) + (90.79 *(Crescimento!#REF!-Crescimento!#REF!)) - (3.13 * (Crescimento!#REF!-Crescimento!#REF!)^2)</f>
        <v>#REF!</v>
      </c>
      <c r="EH86" s="16" t="e">
        <f>((EI85+(Crescimento!#REF!-(EI85*0.64))/0.8)/1000)-Crescimento!#REF!</f>
        <v>#REF!</v>
      </c>
      <c r="EI86" s="17" t="e">
        <f>-53.07 + (304.89 * (EH86)) + (90.79 *(Crescimento!#REF!-Crescimento!#REF!)) - (3.13 * (Crescimento!#REF!-Crescimento!#REF!)^2)</f>
        <v>#REF!</v>
      </c>
      <c r="EK86" s="16" t="e">
        <f>((EL85+(Crescimento!#REF!-(EL85*0.64))/0.8)/1000)-Crescimento!#REF!</f>
        <v>#REF!</v>
      </c>
      <c r="EL86" s="17" t="e">
        <f>-53.07 + (304.89 * (EK86)) + (90.79 *(Crescimento!#REF!-Crescimento!#REF!)) - (3.13 * (Crescimento!#REF!-Crescimento!#REF!)^2)</f>
        <v>#REF!</v>
      </c>
      <c r="EN86" s="16" t="e">
        <f>((EO85+(Crescimento!#REF!-(EO85*0.64))/0.8)/1000)-Crescimento!#REF!</f>
        <v>#REF!</v>
      </c>
      <c r="EO86" s="17" t="e">
        <f>-53.07 + (304.89 * (EN86)) + (90.79 *(Crescimento!#REF!-Crescimento!#REF!)) - (3.13 * (Crescimento!#REF!-Crescimento!#REF!)^2)</f>
        <v>#REF!</v>
      </c>
      <c r="EQ86" s="16" t="e">
        <f>((ER85+(Crescimento!#REF!-(ER85*0.64))/0.8)/1000)-Crescimento!#REF!</f>
        <v>#REF!</v>
      </c>
      <c r="ER86" s="17" t="e">
        <f>-53.07 + (304.89 * (EQ86)) + (90.79 *(Crescimento!#REF!-Crescimento!#REF!)) - (3.13 * (Crescimento!#REF!-Crescimento!#REF!)^2)</f>
        <v>#REF!</v>
      </c>
      <c r="ET86" s="16" t="e">
        <f>((EU85+(Crescimento!#REF!-(EU85*0.64))/0.8)/1000)-Crescimento!#REF!</f>
        <v>#REF!</v>
      </c>
      <c r="EU86" s="17" t="e">
        <f>-53.07 + (304.89 * (ET86)) + (90.79 *(Crescimento!#REF!-Crescimento!#REF!)) - (3.13 * (Crescimento!#REF!-Crescimento!#REF!)^2)</f>
        <v>#REF!</v>
      </c>
      <c r="EW86" s="16" t="e">
        <f>((EX85+('Vacas e Bezerros'!#REF!-(EX85*0.64))/0.8)/1000)-'Vacas e Bezerros'!#REF!</f>
        <v>#REF!</v>
      </c>
      <c r="EX86" s="17" t="e">
        <f>-53.07 + (304.89 * (EW86)) + (90.79 *('Vacas e Bezerros'!#REF!-'Vacas e Bezerros'!#REF!)) - (3.13 * ('Vacas e Bezerros'!#REF!-'Vacas e Bezerros'!#REF!)^2)</f>
        <v>#REF!</v>
      </c>
      <c r="EZ86" s="16" t="e">
        <f>((FA85+('Vacas e Bezerros'!#REF!-(FA85*0.64))/0.8)/1000)-'Vacas e Bezerros'!#REF!</f>
        <v>#REF!</v>
      </c>
      <c r="FA86" s="17" t="e">
        <f>-53.07 + (304.89 * (EZ86)) + (90.79 *('Vacas e Bezerros'!#REF!-'Vacas e Bezerros'!#REF!)) - (3.13 * ('Vacas e Bezerros'!#REF!-'Vacas e Bezerros'!#REF!)^2)</f>
        <v>#REF!</v>
      </c>
      <c r="FC86" s="16" t="e">
        <f>((FD85+('Vacas e Bezerros'!#REF!-(FD85*0.64))/0.8)/1000)-'Vacas e Bezerros'!#REF!</f>
        <v>#REF!</v>
      </c>
      <c r="FD86" s="17" t="e">
        <f>-53.07 + (304.89 * (FC86)) + (90.79 *('Vacas e Bezerros'!#REF!-'Vacas e Bezerros'!#REF!)) - (3.13 * ('Vacas e Bezerros'!#REF!-'Vacas e Bezerros'!#REF!)^2)</f>
        <v>#REF!</v>
      </c>
      <c r="FF86" s="16" t="e">
        <f>((FG85+('Vacas e Bezerros'!#REF!-(FG85*0.64))/0.8)/1000)-'Vacas e Bezerros'!#REF!</f>
        <v>#REF!</v>
      </c>
      <c r="FG86" s="17" t="e">
        <f>-53.07 + (304.89 * (FF86)) + (90.79 *('Vacas e Bezerros'!#REF!-'Vacas e Bezerros'!#REF!)) - (3.13 * ('Vacas e Bezerros'!#REF!-'Vacas e Bezerros'!#REF!)^2)</f>
        <v>#REF!</v>
      </c>
      <c r="FI86" s="16" t="e">
        <f>((FJ85+('Vacas e Bezerros'!#REF!-(FJ85*0.64))/0.8)/1000)-'Vacas e Bezerros'!#REF!</f>
        <v>#REF!</v>
      </c>
      <c r="FJ86" s="17" t="e">
        <f>-53.07 + (304.89 * (FI86)) + (90.79 *('Vacas e Bezerros'!#REF!-'Vacas e Bezerros'!#REF!)) - (3.13 * ('Vacas e Bezerros'!#REF!-'Vacas e Bezerros'!#REF!)^2)</f>
        <v>#REF!</v>
      </c>
      <c r="FL86" s="16" t="e">
        <f>((FM85+('Vacas e Bezerros'!#REF!-(FM85*0.64))/0.8)/1000)-'Vacas e Bezerros'!#REF!</f>
        <v>#REF!</v>
      </c>
      <c r="FM86" s="17" t="e">
        <f>-53.07 + (304.89 * (FL86)) + (90.79 *('Vacas e Bezerros'!#REF!-'Vacas e Bezerros'!#REF!)) - (3.13 * ('Vacas e Bezerros'!#REF!-'Vacas e Bezerros'!#REF!)^2)</f>
        <v>#REF!</v>
      </c>
      <c r="FO86" s="16" t="e">
        <f>((FP85+('Vacas e Bezerros'!#REF!-(FP85*0.64))/0.8)/1000)-'Vacas e Bezerros'!#REF!</f>
        <v>#REF!</v>
      </c>
      <c r="FP86" s="17" t="e">
        <f>-53.07 + (304.89 * (FO86)) + (90.79 *('Vacas e Bezerros'!#REF!-'Vacas e Bezerros'!#REF!)) - (3.13 * ('Vacas e Bezerros'!#REF!-'Vacas e Bezerros'!#REF!)^2)</f>
        <v>#REF!</v>
      </c>
      <c r="FR86" s="16" t="e">
        <f>((FS85+('Vacas e Bezerros'!#REF!-(FS85*0.64))/0.8)/1000)-'Vacas e Bezerros'!#REF!</f>
        <v>#REF!</v>
      </c>
      <c r="FS86" s="17" t="e">
        <f>-53.07 + (304.89 * (FR86)) + (90.79 *('Vacas e Bezerros'!#REF!-'Vacas e Bezerros'!#REF!)) - (3.13 * ('Vacas e Bezerros'!#REF!-'Vacas e Bezerros'!#REF!)^2)</f>
        <v>#REF!</v>
      </c>
      <c r="FU86" s="16" t="e">
        <f>((FV85+('Vacas e Bezerros'!#REF!-(FV85*0.64))/0.8)/1000)-'Vacas e Bezerros'!#REF!</f>
        <v>#REF!</v>
      </c>
      <c r="FV86" s="17" t="e">
        <f>-53.07 + (304.89 * (FU86)) + (90.79 *('Vacas e Bezerros'!#REF!-'Vacas e Bezerros'!#REF!)) - (3.13 * ('Vacas e Bezerros'!#REF!-'Vacas e Bezerros'!#REF!)^2)</f>
        <v>#REF!</v>
      </c>
      <c r="FX86" s="16" t="e">
        <f>((FY85+('Vacas e Bezerros'!#REF!-(FY85*0.64))/0.8)/1000)-'Vacas e Bezerros'!#REF!</f>
        <v>#REF!</v>
      </c>
      <c r="FY86" s="17" t="e">
        <f>-53.07 + (304.89 * (FX86)) + (90.79 *('Vacas e Bezerros'!#REF!-'Vacas e Bezerros'!#REF!)) - (3.13 * ('Vacas e Bezerros'!#REF!-'Vacas e Bezerros'!#REF!)^2)</f>
        <v>#REF!</v>
      </c>
      <c r="GA86" s="16" t="e">
        <f>((GB85+('Vacas e Bezerros'!#REF!-(GB85*0.64))/0.8)/1000)-'Vacas e Bezerros'!#REF!</f>
        <v>#REF!</v>
      </c>
      <c r="GB86" s="17" t="e">
        <f>-53.07 + (304.89 * (GA86)) + (90.79 *('Vacas e Bezerros'!#REF!-'Vacas e Bezerros'!#REF!)) - (3.13 * ('Vacas e Bezerros'!#REF!-'Vacas e Bezerros'!#REF!)^2)</f>
        <v>#REF!</v>
      </c>
      <c r="GD86" s="16" t="e">
        <f>((GE85+('Vacas e Bezerros'!#REF!-(GE85*0.64))/0.8)/1000)-'Vacas e Bezerros'!#REF!</f>
        <v>#REF!</v>
      </c>
      <c r="GE86" s="17" t="e">
        <f>-53.07 + (304.89 * (GD86)) + (90.79 *('Vacas e Bezerros'!#REF!-'Vacas e Bezerros'!#REF!)) - (3.13 * ('Vacas e Bezerros'!#REF!-'Vacas e Bezerros'!#REF!)^2)</f>
        <v>#REF!</v>
      </c>
      <c r="GG86" s="16" t="e">
        <f>((GH85+('Vacas e Bezerros'!#REF!-(GH85*0.64))/0.8)/1000)-'Vacas e Bezerros'!#REF!</f>
        <v>#REF!</v>
      </c>
      <c r="GH86" s="17" t="e">
        <f>-53.07 + (304.89 * (GG86)) + (90.79 *('Vacas e Bezerros'!#REF!-'Vacas e Bezerros'!#REF!)) - (3.13 * ('Vacas e Bezerros'!#REF!-'Vacas e Bezerros'!#REF!)^2)</f>
        <v>#REF!</v>
      </c>
      <c r="GJ86" s="16" t="e">
        <f>((GK85+('Vacas e Bezerros'!#REF!-(GK85*0.64))/0.8)/1000)-'Vacas e Bezerros'!#REF!</f>
        <v>#REF!</v>
      </c>
      <c r="GK86" s="17" t="e">
        <f>-53.07 + (304.89 * (GJ86)) + (90.79 *('Vacas e Bezerros'!#REF!-'Vacas e Bezerros'!#REF!)) - (3.13 * ('Vacas e Bezerros'!#REF!-'Vacas e Bezerros'!#REF!)^2)</f>
        <v>#REF!</v>
      </c>
      <c r="GM86" s="16" t="e">
        <f>((GN85+('Vacas e Bezerros'!#REF!-(GN85*0.64))/0.8)/1000)-'Vacas e Bezerros'!#REF!</f>
        <v>#REF!</v>
      </c>
      <c r="GN86" s="17" t="e">
        <f>-53.07 + (304.89 * (GM86)) + (90.79 *('Vacas e Bezerros'!#REF!-'Vacas e Bezerros'!#REF!)) - (3.13 * ('Vacas e Bezerros'!#REF!-'Vacas e Bezerros'!#REF!)^2)</f>
        <v>#REF!</v>
      </c>
    </row>
    <row r="87" spans="3:196" x14ac:dyDescent="0.25">
      <c r="C87" s="16">
        <f>(D86+('Vacas e Bezerros'!$AA$28-(D86*0.64))/0.8)/1000</f>
        <v>0.35719668016155687</v>
      </c>
      <c r="D87" s="17">
        <f>-53.07 + (304.89 * (C87-'Vacas e Bezerros'!$C$206)) + (90.79 *('Vacas e Bezerros'!$AA$22)) - (3.13 *('Vacas e Bezerros'!$AA$22)^2)</f>
        <v>165.01876457544017</v>
      </c>
      <c r="F87" s="16" t="e">
        <f>(G86+(Crescimento!#REF!-(G86*0.64))/0.8)/1000</f>
        <v>#REF!</v>
      </c>
      <c r="G87" s="17" t="e">
        <f>-53.07 + (304.89 * (F87)) + (90.79 *Crescimento!#REF!) - (3.13 * Crescimento!#REF!*Crescimento!#REF!)</f>
        <v>#REF!</v>
      </c>
      <c r="H87" s="1"/>
      <c r="I87" s="16" t="e">
        <f>(J86+(Crescimento!#REF!-(J86*0.64))/0.8)/1000</f>
        <v>#REF!</v>
      </c>
      <c r="J87" s="17" t="e">
        <f>-53.07 + (304.89 * (I87)) + (90.79 *Crescimento!#REF!) - (3.13 * Crescimento!#REF!*Crescimento!#REF!)</f>
        <v>#REF!</v>
      </c>
      <c r="L87" s="16" t="e">
        <f>(M86+(Crescimento!#REF!-(M86*0.64))/0.8)/1000</f>
        <v>#REF!</v>
      </c>
      <c r="M87" s="17" t="e">
        <f>-53.07 + (304.89 * (L87)) + (90.79 *Crescimento!#REF!) - (3.13 * Crescimento!#REF!*Crescimento!#REF!)</f>
        <v>#REF!</v>
      </c>
      <c r="O87" s="16" t="e">
        <f>(P86+(Crescimento!#REF!-(P86*0.64))/0.8)/1000</f>
        <v>#REF!</v>
      </c>
      <c r="P87" s="17" t="e">
        <f>-53.07 + (304.89 * (O87)) + (90.79 *Crescimento!#REF!) - (3.13 * Crescimento!#REF!*Crescimento!#REF!)</f>
        <v>#REF!</v>
      </c>
      <c r="R87" s="16" t="e">
        <f>(S86+(Crescimento!#REF!-(S86*0.64))/0.8)/1000</f>
        <v>#REF!</v>
      </c>
      <c r="S87" s="17" t="e">
        <f>-53.07 + (304.89 * (R87)) + (90.79 *Crescimento!#REF!) - (3.13 * Crescimento!#REF!*Crescimento!#REF!)</f>
        <v>#REF!</v>
      </c>
      <c r="U87" s="16" t="e">
        <f>(V86+(Crescimento!#REF!-(V86*0.64))/0.8)/1000</f>
        <v>#REF!</v>
      </c>
      <c r="V87" s="17" t="e">
        <f>-53.07 + (304.89 * (U87)) + (90.79 *Crescimento!#REF!) - (3.13 * Crescimento!#REF!*Crescimento!#REF!)</f>
        <v>#REF!</v>
      </c>
      <c r="X87" s="16" t="e">
        <f>(Y86+(Crescimento!#REF!-(Y86*0.64))/0.8)/1000</f>
        <v>#REF!</v>
      </c>
      <c r="Y87" s="17" t="e">
        <f>-53.07 + (304.89 * (X87)) + (90.79 *Crescimento!#REF!) - (3.13 * Crescimento!#REF!*Crescimento!#REF!)</f>
        <v>#REF!</v>
      </c>
      <c r="Z87" s="6"/>
      <c r="AA87" s="16" t="e">
        <f>(AB86+(Crescimento!#REF!-(AB86*0.64))/0.8)/1000</f>
        <v>#REF!</v>
      </c>
      <c r="AB87" s="17" t="e">
        <f>-53.07 + (304.89 * (AA87)) + (90.79 *Crescimento!#REF!) - (3.13 * Crescimento!#REF!*Crescimento!#REF!)</f>
        <v>#REF!</v>
      </c>
      <c r="AC87" s="6"/>
      <c r="AD87" s="16" t="e">
        <f>(AE86+(Crescimento!#REF!-(AE86*0.64))/0.8)/1000</f>
        <v>#REF!</v>
      </c>
      <c r="AE87" s="17" t="e">
        <f>-53.07 + (304.89 * (AD87)) + (90.79 *Crescimento!#REF!) - (3.13 * Crescimento!#REF!*Crescimento!#REF!)</f>
        <v>#REF!</v>
      </c>
      <c r="AF87" s="17"/>
      <c r="AG87" s="16" t="e">
        <f>(AH86+(Crescimento!#REF!-(AH86*0.64))/0.8)/1000</f>
        <v>#REF!</v>
      </c>
      <c r="AH87" s="17" t="e">
        <f>-53.07 + (304.89 * (AG87)) + (90.79 *Crescimento!#REF!) - (3.13 * Crescimento!#REF!*Crescimento!#REF!)</f>
        <v>#REF!</v>
      </c>
      <c r="AJ87" s="16" t="e">
        <f>(AK86+(Crescimento!#REF!-(AK86*0.64))/0.8)/1000</f>
        <v>#REF!</v>
      </c>
      <c r="AK87" s="17" t="e">
        <f>-53.07 + (304.89 * (AJ87)) + (90.79 *Crescimento!#REF!) - (3.13 * Crescimento!#REF!*Crescimento!#REF!)</f>
        <v>#REF!</v>
      </c>
      <c r="AM87" s="16" t="e">
        <f>(AN86+(Crescimento!#REF!-(AN86*0.64))/0.8)/1000</f>
        <v>#REF!</v>
      </c>
      <c r="AN87" s="17" t="e">
        <f>-53.07 + (304.89 * (AM87)) + (90.79 *Crescimento!#REF!) - (3.13 * Crescimento!#REF!*Crescimento!#REF!)</f>
        <v>#REF!</v>
      </c>
      <c r="AP87" s="16" t="e">
        <f>(AQ86+(Crescimento!#REF!-(AQ86*0.64))/0.8)/1000</f>
        <v>#REF!</v>
      </c>
      <c r="AQ87" s="17" t="e">
        <f>-53.07 + (304.89 * (AP87)) + (90.79 *Crescimento!#REF!) - (3.13 * Crescimento!#REF!*Crescimento!#REF!)</f>
        <v>#REF!</v>
      </c>
      <c r="AS87" s="16" t="e">
        <f>(AT86+(Crescimento!#REF!-(AT86*0.64))/0.8)/1000</f>
        <v>#REF!</v>
      </c>
      <c r="AT87" s="17" t="e">
        <f>-53.07 + (304.89 * (AS87)) + (90.79 *Crescimento!#REF!) - (3.13 * Crescimento!#REF!*Crescimento!#REF!)</f>
        <v>#REF!</v>
      </c>
      <c r="AV87" s="16" t="e">
        <f>(AW86+(Crescimento!#REF!-(AW86*0.64))/0.8)/1000</f>
        <v>#REF!</v>
      </c>
      <c r="AW87" s="17" t="e">
        <f>-53.07 + (304.89 * (AV87)) + (90.79 *Crescimento!#REF!) - (3.13 * Crescimento!#REF!*Crescimento!#REF!)</f>
        <v>#REF!</v>
      </c>
      <c r="AY87" s="21" t="e">
        <f>((AZ86+(Crescimento!#REF!-(AZ86*0.64))/0.8)/1000)-Crescimento!#REF!</f>
        <v>#REF!</v>
      </c>
      <c r="AZ87" s="22" t="e">
        <f>-53.07 + (304.89 * (AY87)) + (90.79 *(Crescimento!#REF!-Crescimento!#REF!)) - (3.13 * (Crescimento!#REF!-Crescimento!#REF!)^2)</f>
        <v>#REF!</v>
      </c>
      <c r="BA87" s="23"/>
      <c r="BB87" s="21" t="e">
        <f>((BC86+(Crescimento!#REF!-(BC86*0.64))/0.8)/1000)-Crescimento!#REF!</f>
        <v>#REF!</v>
      </c>
      <c r="BC87" s="22" t="e">
        <f>-53.07 + (304.89 * (BB87)) + (90.79 *(Crescimento!#REF!-Crescimento!#REF!)) - (3.13 * (Crescimento!#REF!-Crescimento!#REF!)^2)</f>
        <v>#REF!</v>
      </c>
      <c r="BD87" s="23"/>
      <c r="BE87" s="21" t="e">
        <f>((BF86+(Crescimento!#REF!-(BF86*0.64))/0.8)/1000)-Crescimento!#REF!</f>
        <v>#REF!</v>
      </c>
      <c r="BF87" s="22" t="e">
        <f>-53.07 + (304.89 * (BE87)) + (90.79 *(Crescimento!#REF!-Crescimento!#REF!)) - (3.13 * (Crescimento!#REF!-Crescimento!#REF!)^2)</f>
        <v>#REF!</v>
      </c>
      <c r="BG87" s="23"/>
      <c r="BH87" s="21" t="e">
        <f>((BI86+(Crescimento!#REF!-(BI86*0.64))/0.8)/1000)-Crescimento!#REF!</f>
        <v>#REF!</v>
      </c>
      <c r="BI87" s="22" t="e">
        <f>-53.07 + (304.89 * (BH87)) + (90.79 *(Crescimento!#REF!-Crescimento!#REF!)) - (3.13 * (Crescimento!#REF!-Crescimento!#REF!)^2)</f>
        <v>#REF!</v>
      </c>
      <c r="BJ87" s="23"/>
      <c r="BK87" s="21" t="e">
        <f>((BL86+(Crescimento!#REF!-(BL86*0.64))/0.8)/1000)-Crescimento!#REF!</f>
        <v>#REF!</v>
      </c>
      <c r="BL87" s="22" t="e">
        <f>-53.07 + (304.89 * (BK87)) + (90.79 *(Crescimento!#REF!-Crescimento!#REF!)) - (3.13 * (Crescimento!#REF!-Crescimento!#REF!)^2)</f>
        <v>#REF!</v>
      </c>
      <c r="BM87" s="23"/>
      <c r="BN87" s="21" t="e">
        <f>((BO86+(Crescimento!#REF!-(BO86*0.64))/0.8)/1000)-Crescimento!#REF!</f>
        <v>#REF!</v>
      </c>
      <c r="BO87" s="22" t="e">
        <f>-53.07 + (304.89 * (BN87)) + (90.79 *(Crescimento!#REF!-Crescimento!#REF!)) - (3.13 * (Crescimento!#REF!-Crescimento!#REF!)^2)</f>
        <v>#REF!</v>
      </c>
      <c r="BP87" s="23"/>
      <c r="BQ87" s="21" t="e">
        <f>((BR86+(Crescimento!#REF!-(BR86*0.64))/0.8)/1000)-Crescimento!#REF!</f>
        <v>#REF!</v>
      </c>
      <c r="BR87" s="22" t="e">
        <f>-53.07 + (304.89 * (BQ87)) + (90.79 *(Crescimento!#REF!-Crescimento!#REF!)) - (3.13 * (Crescimento!#REF!-Crescimento!#REF!)^2)</f>
        <v>#REF!</v>
      </c>
      <c r="BS87" s="23"/>
      <c r="BT87" s="21" t="e">
        <f>((BU86+(Crescimento!#REF!-(BU86*0.64))/0.8)/1000)-Crescimento!#REF!</f>
        <v>#REF!</v>
      </c>
      <c r="BU87" s="22" t="e">
        <f>-53.07 + (304.89 * (BT87)) + (90.79 *(Crescimento!#REF!-Crescimento!#REF!)) - (3.13 * (Crescimento!#REF!-Crescimento!#REF!)^2)</f>
        <v>#REF!</v>
      </c>
      <c r="BV87" s="23"/>
      <c r="BW87" s="21" t="e">
        <f>((BX86+(Crescimento!#REF!-(BX86*0.64))/0.8)/1000)-Crescimento!#REF!</f>
        <v>#REF!</v>
      </c>
      <c r="BX87" s="22" t="e">
        <f>-53.07 + (304.89 * (BW87)) + (90.79 *(Crescimento!#REF!-Crescimento!#REF!)) - (3.13 * (Crescimento!#REF!-Crescimento!#REF!)^2)</f>
        <v>#REF!</v>
      </c>
      <c r="BY87" s="23"/>
      <c r="BZ87" s="21" t="e">
        <f>((CA86+(Crescimento!#REF!-(CA86*0.64))/0.8)/1000)-Crescimento!#REF!</f>
        <v>#REF!</v>
      </c>
      <c r="CA87" s="22" t="e">
        <f>-53.07 + (304.89 * (BZ87)) + (90.79 *(Crescimento!#REF!-Crescimento!#REF!)) - (3.13 * (Crescimento!#REF!-Crescimento!#REF!)^2)</f>
        <v>#REF!</v>
      </c>
      <c r="CB87" s="23"/>
      <c r="CC87" s="21" t="e">
        <f>((CD86+(Crescimento!#REF!-(CD86*0.64))/0.8)/1000)-Crescimento!#REF!</f>
        <v>#REF!</v>
      </c>
      <c r="CD87" s="22" t="e">
        <f>-53.07 + (304.89 * (CC87)) + (90.79 *(Crescimento!#REF!-Crescimento!#REF!)) - (3.13 * (Crescimento!#REF!-Crescimento!#REF!)^2)</f>
        <v>#REF!</v>
      </c>
      <c r="CE87" s="23"/>
      <c r="CF87" s="21" t="e">
        <f>((CG86+(Crescimento!#REF!-(CG86*0.64))/0.8)/1000)-Crescimento!#REF!</f>
        <v>#REF!</v>
      </c>
      <c r="CG87" s="22" t="e">
        <f>-53.07 + (304.89 * (CF87)) + (90.79 *(Crescimento!#REF!-Crescimento!#REF!)) - (3.13 * (Crescimento!#REF!-Crescimento!#REF!)^2)</f>
        <v>#REF!</v>
      </c>
      <c r="CH87" s="23"/>
      <c r="CI87" s="21" t="e">
        <f>((CJ86+(Crescimento!#REF!-(CJ86*0.64))/0.8)/1000)-Crescimento!#REF!</f>
        <v>#REF!</v>
      </c>
      <c r="CJ87" s="22" t="e">
        <f>-53.07 + (304.89 * (CI87)) + (90.79 *(Crescimento!#REF!-Crescimento!#REF!)) - (3.13 * (Crescimento!#REF!-Crescimento!#REF!)^2)</f>
        <v>#REF!</v>
      </c>
      <c r="CK87" s="23"/>
      <c r="CL87" s="21" t="e">
        <f>((CM86+(Crescimento!#REF!-(CM86*0.64))/0.8)/1000)-Crescimento!#REF!</f>
        <v>#REF!</v>
      </c>
      <c r="CM87" s="22" t="e">
        <f>-53.07 + (304.89 * (CL87)) + (90.79 *(Crescimento!#REF!-Crescimento!#REF!)) - (3.13 * (Crescimento!#REF!-Crescimento!#REF!)^2)</f>
        <v>#REF!</v>
      </c>
      <c r="CN87" s="23"/>
      <c r="CO87" s="21" t="e">
        <f>((CP86+(Crescimento!#REF!-(CP86*0.64))/0.8)/1000)-Crescimento!#REF!</f>
        <v>#REF!</v>
      </c>
      <c r="CP87" s="22" t="e">
        <f>-53.07 + (304.89 * (CO87)) + (90.79 *(Crescimento!#REF!-Crescimento!#REF!)) - (3.13 * (Crescimento!#REF!-Crescimento!#REF!)^2)</f>
        <v>#REF!</v>
      </c>
      <c r="CQ87" s="23"/>
      <c r="CR87" s="21" t="e">
        <f>((CS86+(Crescimento!#REF!-(CS86*0.64))/0.8)/1000)-Crescimento!#REF!</f>
        <v>#REF!</v>
      </c>
      <c r="CS87" s="22" t="e">
        <f>-53.07 + (304.89 * (CR87)) + (90.79 *(Crescimento!#REF!-Crescimento!#REF!)) - (3.13 * (Crescimento!#REF!-Crescimento!#REF!)^2)</f>
        <v>#REF!</v>
      </c>
      <c r="CX87" s="16" t="e">
        <f>((CY86+(Crescimento!#REF!-(CY86*0.64))/0.8)/1000)-Crescimento!#REF!</f>
        <v>#REF!</v>
      </c>
      <c r="CY87" s="17" t="e">
        <f>-53.07 + (304.89 * (CX87)) + (90.79 *(Crescimento!#REF!-Crescimento!#REF!)) - (3.13 * (Crescimento!#REF!-Crescimento!#REF!)^2)</f>
        <v>#REF!</v>
      </c>
      <c r="DA87" s="16" t="e">
        <f>((DB86+(Crescimento!#REF!-(DB86*0.64))/0.8)/1000)-Crescimento!#REF!</f>
        <v>#REF!</v>
      </c>
      <c r="DB87" s="17" t="e">
        <f>-53.07 + (304.89 * (DA87)) + (90.79 *(Crescimento!#REF!-Crescimento!#REF!)) - (3.13 * (Crescimento!#REF!-Crescimento!#REF!)^2)</f>
        <v>#REF!</v>
      </c>
      <c r="DD87" s="16" t="e">
        <f>(DE86+(Crescimento!#REF!-(DE86*0.64))/0.8)/1000</f>
        <v>#REF!</v>
      </c>
      <c r="DE87" s="17" t="e">
        <f>-53.07 + (304.89 * (DD87)) + (90.79 *Crescimento!#REF!) - (3.13 * Crescimento!#REF!*Crescimento!#REF!)</f>
        <v>#REF!</v>
      </c>
      <c r="DG87" s="16" t="e">
        <f>((DH86+(Crescimento!#REF!-(DH86*0.64))/0.8)/1000)-Crescimento!#REF!</f>
        <v>#REF!</v>
      </c>
      <c r="DH87" s="17" t="e">
        <f>-53.07 + (304.89 * (DG87)) + (90.79 *(Crescimento!#REF!-Crescimento!#REF!)) - (3.13 * (Crescimento!#REF!-Crescimento!#REF!)^2)</f>
        <v>#REF!</v>
      </c>
      <c r="DJ87" s="16" t="e">
        <f>((DK86+(Crescimento!#REF!-(DK86*0.64))/0.8)/1000)-Crescimento!#REF!</f>
        <v>#REF!</v>
      </c>
      <c r="DK87" s="17" t="e">
        <f>-53.07 + (304.89 * (DJ87)) + (90.79 *(Crescimento!#REF!-Crescimento!#REF!)) - (3.13 * (Crescimento!#REF!-Crescimento!#REF!)^2)</f>
        <v>#REF!</v>
      </c>
      <c r="DM87" s="16" t="e">
        <f>((DN86+(Crescimento!#REF!-(DN86*0.64))/0.8)/1000)-Crescimento!#REF!</f>
        <v>#REF!</v>
      </c>
      <c r="DN87" s="17" t="e">
        <f>-53.07 + (304.89 * (DM87)) + (90.79 *(Crescimento!#REF!-Crescimento!#REF!)) - (3.13 * (Crescimento!#REF!-Crescimento!#REF!)^2)</f>
        <v>#REF!</v>
      </c>
      <c r="DP87" s="16" t="e">
        <f>(DQ86+(Crescimento!#REF!-(DQ86*0.64))/0.8)/1000</f>
        <v>#REF!</v>
      </c>
      <c r="DQ87" s="17" t="e">
        <f>-53.07 + (304.89 * (DP87)) + (90.79 *(Crescimento!#REF!-Crescimento!#REF!)) - (3.13 * (Crescimento!#REF!-Crescimento!#REF!)^2)</f>
        <v>#REF!</v>
      </c>
      <c r="DS87" s="16" t="e">
        <f>((DT86+(Crescimento!#REF!-(DT86*0.64))/0.8)/1000)-Crescimento!#REF!</f>
        <v>#REF!</v>
      </c>
      <c r="DT87" s="17" t="e">
        <f>-53.07 + (304.89 * (DS87)) + (90.79 *(Crescimento!#REF!-Crescimento!#REF!)) - (3.13 * (Crescimento!#REF!-Crescimento!#REF!)^2)</f>
        <v>#REF!</v>
      </c>
      <c r="DV87" s="16" t="e">
        <f>((DW86+(Crescimento!#REF!-(DW86*0.64))/0.8)/1000)-Crescimento!#REF!</f>
        <v>#REF!</v>
      </c>
      <c r="DW87" s="17" t="e">
        <f>-53.07 + (304.89 * (DV87)) + (90.79 *(Crescimento!#REF!-Crescimento!#REF!)) - (3.13 * (Crescimento!#REF!-Crescimento!#REF!)^2)</f>
        <v>#REF!</v>
      </c>
      <c r="DY87" s="16" t="e">
        <f>((DZ86+(Crescimento!#REF!-(DZ86*0.64))/0.8)/1000)-Crescimento!#REF!</f>
        <v>#REF!</v>
      </c>
      <c r="DZ87" s="17" t="e">
        <f>-53.07 + (304.89 * (DY87)) + (90.79 *(Crescimento!#REF!-Crescimento!#REF!)) - (3.13 * (Crescimento!#REF!-Crescimento!#REF!)^2)</f>
        <v>#REF!</v>
      </c>
      <c r="EB87" s="16" t="e">
        <f>((EC86+(Crescimento!#REF!-(EC86*0.64))/0.8)/1000)-Crescimento!#REF!</f>
        <v>#REF!</v>
      </c>
      <c r="EC87" s="17" t="e">
        <f>-53.07 + (304.89 * (EB87)) + (90.79 *(Crescimento!#REF!-Crescimento!#REF!)) - (3.13 * (Crescimento!#REF!-Crescimento!#REF!)^2)</f>
        <v>#REF!</v>
      </c>
      <c r="EE87" s="16" t="e">
        <f>((EF86+(Crescimento!#REF!-(EF86*0.64))/0.8)/1000)-Crescimento!#REF!</f>
        <v>#REF!</v>
      </c>
      <c r="EF87" s="17" t="e">
        <f>-53.07 + (304.89 * (EE87)) + (90.79 *(Crescimento!#REF!-Crescimento!#REF!)) - (3.13 * (Crescimento!#REF!-Crescimento!#REF!)^2)</f>
        <v>#REF!</v>
      </c>
      <c r="EH87" s="16" t="e">
        <f>((EI86+(Crescimento!#REF!-(EI86*0.64))/0.8)/1000)-Crescimento!#REF!</f>
        <v>#REF!</v>
      </c>
      <c r="EI87" s="17" t="e">
        <f>-53.07 + (304.89 * (EH87)) + (90.79 *(Crescimento!#REF!-Crescimento!#REF!)) - (3.13 * (Crescimento!#REF!-Crescimento!#REF!)^2)</f>
        <v>#REF!</v>
      </c>
      <c r="EK87" s="16" t="e">
        <f>((EL86+(Crescimento!#REF!-(EL86*0.64))/0.8)/1000)-Crescimento!#REF!</f>
        <v>#REF!</v>
      </c>
      <c r="EL87" s="17" t="e">
        <f>-53.07 + (304.89 * (EK87)) + (90.79 *(Crescimento!#REF!-Crescimento!#REF!)) - (3.13 * (Crescimento!#REF!-Crescimento!#REF!)^2)</f>
        <v>#REF!</v>
      </c>
      <c r="EN87" s="16" t="e">
        <f>((EO86+(Crescimento!#REF!-(EO86*0.64))/0.8)/1000)-Crescimento!#REF!</f>
        <v>#REF!</v>
      </c>
      <c r="EO87" s="17" t="e">
        <f>-53.07 + (304.89 * (EN87)) + (90.79 *(Crescimento!#REF!-Crescimento!#REF!)) - (3.13 * (Crescimento!#REF!-Crescimento!#REF!)^2)</f>
        <v>#REF!</v>
      </c>
      <c r="EQ87" s="16" t="e">
        <f>((ER86+(Crescimento!#REF!-(ER86*0.64))/0.8)/1000)-Crescimento!#REF!</f>
        <v>#REF!</v>
      </c>
      <c r="ER87" s="17" t="e">
        <f>-53.07 + (304.89 * (EQ87)) + (90.79 *(Crescimento!#REF!-Crescimento!#REF!)) - (3.13 * (Crescimento!#REF!-Crescimento!#REF!)^2)</f>
        <v>#REF!</v>
      </c>
      <c r="ET87" s="16" t="e">
        <f>((EU86+(Crescimento!#REF!-(EU86*0.64))/0.8)/1000)-Crescimento!#REF!</f>
        <v>#REF!</v>
      </c>
      <c r="EU87" s="17" t="e">
        <f>-53.07 + (304.89 * (ET87)) + (90.79 *(Crescimento!#REF!-Crescimento!#REF!)) - (3.13 * (Crescimento!#REF!-Crescimento!#REF!)^2)</f>
        <v>#REF!</v>
      </c>
      <c r="EW87" s="16" t="e">
        <f>((EX86+('Vacas e Bezerros'!#REF!-(EX86*0.64))/0.8)/1000)-'Vacas e Bezerros'!#REF!</f>
        <v>#REF!</v>
      </c>
      <c r="EX87" s="17" t="e">
        <f>-53.07 + (304.89 * (EW87)) + (90.79 *('Vacas e Bezerros'!#REF!-'Vacas e Bezerros'!#REF!)) - (3.13 * ('Vacas e Bezerros'!#REF!-'Vacas e Bezerros'!#REF!)^2)</f>
        <v>#REF!</v>
      </c>
      <c r="EZ87" s="16" t="e">
        <f>((FA86+('Vacas e Bezerros'!#REF!-(FA86*0.64))/0.8)/1000)-'Vacas e Bezerros'!#REF!</f>
        <v>#REF!</v>
      </c>
      <c r="FA87" s="17" t="e">
        <f>-53.07 + (304.89 * (EZ87)) + (90.79 *('Vacas e Bezerros'!#REF!-'Vacas e Bezerros'!#REF!)) - (3.13 * ('Vacas e Bezerros'!#REF!-'Vacas e Bezerros'!#REF!)^2)</f>
        <v>#REF!</v>
      </c>
      <c r="FC87" s="16" t="e">
        <f>((FD86+('Vacas e Bezerros'!#REF!-(FD86*0.64))/0.8)/1000)-'Vacas e Bezerros'!#REF!</f>
        <v>#REF!</v>
      </c>
      <c r="FD87" s="17" t="e">
        <f>-53.07 + (304.89 * (FC87)) + (90.79 *('Vacas e Bezerros'!#REF!-'Vacas e Bezerros'!#REF!)) - (3.13 * ('Vacas e Bezerros'!#REF!-'Vacas e Bezerros'!#REF!)^2)</f>
        <v>#REF!</v>
      </c>
      <c r="FF87" s="16" t="e">
        <f>((FG86+('Vacas e Bezerros'!#REF!-(FG86*0.64))/0.8)/1000)-'Vacas e Bezerros'!#REF!</f>
        <v>#REF!</v>
      </c>
      <c r="FG87" s="17" t="e">
        <f>-53.07 + (304.89 * (FF87)) + (90.79 *('Vacas e Bezerros'!#REF!-'Vacas e Bezerros'!#REF!)) - (3.13 * ('Vacas e Bezerros'!#REF!-'Vacas e Bezerros'!#REF!)^2)</f>
        <v>#REF!</v>
      </c>
      <c r="FI87" s="16" t="e">
        <f>((FJ86+('Vacas e Bezerros'!#REF!-(FJ86*0.64))/0.8)/1000)-'Vacas e Bezerros'!#REF!</f>
        <v>#REF!</v>
      </c>
      <c r="FJ87" s="17" t="e">
        <f>-53.07 + (304.89 * (FI87)) + (90.79 *('Vacas e Bezerros'!#REF!-'Vacas e Bezerros'!#REF!)) - (3.13 * ('Vacas e Bezerros'!#REF!-'Vacas e Bezerros'!#REF!)^2)</f>
        <v>#REF!</v>
      </c>
      <c r="FL87" s="16" t="e">
        <f>((FM86+('Vacas e Bezerros'!#REF!-(FM86*0.64))/0.8)/1000)-'Vacas e Bezerros'!#REF!</f>
        <v>#REF!</v>
      </c>
      <c r="FM87" s="17" t="e">
        <f>-53.07 + (304.89 * (FL87)) + (90.79 *('Vacas e Bezerros'!#REF!-'Vacas e Bezerros'!#REF!)) - (3.13 * ('Vacas e Bezerros'!#REF!-'Vacas e Bezerros'!#REF!)^2)</f>
        <v>#REF!</v>
      </c>
      <c r="FO87" s="16" t="e">
        <f>((FP86+('Vacas e Bezerros'!#REF!-(FP86*0.64))/0.8)/1000)-'Vacas e Bezerros'!#REF!</f>
        <v>#REF!</v>
      </c>
      <c r="FP87" s="17" t="e">
        <f>-53.07 + (304.89 * (FO87)) + (90.79 *('Vacas e Bezerros'!#REF!-'Vacas e Bezerros'!#REF!)) - (3.13 * ('Vacas e Bezerros'!#REF!-'Vacas e Bezerros'!#REF!)^2)</f>
        <v>#REF!</v>
      </c>
      <c r="FR87" s="16" t="e">
        <f>((FS86+('Vacas e Bezerros'!#REF!-(FS86*0.64))/0.8)/1000)-'Vacas e Bezerros'!#REF!</f>
        <v>#REF!</v>
      </c>
      <c r="FS87" s="17" t="e">
        <f>-53.07 + (304.89 * (FR87)) + (90.79 *('Vacas e Bezerros'!#REF!-'Vacas e Bezerros'!#REF!)) - (3.13 * ('Vacas e Bezerros'!#REF!-'Vacas e Bezerros'!#REF!)^2)</f>
        <v>#REF!</v>
      </c>
      <c r="FU87" s="16" t="e">
        <f>((FV86+('Vacas e Bezerros'!#REF!-(FV86*0.64))/0.8)/1000)-'Vacas e Bezerros'!#REF!</f>
        <v>#REF!</v>
      </c>
      <c r="FV87" s="17" t="e">
        <f>-53.07 + (304.89 * (FU87)) + (90.79 *('Vacas e Bezerros'!#REF!-'Vacas e Bezerros'!#REF!)) - (3.13 * ('Vacas e Bezerros'!#REF!-'Vacas e Bezerros'!#REF!)^2)</f>
        <v>#REF!</v>
      </c>
      <c r="FX87" s="16" t="e">
        <f>((FY86+('Vacas e Bezerros'!#REF!-(FY86*0.64))/0.8)/1000)-'Vacas e Bezerros'!#REF!</f>
        <v>#REF!</v>
      </c>
      <c r="FY87" s="17" t="e">
        <f>-53.07 + (304.89 * (FX87)) + (90.79 *('Vacas e Bezerros'!#REF!-'Vacas e Bezerros'!#REF!)) - (3.13 * ('Vacas e Bezerros'!#REF!-'Vacas e Bezerros'!#REF!)^2)</f>
        <v>#REF!</v>
      </c>
      <c r="GA87" s="16" t="e">
        <f>((GB86+('Vacas e Bezerros'!#REF!-(GB86*0.64))/0.8)/1000)-'Vacas e Bezerros'!#REF!</f>
        <v>#REF!</v>
      </c>
      <c r="GB87" s="17" t="e">
        <f>-53.07 + (304.89 * (GA87)) + (90.79 *('Vacas e Bezerros'!#REF!-'Vacas e Bezerros'!#REF!)) - (3.13 * ('Vacas e Bezerros'!#REF!-'Vacas e Bezerros'!#REF!)^2)</f>
        <v>#REF!</v>
      </c>
      <c r="GD87" s="16" t="e">
        <f>((GE86+('Vacas e Bezerros'!#REF!-(GE86*0.64))/0.8)/1000)-'Vacas e Bezerros'!#REF!</f>
        <v>#REF!</v>
      </c>
      <c r="GE87" s="17" t="e">
        <f>-53.07 + (304.89 * (GD87)) + (90.79 *('Vacas e Bezerros'!#REF!-'Vacas e Bezerros'!#REF!)) - (3.13 * ('Vacas e Bezerros'!#REF!-'Vacas e Bezerros'!#REF!)^2)</f>
        <v>#REF!</v>
      </c>
      <c r="GG87" s="16" t="e">
        <f>((GH86+('Vacas e Bezerros'!#REF!-(GH86*0.64))/0.8)/1000)-'Vacas e Bezerros'!#REF!</f>
        <v>#REF!</v>
      </c>
      <c r="GH87" s="17" t="e">
        <f>-53.07 + (304.89 * (GG87)) + (90.79 *('Vacas e Bezerros'!#REF!-'Vacas e Bezerros'!#REF!)) - (3.13 * ('Vacas e Bezerros'!#REF!-'Vacas e Bezerros'!#REF!)^2)</f>
        <v>#REF!</v>
      </c>
      <c r="GJ87" s="16" t="e">
        <f>((GK86+('Vacas e Bezerros'!#REF!-(GK86*0.64))/0.8)/1000)-'Vacas e Bezerros'!#REF!</f>
        <v>#REF!</v>
      </c>
      <c r="GK87" s="17" t="e">
        <f>-53.07 + (304.89 * (GJ87)) + (90.79 *('Vacas e Bezerros'!#REF!-'Vacas e Bezerros'!#REF!)) - (3.13 * ('Vacas e Bezerros'!#REF!-'Vacas e Bezerros'!#REF!)^2)</f>
        <v>#REF!</v>
      </c>
      <c r="GM87" s="16" t="e">
        <f>((GN86+('Vacas e Bezerros'!#REF!-(GN86*0.64))/0.8)/1000)-'Vacas e Bezerros'!#REF!</f>
        <v>#REF!</v>
      </c>
      <c r="GN87" s="17" t="e">
        <f>-53.07 + (304.89 * (GM87)) + (90.79 *('Vacas e Bezerros'!#REF!-'Vacas e Bezerros'!#REF!)) - (3.13 * ('Vacas e Bezerros'!#REF!-'Vacas e Bezerros'!#REF!)^2)</f>
        <v>#REF!</v>
      </c>
    </row>
    <row r="88" spans="3:196" x14ac:dyDescent="0.25">
      <c r="C88" s="16">
        <f>(D87+('Vacas e Bezerros'!$AA$28-(D87*0.64))/0.8)/1000</f>
        <v>0.35719668016155687</v>
      </c>
      <c r="D88" s="17">
        <f>-53.07 + (304.89 * (C88-'Vacas e Bezerros'!$C$206)) + (90.79 *('Vacas e Bezerros'!$AA$22)) - (3.13 *('Vacas e Bezerros'!$AA$22)^2)</f>
        <v>165.01876457544017</v>
      </c>
      <c r="F88" s="16" t="e">
        <f>(G87+(Crescimento!#REF!-(G87*0.64))/0.8)/1000</f>
        <v>#REF!</v>
      </c>
      <c r="G88" s="17" t="e">
        <f>-53.07 + (304.89 * (F88)) + (90.79 *Crescimento!#REF!) - (3.13 * Crescimento!#REF!*Crescimento!#REF!)</f>
        <v>#REF!</v>
      </c>
      <c r="H88" s="1"/>
      <c r="I88" s="16" t="e">
        <f>(J87+(Crescimento!#REF!-(J87*0.64))/0.8)/1000</f>
        <v>#REF!</v>
      </c>
      <c r="J88" s="17" t="e">
        <f>-53.07 + (304.89 * (I88)) + (90.79 *Crescimento!#REF!) - (3.13 * Crescimento!#REF!*Crescimento!#REF!)</f>
        <v>#REF!</v>
      </c>
      <c r="L88" s="16" t="e">
        <f>(M87+(Crescimento!#REF!-(M87*0.64))/0.8)/1000</f>
        <v>#REF!</v>
      </c>
      <c r="M88" s="17" t="e">
        <f>-53.07 + (304.89 * (L88)) + (90.79 *Crescimento!#REF!) - (3.13 * Crescimento!#REF!*Crescimento!#REF!)</f>
        <v>#REF!</v>
      </c>
      <c r="O88" s="16" t="e">
        <f>(P87+(Crescimento!#REF!-(P87*0.64))/0.8)/1000</f>
        <v>#REF!</v>
      </c>
      <c r="P88" s="17" t="e">
        <f>-53.07 + (304.89 * (O88)) + (90.79 *Crescimento!#REF!) - (3.13 * Crescimento!#REF!*Crescimento!#REF!)</f>
        <v>#REF!</v>
      </c>
      <c r="R88" s="16" t="e">
        <f>(S87+(Crescimento!#REF!-(S87*0.64))/0.8)/1000</f>
        <v>#REF!</v>
      </c>
      <c r="S88" s="17" t="e">
        <f>-53.07 + (304.89 * (R88)) + (90.79 *Crescimento!#REF!) - (3.13 * Crescimento!#REF!*Crescimento!#REF!)</f>
        <v>#REF!</v>
      </c>
      <c r="U88" s="16" t="e">
        <f>(V87+(Crescimento!#REF!-(V87*0.64))/0.8)/1000</f>
        <v>#REF!</v>
      </c>
      <c r="V88" s="17" t="e">
        <f>-53.07 + (304.89 * (U88)) + (90.79 *Crescimento!#REF!) - (3.13 * Crescimento!#REF!*Crescimento!#REF!)</f>
        <v>#REF!</v>
      </c>
      <c r="X88" s="16" t="e">
        <f>(Y87+(Crescimento!#REF!-(Y87*0.64))/0.8)/1000</f>
        <v>#REF!</v>
      </c>
      <c r="Y88" s="17" t="e">
        <f>-53.07 + (304.89 * (X88)) + (90.79 *Crescimento!#REF!) - (3.13 * Crescimento!#REF!*Crescimento!#REF!)</f>
        <v>#REF!</v>
      </c>
      <c r="Z88" s="6"/>
      <c r="AA88" s="16" t="e">
        <f>(AB87+(Crescimento!#REF!-(AB87*0.64))/0.8)/1000</f>
        <v>#REF!</v>
      </c>
      <c r="AB88" s="17" t="e">
        <f>-53.07 + (304.89 * (AA88)) + (90.79 *Crescimento!#REF!) - (3.13 * Crescimento!#REF!*Crescimento!#REF!)</f>
        <v>#REF!</v>
      </c>
      <c r="AC88" s="6"/>
      <c r="AD88" s="16" t="e">
        <f>(AE87+(Crescimento!#REF!-(AE87*0.64))/0.8)/1000</f>
        <v>#REF!</v>
      </c>
      <c r="AE88" s="17" t="e">
        <f>-53.07 + (304.89 * (AD88)) + (90.79 *Crescimento!#REF!) - (3.13 * Crescimento!#REF!*Crescimento!#REF!)</f>
        <v>#REF!</v>
      </c>
      <c r="AF88" s="17"/>
      <c r="AG88" s="16" t="e">
        <f>(AH87+(Crescimento!#REF!-(AH87*0.64))/0.8)/1000</f>
        <v>#REF!</v>
      </c>
      <c r="AH88" s="17" t="e">
        <f>-53.07 + (304.89 * (AG88)) + (90.79 *Crescimento!#REF!) - (3.13 * Crescimento!#REF!*Crescimento!#REF!)</f>
        <v>#REF!</v>
      </c>
      <c r="AJ88" s="16" t="e">
        <f>(AK87+(Crescimento!#REF!-(AK87*0.64))/0.8)/1000</f>
        <v>#REF!</v>
      </c>
      <c r="AK88" s="17" t="e">
        <f>-53.07 + (304.89 * (AJ88)) + (90.79 *Crescimento!#REF!) - (3.13 * Crescimento!#REF!*Crescimento!#REF!)</f>
        <v>#REF!</v>
      </c>
      <c r="AM88" s="16" t="e">
        <f>(AN87+(Crescimento!#REF!-(AN87*0.64))/0.8)/1000</f>
        <v>#REF!</v>
      </c>
      <c r="AN88" s="17" t="e">
        <f>-53.07 + (304.89 * (AM88)) + (90.79 *Crescimento!#REF!) - (3.13 * Crescimento!#REF!*Crescimento!#REF!)</f>
        <v>#REF!</v>
      </c>
      <c r="AP88" s="16" t="e">
        <f>(AQ87+(Crescimento!#REF!-(AQ87*0.64))/0.8)/1000</f>
        <v>#REF!</v>
      </c>
      <c r="AQ88" s="17" t="e">
        <f>-53.07 + (304.89 * (AP88)) + (90.79 *Crescimento!#REF!) - (3.13 * Crescimento!#REF!*Crescimento!#REF!)</f>
        <v>#REF!</v>
      </c>
      <c r="AS88" s="16" t="e">
        <f>(AT87+(Crescimento!#REF!-(AT87*0.64))/0.8)/1000</f>
        <v>#REF!</v>
      </c>
      <c r="AT88" s="17" t="e">
        <f>-53.07 + (304.89 * (AS88)) + (90.79 *Crescimento!#REF!) - (3.13 * Crescimento!#REF!*Crescimento!#REF!)</f>
        <v>#REF!</v>
      </c>
      <c r="AV88" s="16" t="e">
        <f>(AW87+(Crescimento!#REF!-(AW87*0.64))/0.8)/1000</f>
        <v>#REF!</v>
      </c>
      <c r="AW88" s="17" t="e">
        <f>-53.07 + (304.89 * (AV88)) + (90.79 *Crescimento!#REF!) - (3.13 * Crescimento!#REF!*Crescimento!#REF!)</f>
        <v>#REF!</v>
      </c>
      <c r="AY88" s="21" t="e">
        <f>((AZ87+(Crescimento!#REF!-(AZ87*0.64))/0.8)/1000)-Crescimento!#REF!</f>
        <v>#REF!</v>
      </c>
      <c r="AZ88" s="22" t="e">
        <f>-53.07 + (304.89 * (AY88)) + (90.79 *(Crescimento!#REF!-Crescimento!#REF!)) - (3.13 * (Crescimento!#REF!-Crescimento!#REF!)^2)</f>
        <v>#REF!</v>
      </c>
      <c r="BA88" s="23"/>
      <c r="BB88" s="21" t="e">
        <f>((BC87+(Crescimento!#REF!-(BC87*0.64))/0.8)/1000)-Crescimento!#REF!</f>
        <v>#REF!</v>
      </c>
      <c r="BC88" s="22" t="e">
        <f>-53.07 + (304.89 * (BB88)) + (90.79 *(Crescimento!#REF!-Crescimento!#REF!)) - (3.13 * (Crescimento!#REF!-Crescimento!#REF!)^2)</f>
        <v>#REF!</v>
      </c>
      <c r="BD88" s="23"/>
      <c r="BE88" s="21" t="e">
        <f>((BF87+(Crescimento!#REF!-(BF87*0.64))/0.8)/1000)-Crescimento!#REF!</f>
        <v>#REF!</v>
      </c>
      <c r="BF88" s="22" t="e">
        <f>-53.07 + (304.89 * (BE88)) + (90.79 *(Crescimento!#REF!-Crescimento!#REF!)) - (3.13 * (Crescimento!#REF!-Crescimento!#REF!)^2)</f>
        <v>#REF!</v>
      </c>
      <c r="BG88" s="23"/>
      <c r="BH88" s="21" t="e">
        <f>((BI87+(Crescimento!#REF!-(BI87*0.64))/0.8)/1000)-Crescimento!#REF!</f>
        <v>#REF!</v>
      </c>
      <c r="BI88" s="22" t="e">
        <f>-53.07 + (304.89 * (BH88)) + (90.79 *(Crescimento!#REF!-Crescimento!#REF!)) - (3.13 * (Crescimento!#REF!-Crescimento!#REF!)^2)</f>
        <v>#REF!</v>
      </c>
      <c r="BJ88" s="23"/>
      <c r="BK88" s="21" t="e">
        <f>((BL87+(Crescimento!#REF!-(BL87*0.64))/0.8)/1000)-Crescimento!#REF!</f>
        <v>#REF!</v>
      </c>
      <c r="BL88" s="22" t="e">
        <f>-53.07 + (304.89 * (BK88)) + (90.79 *(Crescimento!#REF!-Crescimento!#REF!)) - (3.13 * (Crescimento!#REF!-Crescimento!#REF!)^2)</f>
        <v>#REF!</v>
      </c>
      <c r="BM88" s="23"/>
      <c r="BN88" s="21" t="e">
        <f>((BO87+(Crescimento!#REF!-(BO87*0.64))/0.8)/1000)-Crescimento!#REF!</f>
        <v>#REF!</v>
      </c>
      <c r="BO88" s="22" t="e">
        <f>-53.07 + (304.89 * (BN88)) + (90.79 *(Crescimento!#REF!-Crescimento!#REF!)) - (3.13 * (Crescimento!#REF!-Crescimento!#REF!)^2)</f>
        <v>#REF!</v>
      </c>
      <c r="BP88" s="23"/>
      <c r="BQ88" s="21" t="e">
        <f>((BR87+(Crescimento!#REF!-(BR87*0.64))/0.8)/1000)-Crescimento!#REF!</f>
        <v>#REF!</v>
      </c>
      <c r="BR88" s="22" t="e">
        <f>-53.07 + (304.89 * (BQ88)) + (90.79 *(Crescimento!#REF!-Crescimento!#REF!)) - (3.13 * (Crescimento!#REF!-Crescimento!#REF!)^2)</f>
        <v>#REF!</v>
      </c>
      <c r="BS88" s="23"/>
      <c r="BT88" s="21" t="e">
        <f>((BU87+(Crescimento!#REF!-(BU87*0.64))/0.8)/1000)-Crescimento!#REF!</f>
        <v>#REF!</v>
      </c>
      <c r="BU88" s="22" t="e">
        <f>-53.07 + (304.89 * (BT88)) + (90.79 *(Crescimento!#REF!-Crescimento!#REF!)) - (3.13 * (Crescimento!#REF!-Crescimento!#REF!)^2)</f>
        <v>#REF!</v>
      </c>
      <c r="BV88" s="23"/>
      <c r="BW88" s="21" t="e">
        <f>((BX87+(Crescimento!#REF!-(BX87*0.64))/0.8)/1000)-Crescimento!#REF!</f>
        <v>#REF!</v>
      </c>
      <c r="BX88" s="22" t="e">
        <f>-53.07 + (304.89 * (BW88)) + (90.79 *(Crescimento!#REF!-Crescimento!#REF!)) - (3.13 * (Crescimento!#REF!-Crescimento!#REF!)^2)</f>
        <v>#REF!</v>
      </c>
      <c r="BY88" s="23"/>
      <c r="BZ88" s="21" t="e">
        <f>((CA87+(Crescimento!#REF!-(CA87*0.64))/0.8)/1000)-Crescimento!#REF!</f>
        <v>#REF!</v>
      </c>
      <c r="CA88" s="22" t="e">
        <f>-53.07 + (304.89 * (BZ88)) + (90.79 *(Crescimento!#REF!-Crescimento!#REF!)) - (3.13 * (Crescimento!#REF!-Crescimento!#REF!)^2)</f>
        <v>#REF!</v>
      </c>
      <c r="CB88" s="23"/>
      <c r="CC88" s="21" t="e">
        <f>((CD87+(Crescimento!#REF!-(CD87*0.64))/0.8)/1000)-Crescimento!#REF!</f>
        <v>#REF!</v>
      </c>
      <c r="CD88" s="22" t="e">
        <f>-53.07 + (304.89 * (CC88)) + (90.79 *(Crescimento!#REF!-Crescimento!#REF!)) - (3.13 * (Crescimento!#REF!-Crescimento!#REF!)^2)</f>
        <v>#REF!</v>
      </c>
      <c r="CE88" s="23"/>
      <c r="CF88" s="21" t="e">
        <f>((CG87+(Crescimento!#REF!-(CG87*0.64))/0.8)/1000)-Crescimento!#REF!</f>
        <v>#REF!</v>
      </c>
      <c r="CG88" s="22" t="e">
        <f>-53.07 + (304.89 * (CF88)) + (90.79 *(Crescimento!#REF!-Crescimento!#REF!)) - (3.13 * (Crescimento!#REF!-Crescimento!#REF!)^2)</f>
        <v>#REF!</v>
      </c>
      <c r="CH88" s="23"/>
      <c r="CI88" s="21" t="e">
        <f>((CJ87+(Crescimento!#REF!-(CJ87*0.64))/0.8)/1000)-Crescimento!#REF!</f>
        <v>#REF!</v>
      </c>
      <c r="CJ88" s="22" t="e">
        <f>-53.07 + (304.89 * (CI88)) + (90.79 *(Crescimento!#REF!-Crescimento!#REF!)) - (3.13 * (Crescimento!#REF!-Crescimento!#REF!)^2)</f>
        <v>#REF!</v>
      </c>
      <c r="CK88" s="23"/>
      <c r="CL88" s="21" t="e">
        <f>((CM87+(Crescimento!#REF!-(CM87*0.64))/0.8)/1000)-Crescimento!#REF!</f>
        <v>#REF!</v>
      </c>
      <c r="CM88" s="22" t="e">
        <f>-53.07 + (304.89 * (CL88)) + (90.79 *(Crescimento!#REF!-Crescimento!#REF!)) - (3.13 * (Crescimento!#REF!-Crescimento!#REF!)^2)</f>
        <v>#REF!</v>
      </c>
      <c r="CN88" s="23"/>
      <c r="CO88" s="21" t="e">
        <f>((CP87+(Crescimento!#REF!-(CP87*0.64))/0.8)/1000)-Crescimento!#REF!</f>
        <v>#REF!</v>
      </c>
      <c r="CP88" s="22" t="e">
        <f>-53.07 + (304.89 * (CO88)) + (90.79 *(Crescimento!#REF!-Crescimento!#REF!)) - (3.13 * (Crescimento!#REF!-Crescimento!#REF!)^2)</f>
        <v>#REF!</v>
      </c>
      <c r="CQ88" s="23"/>
      <c r="CR88" s="21" t="e">
        <f>((CS87+(Crescimento!#REF!-(CS87*0.64))/0.8)/1000)-Crescimento!#REF!</f>
        <v>#REF!</v>
      </c>
      <c r="CS88" s="22" t="e">
        <f>-53.07 + (304.89 * (CR88)) + (90.79 *(Crescimento!#REF!-Crescimento!#REF!)) - (3.13 * (Crescimento!#REF!-Crescimento!#REF!)^2)</f>
        <v>#REF!</v>
      </c>
      <c r="CX88" s="16" t="e">
        <f>((CY87+(Crescimento!#REF!-(CY87*0.64))/0.8)/1000)-Crescimento!#REF!</f>
        <v>#REF!</v>
      </c>
      <c r="CY88" s="17" t="e">
        <f>-53.07 + (304.89 * (CX88)) + (90.79 *(Crescimento!#REF!-Crescimento!#REF!)) - (3.13 * (Crescimento!#REF!-Crescimento!#REF!)^2)</f>
        <v>#REF!</v>
      </c>
      <c r="DA88" s="16" t="e">
        <f>((DB87+(Crescimento!#REF!-(DB87*0.64))/0.8)/1000)-Crescimento!#REF!</f>
        <v>#REF!</v>
      </c>
      <c r="DB88" s="17" t="e">
        <f>-53.07 + (304.89 * (DA88)) + (90.79 *(Crescimento!#REF!-Crescimento!#REF!)) - (3.13 * (Crescimento!#REF!-Crescimento!#REF!)^2)</f>
        <v>#REF!</v>
      </c>
      <c r="DD88" s="16" t="e">
        <f>(DE87+(Crescimento!#REF!-(DE87*0.64))/0.8)/1000</f>
        <v>#REF!</v>
      </c>
      <c r="DE88" s="17" t="e">
        <f>-53.07 + (304.89 * (DD88)) + (90.79 *Crescimento!#REF!) - (3.13 * Crescimento!#REF!*Crescimento!#REF!)</f>
        <v>#REF!</v>
      </c>
      <c r="DG88" s="16" t="e">
        <f>((DH87+(Crescimento!#REF!-(DH87*0.64))/0.8)/1000)-Crescimento!#REF!</f>
        <v>#REF!</v>
      </c>
      <c r="DH88" s="17" t="e">
        <f>-53.07 + (304.89 * (DG88)) + (90.79 *(Crescimento!#REF!-Crescimento!#REF!)) - (3.13 * (Crescimento!#REF!-Crescimento!#REF!)^2)</f>
        <v>#REF!</v>
      </c>
      <c r="DJ88" s="16" t="e">
        <f>((DK87+(Crescimento!#REF!-(DK87*0.64))/0.8)/1000)-Crescimento!#REF!</f>
        <v>#REF!</v>
      </c>
      <c r="DK88" s="17" t="e">
        <f>-53.07 + (304.89 * (DJ88)) + (90.79 *(Crescimento!#REF!-Crescimento!#REF!)) - (3.13 * (Crescimento!#REF!-Crescimento!#REF!)^2)</f>
        <v>#REF!</v>
      </c>
      <c r="DM88" s="16" t="e">
        <f>((DN87+(Crescimento!#REF!-(DN87*0.64))/0.8)/1000)-Crescimento!#REF!</f>
        <v>#REF!</v>
      </c>
      <c r="DN88" s="17" t="e">
        <f>-53.07 + (304.89 * (DM88)) + (90.79 *(Crescimento!#REF!-Crescimento!#REF!)) - (3.13 * (Crescimento!#REF!-Crescimento!#REF!)^2)</f>
        <v>#REF!</v>
      </c>
      <c r="DP88" s="16" t="e">
        <f>(DQ87+(Crescimento!#REF!-(DQ87*0.64))/0.8)/1000</f>
        <v>#REF!</v>
      </c>
      <c r="DQ88" s="17" t="e">
        <f>-53.07 + (304.89 * (DP88)) + (90.79 *(Crescimento!#REF!-Crescimento!#REF!)) - (3.13 * (Crescimento!#REF!-Crescimento!#REF!)^2)</f>
        <v>#REF!</v>
      </c>
      <c r="DS88" s="16" t="e">
        <f>((DT87+(Crescimento!#REF!-(DT87*0.64))/0.8)/1000)-Crescimento!#REF!</f>
        <v>#REF!</v>
      </c>
      <c r="DT88" s="17" t="e">
        <f>-53.07 + (304.89 * (DS88)) + (90.79 *(Crescimento!#REF!-Crescimento!#REF!)) - (3.13 * (Crescimento!#REF!-Crescimento!#REF!)^2)</f>
        <v>#REF!</v>
      </c>
      <c r="DV88" s="16" t="e">
        <f>((DW87+(Crescimento!#REF!-(DW87*0.64))/0.8)/1000)-Crescimento!#REF!</f>
        <v>#REF!</v>
      </c>
      <c r="DW88" s="17" t="e">
        <f>-53.07 + (304.89 * (DV88)) + (90.79 *(Crescimento!#REF!-Crescimento!#REF!)) - (3.13 * (Crescimento!#REF!-Crescimento!#REF!)^2)</f>
        <v>#REF!</v>
      </c>
      <c r="DY88" s="16" t="e">
        <f>((DZ87+(Crescimento!#REF!-(DZ87*0.64))/0.8)/1000)-Crescimento!#REF!</f>
        <v>#REF!</v>
      </c>
      <c r="DZ88" s="17" t="e">
        <f>-53.07 + (304.89 * (DY88)) + (90.79 *(Crescimento!#REF!-Crescimento!#REF!)) - (3.13 * (Crescimento!#REF!-Crescimento!#REF!)^2)</f>
        <v>#REF!</v>
      </c>
      <c r="EB88" s="16" t="e">
        <f>((EC87+(Crescimento!#REF!-(EC87*0.64))/0.8)/1000)-Crescimento!#REF!</f>
        <v>#REF!</v>
      </c>
      <c r="EC88" s="17" t="e">
        <f>-53.07 + (304.89 * (EB88)) + (90.79 *(Crescimento!#REF!-Crescimento!#REF!)) - (3.13 * (Crescimento!#REF!-Crescimento!#REF!)^2)</f>
        <v>#REF!</v>
      </c>
      <c r="EE88" s="16" t="e">
        <f>((EF87+(Crescimento!#REF!-(EF87*0.64))/0.8)/1000)-Crescimento!#REF!</f>
        <v>#REF!</v>
      </c>
      <c r="EF88" s="17" t="e">
        <f>-53.07 + (304.89 * (EE88)) + (90.79 *(Crescimento!#REF!-Crescimento!#REF!)) - (3.13 * (Crescimento!#REF!-Crescimento!#REF!)^2)</f>
        <v>#REF!</v>
      </c>
      <c r="EH88" s="16" t="e">
        <f>((EI87+(Crescimento!#REF!-(EI87*0.64))/0.8)/1000)-Crescimento!#REF!</f>
        <v>#REF!</v>
      </c>
      <c r="EI88" s="17" t="e">
        <f>-53.07 + (304.89 * (EH88)) + (90.79 *(Crescimento!#REF!-Crescimento!#REF!)) - (3.13 * (Crescimento!#REF!-Crescimento!#REF!)^2)</f>
        <v>#REF!</v>
      </c>
      <c r="EK88" s="16" t="e">
        <f>((EL87+(Crescimento!#REF!-(EL87*0.64))/0.8)/1000)-Crescimento!#REF!</f>
        <v>#REF!</v>
      </c>
      <c r="EL88" s="17" t="e">
        <f>-53.07 + (304.89 * (EK88)) + (90.79 *(Crescimento!#REF!-Crescimento!#REF!)) - (3.13 * (Crescimento!#REF!-Crescimento!#REF!)^2)</f>
        <v>#REF!</v>
      </c>
      <c r="EN88" s="16" t="e">
        <f>((EO87+(Crescimento!#REF!-(EO87*0.64))/0.8)/1000)-Crescimento!#REF!</f>
        <v>#REF!</v>
      </c>
      <c r="EO88" s="17" t="e">
        <f>-53.07 + (304.89 * (EN88)) + (90.79 *(Crescimento!#REF!-Crescimento!#REF!)) - (3.13 * (Crescimento!#REF!-Crescimento!#REF!)^2)</f>
        <v>#REF!</v>
      </c>
      <c r="EQ88" s="16" t="e">
        <f>((ER87+(Crescimento!#REF!-(ER87*0.64))/0.8)/1000)-Crescimento!#REF!</f>
        <v>#REF!</v>
      </c>
      <c r="ER88" s="17" t="e">
        <f>-53.07 + (304.89 * (EQ88)) + (90.79 *(Crescimento!#REF!-Crescimento!#REF!)) - (3.13 * (Crescimento!#REF!-Crescimento!#REF!)^2)</f>
        <v>#REF!</v>
      </c>
      <c r="ET88" s="16" t="e">
        <f>((EU87+(Crescimento!#REF!-(EU87*0.64))/0.8)/1000)-Crescimento!#REF!</f>
        <v>#REF!</v>
      </c>
      <c r="EU88" s="17" t="e">
        <f>-53.07 + (304.89 * (ET88)) + (90.79 *(Crescimento!#REF!-Crescimento!#REF!)) - (3.13 * (Crescimento!#REF!-Crescimento!#REF!)^2)</f>
        <v>#REF!</v>
      </c>
      <c r="EW88" s="16" t="e">
        <f>((EX87+('Vacas e Bezerros'!#REF!-(EX87*0.64))/0.8)/1000)-'Vacas e Bezerros'!#REF!</f>
        <v>#REF!</v>
      </c>
      <c r="EX88" s="17" t="e">
        <f>-53.07 + (304.89 * (EW88)) + (90.79 *('Vacas e Bezerros'!#REF!-'Vacas e Bezerros'!#REF!)) - (3.13 * ('Vacas e Bezerros'!#REF!-'Vacas e Bezerros'!#REF!)^2)</f>
        <v>#REF!</v>
      </c>
      <c r="EZ88" s="16" t="e">
        <f>((FA87+('Vacas e Bezerros'!#REF!-(FA87*0.64))/0.8)/1000)-'Vacas e Bezerros'!#REF!</f>
        <v>#REF!</v>
      </c>
      <c r="FA88" s="17" t="e">
        <f>-53.07 + (304.89 * (EZ88)) + (90.79 *('Vacas e Bezerros'!#REF!-'Vacas e Bezerros'!#REF!)) - (3.13 * ('Vacas e Bezerros'!#REF!-'Vacas e Bezerros'!#REF!)^2)</f>
        <v>#REF!</v>
      </c>
      <c r="FC88" s="16" t="e">
        <f>((FD87+('Vacas e Bezerros'!#REF!-(FD87*0.64))/0.8)/1000)-'Vacas e Bezerros'!#REF!</f>
        <v>#REF!</v>
      </c>
      <c r="FD88" s="17" t="e">
        <f>-53.07 + (304.89 * (FC88)) + (90.79 *('Vacas e Bezerros'!#REF!-'Vacas e Bezerros'!#REF!)) - (3.13 * ('Vacas e Bezerros'!#REF!-'Vacas e Bezerros'!#REF!)^2)</f>
        <v>#REF!</v>
      </c>
      <c r="FF88" s="16" t="e">
        <f>((FG87+('Vacas e Bezerros'!#REF!-(FG87*0.64))/0.8)/1000)-'Vacas e Bezerros'!#REF!</f>
        <v>#REF!</v>
      </c>
      <c r="FG88" s="17" t="e">
        <f>-53.07 + (304.89 * (FF88)) + (90.79 *('Vacas e Bezerros'!#REF!-'Vacas e Bezerros'!#REF!)) - (3.13 * ('Vacas e Bezerros'!#REF!-'Vacas e Bezerros'!#REF!)^2)</f>
        <v>#REF!</v>
      </c>
      <c r="FI88" s="16" t="e">
        <f>((FJ87+('Vacas e Bezerros'!#REF!-(FJ87*0.64))/0.8)/1000)-'Vacas e Bezerros'!#REF!</f>
        <v>#REF!</v>
      </c>
      <c r="FJ88" s="17" t="e">
        <f>-53.07 + (304.89 * (FI88)) + (90.79 *('Vacas e Bezerros'!#REF!-'Vacas e Bezerros'!#REF!)) - (3.13 * ('Vacas e Bezerros'!#REF!-'Vacas e Bezerros'!#REF!)^2)</f>
        <v>#REF!</v>
      </c>
      <c r="FL88" s="16" t="e">
        <f>((FM87+('Vacas e Bezerros'!#REF!-(FM87*0.64))/0.8)/1000)-'Vacas e Bezerros'!#REF!</f>
        <v>#REF!</v>
      </c>
      <c r="FM88" s="17" t="e">
        <f>-53.07 + (304.89 * (FL88)) + (90.79 *('Vacas e Bezerros'!#REF!-'Vacas e Bezerros'!#REF!)) - (3.13 * ('Vacas e Bezerros'!#REF!-'Vacas e Bezerros'!#REF!)^2)</f>
        <v>#REF!</v>
      </c>
      <c r="FO88" s="16" t="e">
        <f>((FP87+('Vacas e Bezerros'!#REF!-(FP87*0.64))/0.8)/1000)-'Vacas e Bezerros'!#REF!</f>
        <v>#REF!</v>
      </c>
      <c r="FP88" s="17" t="e">
        <f>-53.07 + (304.89 * (FO88)) + (90.79 *('Vacas e Bezerros'!#REF!-'Vacas e Bezerros'!#REF!)) - (3.13 * ('Vacas e Bezerros'!#REF!-'Vacas e Bezerros'!#REF!)^2)</f>
        <v>#REF!</v>
      </c>
      <c r="FR88" s="16" t="e">
        <f>((FS87+('Vacas e Bezerros'!#REF!-(FS87*0.64))/0.8)/1000)-'Vacas e Bezerros'!#REF!</f>
        <v>#REF!</v>
      </c>
      <c r="FS88" s="17" t="e">
        <f>-53.07 + (304.89 * (FR88)) + (90.79 *('Vacas e Bezerros'!#REF!-'Vacas e Bezerros'!#REF!)) - (3.13 * ('Vacas e Bezerros'!#REF!-'Vacas e Bezerros'!#REF!)^2)</f>
        <v>#REF!</v>
      </c>
      <c r="FU88" s="16" t="e">
        <f>((FV87+('Vacas e Bezerros'!#REF!-(FV87*0.64))/0.8)/1000)-'Vacas e Bezerros'!#REF!</f>
        <v>#REF!</v>
      </c>
      <c r="FV88" s="17" t="e">
        <f>-53.07 + (304.89 * (FU88)) + (90.79 *('Vacas e Bezerros'!#REF!-'Vacas e Bezerros'!#REF!)) - (3.13 * ('Vacas e Bezerros'!#REF!-'Vacas e Bezerros'!#REF!)^2)</f>
        <v>#REF!</v>
      </c>
      <c r="FX88" s="16" t="e">
        <f>((FY87+('Vacas e Bezerros'!#REF!-(FY87*0.64))/0.8)/1000)-'Vacas e Bezerros'!#REF!</f>
        <v>#REF!</v>
      </c>
      <c r="FY88" s="17" t="e">
        <f>-53.07 + (304.89 * (FX88)) + (90.79 *('Vacas e Bezerros'!#REF!-'Vacas e Bezerros'!#REF!)) - (3.13 * ('Vacas e Bezerros'!#REF!-'Vacas e Bezerros'!#REF!)^2)</f>
        <v>#REF!</v>
      </c>
      <c r="GA88" s="16" t="e">
        <f>((GB87+('Vacas e Bezerros'!#REF!-(GB87*0.64))/0.8)/1000)-'Vacas e Bezerros'!#REF!</f>
        <v>#REF!</v>
      </c>
      <c r="GB88" s="17" t="e">
        <f>-53.07 + (304.89 * (GA88)) + (90.79 *('Vacas e Bezerros'!#REF!-'Vacas e Bezerros'!#REF!)) - (3.13 * ('Vacas e Bezerros'!#REF!-'Vacas e Bezerros'!#REF!)^2)</f>
        <v>#REF!</v>
      </c>
      <c r="GD88" s="16" t="e">
        <f>((GE87+('Vacas e Bezerros'!#REF!-(GE87*0.64))/0.8)/1000)-'Vacas e Bezerros'!#REF!</f>
        <v>#REF!</v>
      </c>
      <c r="GE88" s="17" t="e">
        <f>-53.07 + (304.89 * (GD88)) + (90.79 *('Vacas e Bezerros'!#REF!-'Vacas e Bezerros'!#REF!)) - (3.13 * ('Vacas e Bezerros'!#REF!-'Vacas e Bezerros'!#REF!)^2)</f>
        <v>#REF!</v>
      </c>
      <c r="GG88" s="16" t="e">
        <f>((GH87+('Vacas e Bezerros'!#REF!-(GH87*0.64))/0.8)/1000)-'Vacas e Bezerros'!#REF!</f>
        <v>#REF!</v>
      </c>
      <c r="GH88" s="17" t="e">
        <f>-53.07 + (304.89 * (GG88)) + (90.79 *('Vacas e Bezerros'!#REF!-'Vacas e Bezerros'!#REF!)) - (3.13 * ('Vacas e Bezerros'!#REF!-'Vacas e Bezerros'!#REF!)^2)</f>
        <v>#REF!</v>
      </c>
      <c r="GJ88" s="16" t="e">
        <f>((GK87+('Vacas e Bezerros'!#REF!-(GK87*0.64))/0.8)/1000)-'Vacas e Bezerros'!#REF!</f>
        <v>#REF!</v>
      </c>
      <c r="GK88" s="17" t="e">
        <f>-53.07 + (304.89 * (GJ88)) + (90.79 *('Vacas e Bezerros'!#REF!-'Vacas e Bezerros'!#REF!)) - (3.13 * ('Vacas e Bezerros'!#REF!-'Vacas e Bezerros'!#REF!)^2)</f>
        <v>#REF!</v>
      </c>
      <c r="GM88" s="16" t="e">
        <f>((GN87+('Vacas e Bezerros'!#REF!-(GN87*0.64))/0.8)/1000)-'Vacas e Bezerros'!#REF!</f>
        <v>#REF!</v>
      </c>
      <c r="GN88" s="17" t="e">
        <f>-53.07 + (304.89 * (GM88)) + (90.79 *('Vacas e Bezerros'!#REF!-'Vacas e Bezerros'!#REF!)) - (3.13 * ('Vacas e Bezerros'!#REF!-'Vacas e Bezerros'!#REF!)^2)</f>
        <v>#REF!</v>
      </c>
    </row>
    <row r="89" spans="3:196" x14ac:dyDescent="0.25">
      <c r="C89" s="16">
        <f>(D88+('Vacas e Bezerros'!$AA$28-(D88*0.64))/0.8)/1000</f>
        <v>0.35719668016155687</v>
      </c>
      <c r="D89" s="17">
        <f>-53.07 + (304.89 * (C89-'Vacas e Bezerros'!$C$206)) + (90.79 *('Vacas e Bezerros'!$AA$22)) - (3.13 *('Vacas e Bezerros'!$AA$22)^2)</f>
        <v>165.01876457544017</v>
      </c>
      <c r="F89" s="16" t="e">
        <f>(G88+(Crescimento!#REF!-(G88*0.64))/0.8)/1000</f>
        <v>#REF!</v>
      </c>
      <c r="G89" s="17" t="e">
        <f>-53.07 + (304.89 * (F89)) + (90.79 *Crescimento!#REF!) - (3.13 * Crescimento!#REF!*Crescimento!#REF!)</f>
        <v>#REF!</v>
      </c>
      <c r="H89" s="1"/>
      <c r="I89" s="16" t="e">
        <f>(J88+(Crescimento!#REF!-(J88*0.64))/0.8)/1000</f>
        <v>#REF!</v>
      </c>
      <c r="J89" s="17" t="e">
        <f>-53.07 + (304.89 * (I89)) + (90.79 *Crescimento!#REF!) - (3.13 * Crescimento!#REF!*Crescimento!#REF!)</f>
        <v>#REF!</v>
      </c>
      <c r="L89" s="16" t="e">
        <f>(M88+(Crescimento!#REF!-(M88*0.64))/0.8)/1000</f>
        <v>#REF!</v>
      </c>
      <c r="M89" s="17" t="e">
        <f>-53.07 + (304.89 * (L89)) + (90.79 *Crescimento!#REF!) - (3.13 * Crescimento!#REF!*Crescimento!#REF!)</f>
        <v>#REF!</v>
      </c>
      <c r="O89" s="16" t="e">
        <f>(P88+(Crescimento!#REF!-(P88*0.64))/0.8)/1000</f>
        <v>#REF!</v>
      </c>
      <c r="P89" s="17" t="e">
        <f>-53.07 + (304.89 * (O89)) + (90.79 *Crescimento!#REF!) - (3.13 * Crescimento!#REF!*Crescimento!#REF!)</f>
        <v>#REF!</v>
      </c>
      <c r="R89" s="16" t="e">
        <f>(S88+(Crescimento!#REF!-(S88*0.64))/0.8)/1000</f>
        <v>#REF!</v>
      </c>
      <c r="S89" s="17" t="e">
        <f>-53.07 + (304.89 * (R89)) + (90.79 *Crescimento!#REF!) - (3.13 * Crescimento!#REF!*Crescimento!#REF!)</f>
        <v>#REF!</v>
      </c>
      <c r="U89" s="16" t="e">
        <f>(V88+(Crescimento!#REF!-(V88*0.64))/0.8)/1000</f>
        <v>#REF!</v>
      </c>
      <c r="V89" s="17" t="e">
        <f>-53.07 + (304.89 * (U89)) + (90.79 *Crescimento!#REF!) - (3.13 * Crescimento!#REF!*Crescimento!#REF!)</f>
        <v>#REF!</v>
      </c>
      <c r="X89" s="16" t="e">
        <f>(Y88+(Crescimento!#REF!-(Y88*0.64))/0.8)/1000</f>
        <v>#REF!</v>
      </c>
      <c r="Y89" s="17" t="e">
        <f>-53.07 + (304.89 * (X89)) + (90.79 *Crescimento!#REF!) - (3.13 * Crescimento!#REF!*Crescimento!#REF!)</f>
        <v>#REF!</v>
      </c>
      <c r="Z89" s="6"/>
      <c r="AA89" s="16" t="e">
        <f>(AB88+(Crescimento!#REF!-(AB88*0.64))/0.8)/1000</f>
        <v>#REF!</v>
      </c>
      <c r="AB89" s="17" t="e">
        <f>-53.07 + (304.89 * (AA89)) + (90.79 *Crescimento!#REF!) - (3.13 * Crescimento!#REF!*Crescimento!#REF!)</f>
        <v>#REF!</v>
      </c>
      <c r="AC89" s="6"/>
      <c r="AD89" s="16" t="e">
        <f>(AE88+(Crescimento!#REF!-(AE88*0.64))/0.8)/1000</f>
        <v>#REF!</v>
      </c>
      <c r="AE89" s="17" t="e">
        <f>-53.07 + (304.89 * (AD89)) + (90.79 *Crescimento!#REF!) - (3.13 * Crescimento!#REF!*Crescimento!#REF!)</f>
        <v>#REF!</v>
      </c>
      <c r="AF89" s="17"/>
      <c r="AG89" s="16" t="e">
        <f>(AH88+(Crescimento!#REF!-(AH88*0.64))/0.8)/1000</f>
        <v>#REF!</v>
      </c>
      <c r="AH89" s="17" t="e">
        <f>-53.07 + (304.89 * (AG89)) + (90.79 *Crescimento!#REF!) - (3.13 * Crescimento!#REF!*Crescimento!#REF!)</f>
        <v>#REF!</v>
      </c>
      <c r="AJ89" s="16" t="e">
        <f>(AK88+(Crescimento!#REF!-(AK88*0.64))/0.8)/1000</f>
        <v>#REF!</v>
      </c>
      <c r="AK89" s="17" t="e">
        <f>-53.07 + (304.89 * (AJ89)) + (90.79 *Crescimento!#REF!) - (3.13 * Crescimento!#REF!*Crescimento!#REF!)</f>
        <v>#REF!</v>
      </c>
      <c r="AM89" s="16" t="e">
        <f>(AN88+(Crescimento!#REF!-(AN88*0.64))/0.8)/1000</f>
        <v>#REF!</v>
      </c>
      <c r="AN89" s="17" t="e">
        <f>-53.07 + (304.89 * (AM89)) + (90.79 *Crescimento!#REF!) - (3.13 * Crescimento!#REF!*Crescimento!#REF!)</f>
        <v>#REF!</v>
      </c>
      <c r="AP89" s="16" t="e">
        <f>(AQ88+(Crescimento!#REF!-(AQ88*0.64))/0.8)/1000</f>
        <v>#REF!</v>
      </c>
      <c r="AQ89" s="17" t="e">
        <f>-53.07 + (304.89 * (AP89)) + (90.79 *Crescimento!#REF!) - (3.13 * Crescimento!#REF!*Crescimento!#REF!)</f>
        <v>#REF!</v>
      </c>
      <c r="AS89" s="16" t="e">
        <f>(AT88+(Crescimento!#REF!-(AT88*0.64))/0.8)/1000</f>
        <v>#REF!</v>
      </c>
      <c r="AT89" s="17" t="e">
        <f>-53.07 + (304.89 * (AS89)) + (90.79 *Crescimento!#REF!) - (3.13 * Crescimento!#REF!*Crescimento!#REF!)</f>
        <v>#REF!</v>
      </c>
      <c r="AV89" s="16" t="e">
        <f>(AW88+(Crescimento!#REF!-(AW88*0.64))/0.8)/1000</f>
        <v>#REF!</v>
      </c>
      <c r="AW89" s="17" t="e">
        <f>-53.07 + (304.89 * (AV89)) + (90.79 *Crescimento!#REF!) - (3.13 * Crescimento!#REF!*Crescimento!#REF!)</f>
        <v>#REF!</v>
      </c>
      <c r="AY89" s="21" t="e">
        <f>((AZ88+(Crescimento!#REF!-(AZ88*0.64))/0.8)/1000)-Crescimento!#REF!</f>
        <v>#REF!</v>
      </c>
      <c r="AZ89" s="22" t="e">
        <f>-53.07 + (304.89 * (AY89)) + (90.79 *(Crescimento!#REF!-Crescimento!#REF!)) - (3.13 * (Crescimento!#REF!-Crescimento!#REF!)^2)</f>
        <v>#REF!</v>
      </c>
      <c r="BA89" s="23"/>
      <c r="BB89" s="21" t="e">
        <f>((BC88+(Crescimento!#REF!-(BC88*0.64))/0.8)/1000)-Crescimento!#REF!</f>
        <v>#REF!</v>
      </c>
      <c r="BC89" s="22" t="e">
        <f>-53.07 + (304.89 * (BB89)) + (90.79 *(Crescimento!#REF!-Crescimento!#REF!)) - (3.13 * (Crescimento!#REF!-Crescimento!#REF!)^2)</f>
        <v>#REF!</v>
      </c>
      <c r="BD89" s="23"/>
      <c r="BE89" s="21" t="e">
        <f>((BF88+(Crescimento!#REF!-(BF88*0.64))/0.8)/1000)-Crescimento!#REF!</f>
        <v>#REF!</v>
      </c>
      <c r="BF89" s="22" t="e">
        <f>-53.07 + (304.89 * (BE89)) + (90.79 *(Crescimento!#REF!-Crescimento!#REF!)) - (3.13 * (Crescimento!#REF!-Crescimento!#REF!)^2)</f>
        <v>#REF!</v>
      </c>
      <c r="BG89" s="23"/>
      <c r="BH89" s="21" t="e">
        <f>((BI88+(Crescimento!#REF!-(BI88*0.64))/0.8)/1000)-Crescimento!#REF!</f>
        <v>#REF!</v>
      </c>
      <c r="BI89" s="22" t="e">
        <f>-53.07 + (304.89 * (BH89)) + (90.79 *(Crescimento!#REF!-Crescimento!#REF!)) - (3.13 * (Crescimento!#REF!-Crescimento!#REF!)^2)</f>
        <v>#REF!</v>
      </c>
      <c r="BJ89" s="23"/>
      <c r="BK89" s="21" t="e">
        <f>((BL88+(Crescimento!#REF!-(BL88*0.64))/0.8)/1000)-Crescimento!#REF!</f>
        <v>#REF!</v>
      </c>
      <c r="BL89" s="22" t="e">
        <f>-53.07 + (304.89 * (BK89)) + (90.79 *(Crescimento!#REF!-Crescimento!#REF!)) - (3.13 * (Crescimento!#REF!-Crescimento!#REF!)^2)</f>
        <v>#REF!</v>
      </c>
      <c r="BM89" s="23"/>
      <c r="BN89" s="21" t="e">
        <f>((BO88+(Crescimento!#REF!-(BO88*0.64))/0.8)/1000)-Crescimento!#REF!</f>
        <v>#REF!</v>
      </c>
      <c r="BO89" s="22" t="e">
        <f>-53.07 + (304.89 * (BN89)) + (90.79 *(Crescimento!#REF!-Crescimento!#REF!)) - (3.13 * (Crescimento!#REF!-Crescimento!#REF!)^2)</f>
        <v>#REF!</v>
      </c>
      <c r="BP89" s="23"/>
      <c r="BQ89" s="21" t="e">
        <f>((BR88+(Crescimento!#REF!-(BR88*0.64))/0.8)/1000)-Crescimento!#REF!</f>
        <v>#REF!</v>
      </c>
      <c r="BR89" s="22" t="e">
        <f>-53.07 + (304.89 * (BQ89)) + (90.79 *(Crescimento!#REF!-Crescimento!#REF!)) - (3.13 * (Crescimento!#REF!-Crescimento!#REF!)^2)</f>
        <v>#REF!</v>
      </c>
      <c r="BS89" s="23"/>
      <c r="BT89" s="21" t="e">
        <f>((BU88+(Crescimento!#REF!-(BU88*0.64))/0.8)/1000)-Crescimento!#REF!</f>
        <v>#REF!</v>
      </c>
      <c r="BU89" s="22" t="e">
        <f>-53.07 + (304.89 * (BT89)) + (90.79 *(Crescimento!#REF!-Crescimento!#REF!)) - (3.13 * (Crescimento!#REF!-Crescimento!#REF!)^2)</f>
        <v>#REF!</v>
      </c>
      <c r="BV89" s="23"/>
      <c r="BW89" s="21" t="e">
        <f>((BX88+(Crescimento!#REF!-(BX88*0.64))/0.8)/1000)-Crescimento!#REF!</f>
        <v>#REF!</v>
      </c>
      <c r="BX89" s="22" t="e">
        <f>-53.07 + (304.89 * (BW89)) + (90.79 *(Crescimento!#REF!-Crescimento!#REF!)) - (3.13 * (Crescimento!#REF!-Crescimento!#REF!)^2)</f>
        <v>#REF!</v>
      </c>
      <c r="BY89" s="23"/>
      <c r="BZ89" s="21" t="e">
        <f>((CA88+(Crescimento!#REF!-(CA88*0.64))/0.8)/1000)-Crescimento!#REF!</f>
        <v>#REF!</v>
      </c>
      <c r="CA89" s="22" t="e">
        <f>-53.07 + (304.89 * (BZ89)) + (90.79 *(Crescimento!#REF!-Crescimento!#REF!)) - (3.13 * (Crescimento!#REF!-Crescimento!#REF!)^2)</f>
        <v>#REF!</v>
      </c>
      <c r="CB89" s="23"/>
      <c r="CC89" s="21" t="e">
        <f>((CD88+(Crescimento!#REF!-(CD88*0.64))/0.8)/1000)-Crescimento!#REF!</f>
        <v>#REF!</v>
      </c>
      <c r="CD89" s="22" t="e">
        <f>-53.07 + (304.89 * (CC89)) + (90.79 *(Crescimento!#REF!-Crescimento!#REF!)) - (3.13 * (Crescimento!#REF!-Crescimento!#REF!)^2)</f>
        <v>#REF!</v>
      </c>
      <c r="CE89" s="23"/>
      <c r="CF89" s="21" t="e">
        <f>((CG88+(Crescimento!#REF!-(CG88*0.64))/0.8)/1000)-Crescimento!#REF!</f>
        <v>#REF!</v>
      </c>
      <c r="CG89" s="22" t="e">
        <f>-53.07 + (304.89 * (CF89)) + (90.79 *(Crescimento!#REF!-Crescimento!#REF!)) - (3.13 * (Crescimento!#REF!-Crescimento!#REF!)^2)</f>
        <v>#REF!</v>
      </c>
      <c r="CH89" s="23"/>
      <c r="CI89" s="21" t="e">
        <f>((CJ88+(Crescimento!#REF!-(CJ88*0.64))/0.8)/1000)-Crescimento!#REF!</f>
        <v>#REF!</v>
      </c>
      <c r="CJ89" s="22" t="e">
        <f>-53.07 + (304.89 * (CI89)) + (90.79 *(Crescimento!#REF!-Crescimento!#REF!)) - (3.13 * (Crescimento!#REF!-Crescimento!#REF!)^2)</f>
        <v>#REF!</v>
      </c>
      <c r="CK89" s="23"/>
      <c r="CL89" s="21" t="e">
        <f>((CM88+(Crescimento!#REF!-(CM88*0.64))/0.8)/1000)-Crescimento!#REF!</f>
        <v>#REF!</v>
      </c>
      <c r="CM89" s="22" t="e">
        <f>-53.07 + (304.89 * (CL89)) + (90.79 *(Crescimento!#REF!-Crescimento!#REF!)) - (3.13 * (Crescimento!#REF!-Crescimento!#REF!)^2)</f>
        <v>#REF!</v>
      </c>
      <c r="CN89" s="23"/>
      <c r="CO89" s="21" t="e">
        <f>((CP88+(Crescimento!#REF!-(CP88*0.64))/0.8)/1000)-Crescimento!#REF!</f>
        <v>#REF!</v>
      </c>
      <c r="CP89" s="22" t="e">
        <f>-53.07 + (304.89 * (CO89)) + (90.79 *(Crescimento!#REF!-Crescimento!#REF!)) - (3.13 * (Crescimento!#REF!-Crescimento!#REF!)^2)</f>
        <v>#REF!</v>
      </c>
      <c r="CQ89" s="23"/>
      <c r="CR89" s="21" t="e">
        <f>((CS88+(Crescimento!#REF!-(CS88*0.64))/0.8)/1000)-Crescimento!#REF!</f>
        <v>#REF!</v>
      </c>
      <c r="CS89" s="22" t="e">
        <f>-53.07 + (304.89 * (CR89)) + (90.79 *(Crescimento!#REF!-Crescimento!#REF!)) - (3.13 * (Crescimento!#REF!-Crescimento!#REF!)^2)</f>
        <v>#REF!</v>
      </c>
      <c r="CX89" s="16" t="e">
        <f>((CY88+(Crescimento!#REF!-(CY88*0.64))/0.8)/1000)-Crescimento!#REF!</f>
        <v>#REF!</v>
      </c>
      <c r="CY89" s="17" t="e">
        <f>-53.07 + (304.89 * (CX89)) + (90.79 *(Crescimento!#REF!-Crescimento!#REF!)) - (3.13 * (Crescimento!#REF!-Crescimento!#REF!)^2)</f>
        <v>#REF!</v>
      </c>
      <c r="DA89" s="16" t="e">
        <f>((DB88+(Crescimento!#REF!-(DB88*0.64))/0.8)/1000)-Crescimento!#REF!</f>
        <v>#REF!</v>
      </c>
      <c r="DB89" s="17" t="e">
        <f>-53.07 + (304.89 * (DA89)) + (90.79 *(Crescimento!#REF!-Crescimento!#REF!)) - (3.13 * (Crescimento!#REF!-Crescimento!#REF!)^2)</f>
        <v>#REF!</v>
      </c>
      <c r="DD89" s="16" t="e">
        <f>(DE88+(Crescimento!#REF!-(DE88*0.64))/0.8)/1000</f>
        <v>#REF!</v>
      </c>
      <c r="DE89" s="17" t="e">
        <f>-53.07 + (304.89 * (DD89)) + (90.79 *Crescimento!#REF!) - (3.13 * Crescimento!#REF!*Crescimento!#REF!)</f>
        <v>#REF!</v>
      </c>
      <c r="DG89" s="16" t="e">
        <f>((DH88+(Crescimento!#REF!-(DH88*0.64))/0.8)/1000)-Crescimento!#REF!</f>
        <v>#REF!</v>
      </c>
      <c r="DH89" s="17" t="e">
        <f>-53.07 + (304.89 * (DG89)) + (90.79 *(Crescimento!#REF!-Crescimento!#REF!)) - (3.13 * (Crescimento!#REF!-Crescimento!#REF!)^2)</f>
        <v>#REF!</v>
      </c>
      <c r="DJ89" s="16" t="e">
        <f>((DK88+(Crescimento!#REF!-(DK88*0.64))/0.8)/1000)-Crescimento!#REF!</f>
        <v>#REF!</v>
      </c>
      <c r="DK89" s="17" t="e">
        <f>-53.07 + (304.89 * (DJ89)) + (90.79 *(Crescimento!#REF!-Crescimento!#REF!)) - (3.13 * (Crescimento!#REF!-Crescimento!#REF!)^2)</f>
        <v>#REF!</v>
      </c>
      <c r="DM89" s="16" t="e">
        <f>((DN88+(Crescimento!#REF!-(DN88*0.64))/0.8)/1000)-Crescimento!#REF!</f>
        <v>#REF!</v>
      </c>
      <c r="DN89" s="17" t="e">
        <f>-53.07 + (304.89 * (DM89)) + (90.79 *(Crescimento!#REF!-Crescimento!#REF!)) - (3.13 * (Crescimento!#REF!-Crescimento!#REF!)^2)</f>
        <v>#REF!</v>
      </c>
      <c r="DP89" s="16" t="e">
        <f>(DQ88+(Crescimento!#REF!-(DQ88*0.64))/0.8)/1000</f>
        <v>#REF!</v>
      </c>
      <c r="DQ89" s="17" t="e">
        <f>-53.07 + (304.89 * (DP89)) + (90.79 *(Crescimento!#REF!-Crescimento!#REF!)) - (3.13 * (Crescimento!#REF!-Crescimento!#REF!)^2)</f>
        <v>#REF!</v>
      </c>
      <c r="DS89" s="16" t="e">
        <f>((DT88+(Crescimento!#REF!-(DT88*0.64))/0.8)/1000)-Crescimento!#REF!</f>
        <v>#REF!</v>
      </c>
      <c r="DT89" s="17" t="e">
        <f>-53.07 + (304.89 * (DS89)) + (90.79 *(Crescimento!#REF!-Crescimento!#REF!)) - (3.13 * (Crescimento!#REF!-Crescimento!#REF!)^2)</f>
        <v>#REF!</v>
      </c>
      <c r="DV89" s="16" t="e">
        <f>((DW88+(Crescimento!#REF!-(DW88*0.64))/0.8)/1000)-Crescimento!#REF!</f>
        <v>#REF!</v>
      </c>
      <c r="DW89" s="17" t="e">
        <f>-53.07 + (304.89 * (DV89)) + (90.79 *(Crescimento!#REF!-Crescimento!#REF!)) - (3.13 * (Crescimento!#REF!-Crescimento!#REF!)^2)</f>
        <v>#REF!</v>
      </c>
      <c r="DY89" s="16" t="e">
        <f>((DZ88+(Crescimento!#REF!-(DZ88*0.64))/0.8)/1000)-Crescimento!#REF!</f>
        <v>#REF!</v>
      </c>
      <c r="DZ89" s="17" t="e">
        <f>-53.07 + (304.89 * (DY89)) + (90.79 *(Crescimento!#REF!-Crescimento!#REF!)) - (3.13 * (Crescimento!#REF!-Crescimento!#REF!)^2)</f>
        <v>#REF!</v>
      </c>
      <c r="EB89" s="16" t="e">
        <f>((EC88+(Crescimento!#REF!-(EC88*0.64))/0.8)/1000)-Crescimento!#REF!</f>
        <v>#REF!</v>
      </c>
      <c r="EC89" s="17" t="e">
        <f>-53.07 + (304.89 * (EB89)) + (90.79 *(Crescimento!#REF!-Crescimento!#REF!)) - (3.13 * (Crescimento!#REF!-Crescimento!#REF!)^2)</f>
        <v>#REF!</v>
      </c>
      <c r="EE89" s="16" t="e">
        <f>((EF88+(Crescimento!#REF!-(EF88*0.64))/0.8)/1000)-Crescimento!#REF!</f>
        <v>#REF!</v>
      </c>
      <c r="EF89" s="17" t="e">
        <f>-53.07 + (304.89 * (EE89)) + (90.79 *(Crescimento!#REF!-Crescimento!#REF!)) - (3.13 * (Crescimento!#REF!-Crescimento!#REF!)^2)</f>
        <v>#REF!</v>
      </c>
      <c r="EH89" s="16" t="e">
        <f>((EI88+(Crescimento!#REF!-(EI88*0.64))/0.8)/1000)-Crescimento!#REF!</f>
        <v>#REF!</v>
      </c>
      <c r="EI89" s="17" t="e">
        <f>-53.07 + (304.89 * (EH89)) + (90.79 *(Crescimento!#REF!-Crescimento!#REF!)) - (3.13 * (Crescimento!#REF!-Crescimento!#REF!)^2)</f>
        <v>#REF!</v>
      </c>
      <c r="EK89" s="16" t="e">
        <f>((EL88+(Crescimento!#REF!-(EL88*0.64))/0.8)/1000)-Crescimento!#REF!</f>
        <v>#REF!</v>
      </c>
      <c r="EL89" s="17" t="e">
        <f>-53.07 + (304.89 * (EK89)) + (90.79 *(Crescimento!#REF!-Crescimento!#REF!)) - (3.13 * (Crescimento!#REF!-Crescimento!#REF!)^2)</f>
        <v>#REF!</v>
      </c>
      <c r="EN89" s="16" t="e">
        <f>((EO88+(Crescimento!#REF!-(EO88*0.64))/0.8)/1000)-Crescimento!#REF!</f>
        <v>#REF!</v>
      </c>
      <c r="EO89" s="17" t="e">
        <f>-53.07 + (304.89 * (EN89)) + (90.79 *(Crescimento!#REF!-Crescimento!#REF!)) - (3.13 * (Crescimento!#REF!-Crescimento!#REF!)^2)</f>
        <v>#REF!</v>
      </c>
      <c r="EQ89" s="16" t="e">
        <f>((ER88+(Crescimento!#REF!-(ER88*0.64))/0.8)/1000)-Crescimento!#REF!</f>
        <v>#REF!</v>
      </c>
      <c r="ER89" s="17" t="e">
        <f>-53.07 + (304.89 * (EQ89)) + (90.79 *(Crescimento!#REF!-Crescimento!#REF!)) - (3.13 * (Crescimento!#REF!-Crescimento!#REF!)^2)</f>
        <v>#REF!</v>
      </c>
      <c r="ET89" s="16" t="e">
        <f>((EU88+(Crescimento!#REF!-(EU88*0.64))/0.8)/1000)-Crescimento!#REF!</f>
        <v>#REF!</v>
      </c>
      <c r="EU89" s="17" t="e">
        <f>-53.07 + (304.89 * (ET89)) + (90.79 *(Crescimento!#REF!-Crescimento!#REF!)) - (3.13 * (Crescimento!#REF!-Crescimento!#REF!)^2)</f>
        <v>#REF!</v>
      </c>
      <c r="EW89" s="16" t="e">
        <f>((EX88+('Vacas e Bezerros'!#REF!-(EX88*0.64))/0.8)/1000)-'Vacas e Bezerros'!#REF!</f>
        <v>#REF!</v>
      </c>
      <c r="EX89" s="17" t="e">
        <f>-53.07 + (304.89 * (EW89)) + (90.79 *('Vacas e Bezerros'!#REF!-'Vacas e Bezerros'!#REF!)) - (3.13 * ('Vacas e Bezerros'!#REF!-'Vacas e Bezerros'!#REF!)^2)</f>
        <v>#REF!</v>
      </c>
      <c r="EZ89" s="16" t="e">
        <f>((FA88+('Vacas e Bezerros'!#REF!-(FA88*0.64))/0.8)/1000)-'Vacas e Bezerros'!#REF!</f>
        <v>#REF!</v>
      </c>
      <c r="FA89" s="17" t="e">
        <f>-53.07 + (304.89 * (EZ89)) + (90.79 *('Vacas e Bezerros'!#REF!-'Vacas e Bezerros'!#REF!)) - (3.13 * ('Vacas e Bezerros'!#REF!-'Vacas e Bezerros'!#REF!)^2)</f>
        <v>#REF!</v>
      </c>
      <c r="FC89" s="16" t="e">
        <f>((FD88+('Vacas e Bezerros'!#REF!-(FD88*0.64))/0.8)/1000)-'Vacas e Bezerros'!#REF!</f>
        <v>#REF!</v>
      </c>
      <c r="FD89" s="17" t="e">
        <f>-53.07 + (304.89 * (FC89)) + (90.79 *('Vacas e Bezerros'!#REF!-'Vacas e Bezerros'!#REF!)) - (3.13 * ('Vacas e Bezerros'!#REF!-'Vacas e Bezerros'!#REF!)^2)</f>
        <v>#REF!</v>
      </c>
      <c r="FF89" s="16" t="e">
        <f>((FG88+('Vacas e Bezerros'!#REF!-(FG88*0.64))/0.8)/1000)-'Vacas e Bezerros'!#REF!</f>
        <v>#REF!</v>
      </c>
      <c r="FG89" s="17" t="e">
        <f>-53.07 + (304.89 * (FF89)) + (90.79 *('Vacas e Bezerros'!#REF!-'Vacas e Bezerros'!#REF!)) - (3.13 * ('Vacas e Bezerros'!#REF!-'Vacas e Bezerros'!#REF!)^2)</f>
        <v>#REF!</v>
      </c>
      <c r="FI89" s="16" t="e">
        <f>((FJ88+('Vacas e Bezerros'!#REF!-(FJ88*0.64))/0.8)/1000)-'Vacas e Bezerros'!#REF!</f>
        <v>#REF!</v>
      </c>
      <c r="FJ89" s="17" t="e">
        <f>-53.07 + (304.89 * (FI89)) + (90.79 *('Vacas e Bezerros'!#REF!-'Vacas e Bezerros'!#REF!)) - (3.13 * ('Vacas e Bezerros'!#REF!-'Vacas e Bezerros'!#REF!)^2)</f>
        <v>#REF!</v>
      </c>
      <c r="FL89" s="16" t="e">
        <f>((FM88+('Vacas e Bezerros'!#REF!-(FM88*0.64))/0.8)/1000)-'Vacas e Bezerros'!#REF!</f>
        <v>#REF!</v>
      </c>
      <c r="FM89" s="17" t="e">
        <f>-53.07 + (304.89 * (FL89)) + (90.79 *('Vacas e Bezerros'!#REF!-'Vacas e Bezerros'!#REF!)) - (3.13 * ('Vacas e Bezerros'!#REF!-'Vacas e Bezerros'!#REF!)^2)</f>
        <v>#REF!</v>
      </c>
      <c r="FO89" s="16" t="e">
        <f>((FP88+('Vacas e Bezerros'!#REF!-(FP88*0.64))/0.8)/1000)-'Vacas e Bezerros'!#REF!</f>
        <v>#REF!</v>
      </c>
      <c r="FP89" s="17" t="e">
        <f>-53.07 + (304.89 * (FO89)) + (90.79 *('Vacas e Bezerros'!#REF!-'Vacas e Bezerros'!#REF!)) - (3.13 * ('Vacas e Bezerros'!#REF!-'Vacas e Bezerros'!#REF!)^2)</f>
        <v>#REF!</v>
      </c>
      <c r="FR89" s="16" t="e">
        <f>((FS88+('Vacas e Bezerros'!#REF!-(FS88*0.64))/0.8)/1000)-'Vacas e Bezerros'!#REF!</f>
        <v>#REF!</v>
      </c>
      <c r="FS89" s="17" t="e">
        <f>-53.07 + (304.89 * (FR89)) + (90.79 *('Vacas e Bezerros'!#REF!-'Vacas e Bezerros'!#REF!)) - (3.13 * ('Vacas e Bezerros'!#REF!-'Vacas e Bezerros'!#REF!)^2)</f>
        <v>#REF!</v>
      </c>
      <c r="FU89" s="16" t="e">
        <f>((FV88+('Vacas e Bezerros'!#REF!-(FV88*0.64))/0.8)/1000)-'Vacas e Bezerros'!#REF!</f>
        <v>#REF!</v>
      </c>
      <c r="FV89" s="17" t="e">
        <f>-53.07 + (304.89 * (FU89)) + (90.79 *('Vacas e Bezerros'!#REF!-'Vacas e Bezerros'!#REF!)) - (3.13 * ('Vacas e Bezerros'!#REF!-'Vacas e Bezerros'!#REF!)^2)</f>
        <v>#REF!</v>
      </c>
      <c r="FX89" s="16" t="e">
        <f>((FY88+('Vacas e Bezerros'!#REF!-(FY88*0.64))/0.8)/1000)-'Vacas e Bezerros'!#REF!</f>
        <v>#REF!</v>
      </c>
      <c r="FY89" s="17" t="e">
        <f>-53.07 + (304.89 * (FX89)) + (90.79 *('Vacas e Bezerros'!#REF!-'Vacas e Bezerros'!#REF!)) - (3.13 * ('Vacas e Bezerros'!#REF!-'Vacas e Bezerros'!#REF!)^2)</f>
        <v>#REF!</v>
      </c>
      <c r="GA89" s="16" t="e">
        <f>((GB88+('Vacas e Bezerros'!#REF!-(GB88*0.64))/0.8)/1000)-'Vacas e Bezerros'!#REF!</f>
        <v>#REF!</v>
      </c>
      <c r="GB89" s="17" t="e">
        <f>-53.07 + (304.89 * (GA89)) + (90.79 *('Vacas e Bezerros'!#REF!-'Vacas e Bezerros'!#REF!)) - (3.13 * ('Vacas e Bezerros'!#REF!-'Vacas e Bezerros'!#REF!)^2)</f>
        <v>#REF!</v>
      </c>
      <c r="GD89" s="16" t="e">
        <f>((GE88+('Vacas e Bezerros'!#REF!-(GE88*0.64))/0.8)/1000)-'Vacas e Bezerros'!#REF!</f>
        <v>#REF!</v>
      </c>
      <c r="GE89" s="17" t="e">
        <f>-53.07 + (304.89 * (GD89)) + (90.79 *('Vacas e Bezerros'!#REF!-'Vacas e Bezerros'!#REF!)) - (3.13 * ('Vacas e Bezerros'!#REF!-'Vacas e Bezerros'!#REF!)^2)</f>
        <v>#REF!</v>
      </c>
      <c r="GG89" s="16" t="e">
        <f>((GH88+('Vacas e Bezerros'!#REF!-(GH88*0.64))/0.8)/1000)-'Vacas e Bezerros'!#REF!</f>
        <v>#REF!</v>
      </c>
      <c r="GH89" s="17" t="e">
        <f>-53.07 + (304.89 * (GG89)) + (90.79 *('Vacas e Bezerros'!#REF!-'Vacas e Bezerros'!#REF!)) - (3.13 * ('Vacas e Bezerros'!#REF!-'Vacas e Bezerros'!#REF!)^2)</f>
        <v>#REF!</v>
      </c>
      <c r="GJ89" s="16" t="e">
        <f>((GK88+('Vacas e Bezerros'!#REF!-(GK88*0.64))/0.8)/1000)-'Vacas e Bezerros'!#REF!</f>
        <v>#REF!</v>
      </c>
      <c r="GK89" s="17" t="e">
        <f>-53.07 + (304.89 * (GJ89)) + (90.79 *('Vacas e Bezerros'!#REF!-'Vacas e Bezerros'!#REF!)) - (3.13 * ('Vacas e Bezerros'!#REF!-'Vacas e Bezerros'!#REF!)^2)</f>
        <v>#REF!</v>
      </c>
      <c r="GM89" s="16" t="e">
        <f>((GN88+('Vacas e Bezerros'!#REF!-(GN88*0.64))/0.8)/1000)-'Vacas e Bezerros'!#REF!</f>
        <v>#REF!</v>
      </c>
      <c r="GN89" s="17" t="e">
        <f>-53.07 + (304.89 * (GM89)) + (90.79 *('Vacas e Bezerros'!#REF!-'Vacas e Bezerros'!#REF!)) - (3.13 * ('Vacas e Bezerros'!#REF!-'Vacas e Bezerros'!#REF!)^2)</f>
        <v>#REF!</v>
      </c>
    </row>
    <row r="90" spans="3:196" x14ac:dyDescent="0.25">
      <c r="C90" s="16">
        <f>(D89+('Vacas e Bezerros'!$AA$28-(D89*0.64))/0.8)/1000</f>
        <v>0.35719668016155687</v>
      </c>
      <c r="D90" s="17">
        <f>-53.07 + (304.89 * (C90-'Vacas e Bezerros'!$C$206)) + (90.79 *('Vacas e Bezerros'!$AA$22)) - (3.13 *('Vacas e Bezerros'!$AA$22)^2)</f>
        <v>165.01876457544017</v>
      </c>
      <c r="F90" s="16" t="e">
        <f>(G89+(Crescimento!#REF!-(G89*0.64))/0.8)/1000</f>
        <v>#REF!</v>
      </c>
      <c r="G90" s="17" t="e">
        <f>-53.07 + (304.89 * (F90)) + (90.79 *Crescimento!#REF!) - (3.13 * Crescimento!#REF!*Crescimento!#REF!)</f>
        <v>#REF!</v>
      </c>
      <c r="H90" s="1"/>
      <c r="I90" s="16" t="e">
        <f>(J89+(Crescimento!#REF!-(J89*0.64))/0.8)/1000</f>
        <v>#REF!</v>
      </c>
      <c r="J90" s="17" t="e">
        <f>-53.07 + (304.89 * (I90)) + (90.79 *Crescimento!#REF!) - (3.13 * Crescimento!#REF!*Crescimento!#REF!)</f>
        <v>#REF!</v>
      </c>
      <c r="L90" s="16" t="e">
        <f>(M89+(Crescimento!#REF!-(M89*0.64))/0.8)/1000</f>
        <v>#REF!</v>
      </c>
      <c r="M90" s="17" t="e">
        <f>-53.07 + (304.89 * (L90)) + (90.79 *Crescimento!#REF!) - (3.13 * Crescimento!#REF!*Crescimento!#REF!)</f>
        <v>#REF!</v>
      </c>
      <c r="O90" s="16" t="e">
        <f>(P89+(Crescimento!#REF!-(P89*0.64))/0.8)/1000</f>
        <v>#REF!</v>
      </c>
      <c r="P90" s="17" t="e">
        <f>-53.07 + (304.89 * (O90)) + (90.79 *Crescimento!#REF!) - (3.13 * Crescimento!#REF!*Crescimento!#REF!)</f>
        <v>#REF!</v>
      </c>
      <c r="R90" s="16" t="e">
        <f>(S89+(Crescimento!#REF!-(S89*0.64))/0.8)/1000</f>
        <v>#REF!</v>
      </c>
      <c r="S90" s="17" t="e">
        <f>-53.07 + (304.89 * (R90)) + (90.79 *Crescimento!#REF!) - (3.13 * Crescimento!#REF!*Crescimento!#REF!)</f>
        <v>#REF!</v>
      </c>
      <c r="U90" s="16" t="e">
        <f>(V89+(Crescimento!#REF!-(V89*0.64))/0.8)/1000</f>
        <v>#REF!</v>
      </c>
      <c r="V90" s="17" t="e">
        <f>-53.07 + (304.89 * (U90)) + (90.79 *Crescimento!#REF!) - (3.13 * Crescimento!#REF!*Crescimento!#REF!)</f>
        <v>#REF!</v>
      </c>
      <c r="X90" s="16" t="e">
        <f>(Y89+(Crescimento!#REF!-(Y89*0.64))/0.8)/1000</f>
        <v>#REF!</v>
      </c>
      <c r="Y90" s="17" t="e">
        <f>-53.07 + (304.89 * (X90)) + (90.79 *Crescimento!#REF!) - (3.13 * Crescimento!#REF!*Crescimento!#REF!)</f>
        <v>#REF!</v>
      </c>
      <c r="Z90" s="6"/>
      <c r="AA90" s="16" t="e">
        <f>(AB89+(Crescimento!#REF!-(AB89*0.64))/0.8)/1000</f>
        <v>#REF!</v>
      </c>
      <c r="AB90" s="17" t="e">
        <f>-53.07 + (304.89 * (AA90)) + (90.79 *Crescimento!#REF!) - (3.13 * Crescimento!#REF!*Crescimento!#REF!)</f>
        <v>#REF!</v>
      </c>
      <c r="AC90" s="6"/>
      <c r="AD90" s="16" t="e">
        <f>(AE89+(Crescimento!#REF!-(AE89*0.64))/0.8)/1000</f>
        <v>#REF!</v>
      </c>
      <c r="AE90" s="17" t="e">
        <f>-53.07 + (304.89 * (AD90)) + (90.79 *Crescimento!#REF!) - (3.13 * Crescimento!#REF!*Crescimento!#REF!)</f>
        <v>#REF!</v>
      </c>
      <c r="AF90" s="17"/>
      <c r="AG90" s="16" t="e">
        <f>(AH89+(Crescimento!#REF!-(AH89*0.64))/0.8)/1000</f>
        <v>#REF!</v>
      </c>
      <c r="AH90" s="17" t="e">
        <f>-53.07 + (304.89 * (AG90)) + (90.79 *Crescimento!#REF!) - (3.13 * Crescimento!#REF!*Crescimento!#REF!)</f>
        <v>#REF!</v>
      </c>
      <c r="AJ90" s="16" t="e">
        <f>(AK89+(Crescimento!#REF!-(AK89*0.64))/0.8)/1000</f>
        <v>#REF!</v>
      </c>
      <c r="AK90" s="17" t="e">
        <f>-53.07 + (304.89 * (AJ90)) + (90.79 *Crescimento!#REF!) - (3.13 * Crescimento!#REF!*Crescimento!#REF!)</f>
        <v>#REF!</v>
      </c>
      <c r="AM90" s="16" t="e">
        <f>(AN89+(Crescimento!#REF!-(AN89*0.64))/0.8)/1000</f>
        <v>#REF!</v>
      </c>
      <c r="AN90" s="17" t="e">
        <f>-53.07 + (304.89 * (AM90)) + (90.79 *Crescimento!#REF!) - (3.13 * Crescimento!#REF!*Crescimento!#REF!)</f>
        <v>#REF!</v>
      </c>
      <c r="AP90" s="16" t="e">
        <f>(AQ89+(Crescimento!#REF!-(AQ89*0.64))/0.8)/1000</f>
        <v>#REF!</v>
      </c>
      <c r="AQ90" s="17" t="e">
        <f>-53.07 + (304.89 * (AP90)) + (90.79 *Crescimento!#REF!) - (3.13 * Crescimento!#REF!*Crescimento!#REF!)</f>
        <v>#REF!</v>
      </c>
      <c r="AS90" s="16" t="e">
        <f>(AT89+(Crescimento!#REF!-(AT89*0.64))/0.8)/1000</f>
        <v>#REF!</v>
      </c>
      <c r="AT90" s="17" t="e">
        <f>-53.07 + (304.89 * (AS90)) + (90.79 *Crescimento!#REF!) - (3.13 * Crescimento!#REF!*Crescimento!#REF!)</f>
        <v>#REF!</v>
      </c>
      <c r="AV90" s="16" t="e">
        <f>(AW89+(Crescimento!#REF!-(AW89*0.64))/0.8)/1000</f>
        <v>#REF!</v>
      </c>
      <c r="AW90" s="17" t="e">
        <f>-53.07 + (304.89 * (AV90)) + (90.79 *Crescimento!#REF!) - (3.13 * Crescimento!#REF!*Crescimento!#REF!)</f>
        <v>#REF!</v>
      </c>
      <c r="AY90" s="21" t="e">
        <f>((AZ89+(Crescimento!#REF!-(AZ89*0.64))/0.8)/1000)-Crescimento!#REF!</f>
        <v>#REF!</v>
      </c>
      <c r="AZ90" s="22" t="e">
        <f>-53.07 + (304.89 * (AY90)) + (90.79 *(Crescimento!#REF!-Crescimento!#REF!)) - (3.13 * (Crescimento!#REF!-Crescimento!#REF!)^2)</f>
        <v>#REF!</v>
      </c>
      <c r="BA90" s="23"/>
      <c r="BB90" s="21" t="e">
        <f>((BC89+(Crescimento!#REF!-(BC89*0.64))/0.8)/1000)-Crescimento!#REF!</f>
        <v>#REF!</v>
      </c>
      <c r="BC90" s="22" t="e">
        <f>-53.07 + (304.89 * (BB90)) + (90.79 *(Crescimento!#REF!-Crescimento!#REF!)) - (3.13 * (Crescimento!#REF!-Crescimento!#REF!)^2)</f>
        <v>#REF!</v>
      </c>
      <c r="BD90" s="23"/>
      <c r="BE90" s="21" t="e">
        <f>((BF89+(Crescimento!#REF!-(BF89*0.64))/0.8)/1000)-Crescimento!#REF!</f>
        <v>#REF!</v>
      </c>
      <c r="BF90" s="22" t="e">
        <f>-53.07 + (304.89 * (BE90)) + (90.79 *(Crescimento!#REF!-Crescimento!#REF!)) - (3.13 * (Crescimento!#REF!-Crescimento!#REF!)^2)</f>
        <v>#REF!</v>
      </c>
      <c r="BG90" s="23"/>
      <c r="BH90" s="21" t="e">
        <f>((BI89+(Crescimento!#REF!-(BI89*0.64))/0.8)/1000)-Crescimento!#REF!</f>
        <v>#REF!</v>
      </c>
      <c r="BI90" s="22" t="e">
        <f>-53.07 + (304.89 * (BH90)) + (90.79 *(Crescimento!#REF!-Crescimento!#REF!)) - (3.13 * (Crescimento!#REF!-Crescimento!#REF!)^2)</f>
        <v>#REF!</v>
      </c>
      <c r="BJ90" s="23"/>
      <c r="BK90" s="21" t="e">
        <f>((BL89+(Crescimento!#REF!-(BL89*0.64))/0.8)/1000)-Crescimento!#REF!</f>
        <v>#REF!</v>
      </c>
      <c r="BL90" s="22" t="e">
        <f>-53.07 + (304.89 * (BK90)) + (90.79 *(Crescimento!#REF!-Crescimento!#REF!)) - (3.13 * (Crescimento!#REF!-Crescimento!#REF!)^2)</f>
        <v>#REF!</v>
      </c>
      <c r="BM90" s="23"/>
      <c r="BN90" s="21" t="e">
        <f>((BO89+(Crescimento!#REF!-(BO89*0.64))/0.8)/1000)-Crescimento!#REF!</f>
        <v>#REF!</v>
      </c>
      <c r="BO90" s="22" t="e">
        <f>-53.07 + (304.89 * (BN90)) + (90.79 *(Crescimento!#REF!-Crescimento!#REF!)) - (3.13 * (Crescimento!#REF!-Crescimento!#REF!)^2)</f>
        <v>#REF!</v>
      </c>
      <c r="BP90" s="23"/>
      <c r="BQ90" s="21" t="e">
        <f>((BR89+(Crescimento!#REF!-(BR89*0.64))/0.8)/1000)-Crescimento!#REF!</f>
        <v>#REF!</v>
      </c>
      <c r="BR90" s="22" t="e">
        <f>-53.07 + (304.89 * (BQ90)) + (90.79 *(Crescimento!#REF!-Crescimento!#REF!)) - (3.13 * (Crescimento!#REF!-Crescimento!#REF!)^2)</f>
        <v>#REF!</v>
      </c>
      <c r="BS90" s="23"/>
      <c r="BT90" s="21" t="e">
        <f>((BU89+(Crescimento!#REF!-(BU89*0.64))/0.8)/1000)-Crescimento!#REF!</f>
        <v>#REF!</v>
      </c>
      <c r="BU90" s="22" t="e">
        <f>-53.07 + (304.89 * (BT90)) + (90.79 *(Crescimento!#REF!-Crescimento!#REF!)) - (3.13 * (Crescimento!#REF!-Crescimento!#REF!)^2)</f>
        <v>#REF!</v>
      </c>
      <c r="BV90" s="23"/>
      <c r="BW90" s="21" t="e">
        <f>((BX89+(Crescimento!#REF!-(BX89*0.64))/0.8)/1000)-Crescimento!#REF!</f>
        <v>#REF!</v>
      </c>
      <c r="BX90" s="22" t="e">
        <f>-53.07 + (304.89 * (BW90)) + (90.79 *(Crescimento!#REF!-Crescimento!#REF!)) - (3.13 * (Crescimento!#REF!-Crescimento!#REF!)^2)</f>
        <v>#REF!</v>
      </c>
      <c r="BY90" s="23"/>
      <c r="BZ90" s="21" t="e">
        <f>((CA89+(Crescimento!#REF!-(CA89*0.64))/0.8)/1000)-Crescimento!#REF!</f>
        <v>#REF!</v>
      </c>
      <c r="CA90" s="22" t="e">
        <f>-53.07 + (304.89 * (BZ90)) + (90.79 *(Crescimento!#REF!-Crescimento!#REF!)) - (3.13 * (Crescimento!#REF!-Crescimento!#REF!)^2)</f>
        <v>#REF!</v>
      </c>
      <c r="CB90" s="23"/>
      <c r="CC90" s="21" t="e">
        <f>((CD89+(Crescimento!#REF!-(CD89*0.64))/0.8)/1000)-Crescimento!#REF!</f>
        <v>#REF!</v>
      </c>
      <c r="CD90" s="22" t="e">
        <f>-53.07 + (304.89 * (CC90)) + (90.79 *(Crescimento!#REF!-Crescimento!#REF!)) - (3.13 * (Crescimento!#REF!-Crescimento!#REF!)^2)</f>
        <v>#REF!</v>
      </c>
      <c r="CE90" s="23"/>
      <c r="CF90" s="21" t="e">
        <f>((CG89+(Crescimento!#REF!-(CG89*0.64))/0.8)/1000)-Crescimento!#REF!</f>
        <v>#REF!</v>
      </c>
      <c r="CG90" s="22" t="e">
        <f>-53.07 + (304.89 * (CF90)) + (90.79 *(Crescimento!#REF!-Crescimento!#REF!)) - (3.13 * (Crescimento!#REF!-Crescimento!#REF!)^2)</f>
        <v>#REF!</v>
      </c>
      <c r="CH90" s="23"/>
      <c r="CI90" s="21" t="e">
        <f>((CJ89+(Crescimento!#REF!-(CJ89*0.64))/0.8)/1000)-Crescimento!#REF!</f>
        <v>#REF!</v>
      </c>
      <c r="CJ90" s="22" t="e">
        <f>-53.07 + (304.89 * (CI90)) + (90.79 *(Crescimento!#REF!-Crescimento!#REF!)) - (3.13 * (Crescimento!#REF!-Crescimento!#REF!)^2)</f>
        <v>#REF!</v>
      </c>
      <c r="CK90" s="23"/>
      <c r="CL90" s="21" t="e">
        <f>((CM89+(Crescimento!#REF!-(CM89*0.64))/0.8)/1000)-Crescimento!#REF!</f>
        <v>#REF!</v>
      </c>
      <c r="CM90" s="22" t="e">
        <f>-53.07 + (304.89 * (CL90)) + (90.79 *(Crescimento!#REF!-Crescimento!#REF!)) - (3.13 * (Crescimento!#REF!-Crescimento!#REF!)^2)</f>
        <v>#REF!</v>
      </c>
      <c r="CN90" s="23"/>
      <c r="CO90" s="21" t="e">
        <f>((CP89+(Crescimento!#REF!-(CP89*0.64))/0.8)/1000)-Crescimento!#REF!</f>
        <v>#REF!</v>
      </c>
      <c r="CP90" s="22" t="e">
        <f>-53.07 + (304.89 * (CO90)) + (90.79 *(Crescimento!#REF!-Crescimento!#REF!)) - (3.13 * (Crescimento!#REF!-Crescimento!#REF!)^2)</f>
        <v>#REF!</v>
      </c>
      <c r="CQ90" s="23"/>
      <c r="CR90" s="21" t="e">
        <f>((CS89+(Crescimento!#REF!-(CS89*0.64))/0.8)/1000)-Crescimento!#REF!</f>
        <v>#REF!</v>
      </c>
      <c r="CS90" s="22" t="e">
        <f>-53.07 + (304.89 * (CR90)) + (90.79 *(Crescimento!#REF!-Crescimento!#REF!)) - (3.13 * (Crescimento!#REF!-Crescimento!#REF!)^2)</f>
        <v>#REF!</v>
      </c>
      <c r="CX90" s="16" t="e">
        <f>((CY89+(Crescimento!#REF!-(CY89*0.64))/0.8)/1000)-Crescimento!#REF!</f>
        <v>#REF!</v>
      </c>
      <c r="CY90" s="17" t="e">
        <f>-53.07 + (304.89 * (CX90)) + (90.79 *(Crescimento!#REF!-Crescimento!#REF!)) - (3.13 * (Crescimento!#REF!-Crescimento!#REF!)^2)</f>
        <v>#REF!</v>
      </c>
      <c r="DA90" s="16" t="e">
        <f>((DB89+(Crescimento!#REF!-(DB89*0.64))/0.8)/1000)-Crescimento!#REF!</f>
        <v>#REF!</v>
      </c>
      <c r="DB90" s="17" t="e">
        <f>-53.07 + (304.89 * (DA90)) + (90.79 *(Crescimento!#REF!-Crescimento!#REF!)) - (3.13 * (Crescimento!#REF!-Crescimento!#REF!)^2)</f>
        <v>#REF!</v>
      </c>
      <c r="DD90" s="16" t="e">
        <f>(DE89+(Crescimento!#REF!-(DE89*0.64))/0.8)/1000</f>
        <v>#REF!</v>
      </c>
      <c r="DE90" s="17" t="e">
        <f>-53.07 + (304.89 * (DD90)) + (90.79 *Crescimento!#REF!) - (3.13 * Crescimento!#REF!*Crescimento!#REF!)</f>
        <v>#REF!</v>
      </c>
      <c r="DG90" s="16" t="e">
        <f>((DH89+(Crescimento!#REF!-(DH89*0.64))/0.8)/1000)-Crescimento!#REF!</f>
        <v>#REF!</v>
      </c>
      <c r="DH90" s="17" t="e">
        <f>-53.07 + (304.89 * (DG90)) + (90.79 *(Crescimento!#REF!-Crescimento!#REF!)) - (3.13 * (Crescimento!#REF!-Crescimento!#REF!)^2)</f>
        <v>#REF!</v>
      </c>
      <c r="DJ90" s="16" t="e">
        <f>((DK89+(Crescimento!#REF!-(DK89*0.64))/0.8)/1000)-Crescimento!#REF!</f>
        <v>#REF!</v>
      </c>
      <c r="DK90" s="17" t="e">
        <f>-53.07 + (304.89 * (DJ90)) + (90.79 *(Crescimento!#REF!-Crescimento!#REF!)) - (3.13 * (Crescimento!#REF!-Crescimento!#REF!)^2)</f>
        <v>#REF!</v>
      </c>
      <c r="DM90" s="16" t="e">
        <f>((DN89+(Crescimento!#REF!-(DN89*0.64))/0.8)/1000)-Crescimento!#REF!</f>
        <v>#REF!</v>
      </c>
      <c r="DN90" s="17" t="e">
        <f>-53.07 + (304.89 * (DM90)) + (90.79 *(Crescimento!#REF!-Crescimento!#REF!)) - (3.13 * (Crescimento!#REF!-Crescimento!#REF!)^2)</f>
        <v>#REF!</v>
      </c>
      <c r="DP90" s="16" t="e">
        <f>(DQ89+(Crescimento!#REF!-(DQ89*0.64))/0.8)/1000</f>
        <v>#REF!</v>
      </c>
      <c r="DQ90" s="17" t="e">
        <f>-53.07 + (304.89 * (DP90)) + (90.79 *(Crescimento!#REF!-Crescimento!#REF!)) - (3.13 * (Crescimento!#REF!-Crescimento!#REF!)^2)</f>
        <v>#REF!</v>
      </c>
      <c r="DS90" s="16" t="e">
        <f>((DT89+(Crescimento!#REF!-(DT89*0.64))/0.8)/1000)-Crescimento!#REF!</f>
        <v>#REF!</v>
      </c>
      <c r="DT90" s="17" t="e">
        <f>-53.07 + (304.89 * (DS90)) + (90.79 *(Crescimento!#REF!-Crescimento!#REF!)) - (3.13 * (Crescimento!#REF!-Crescimento!#REF!)^2)</f>
        <v>#REF!</v>
      </c>
      <c r="DV90" s="16" t="e">
        <f>((DW89+(Crescimento!#REF!-(DW89*0.64))/0.8)/1000)-Crescimento!#REF!</f>
        <v>#REF!</v>
      </c>
      <c r="DW90" s="17" t="e">
        <f>-53.07 + (304.89 * (DV90)) + (90.79 *(Crescimento!#REF!-Crescimento!#REF!)) - (3.13 * (Crescimento!#REF!-Crescimento!#REF!)^2)</f>
        <v>#REF!</v>
      </c>
      <c r="DY90" s="16" t="e">
        <f>((DZ89+(Crescimento!#REF!-(DZ89*0.64))/0.8)/1000)-Crescimento!#REF!</f>
        <v>#REF!</v>
      </c>
      <c r="DZ90" s="17" t="e">
        <f>-53.07 + (304.89 * (DY90)) + (90.79 *(Crescimento!#REF!-Crescimento!#REF!)) - (3.13 * (Crescimento!#REF!-Crescimento!#REF!)^2)</f>
        <v>#REF!</v>
      </c>
      <c r="EB90" s="16" t="e">
        <f>((EC89+(Crescimento!#REF!-(EC89*0.64))/0.8)/1000)-Crescimento!#REF!</f>
        <v>#REF!</v>
      </c>
      <c r="EC90" s="17" t="e">
        <f>-53.07 + (304.89 * (EB90)) + (90.79 *(Crescimento!#REF!-Crescimento!#REF!)) - (3.13 * (Crescimento!#REF!-Crescimento!#REF!)^2)</f>
        <v>#REF!</v>
      </c>
      <c r="EE90" s="16" t="e">
        <f>((EF89+(Crescimento!#REF!-(EF89*0.64))/0.8)/1000)-Crescimento!#REF!</f>
        <v>#REF!</v>
      </c>
      <c r="EF90" s="17" t="e">
        <f>-53.07 + (304.89 * (EE90)) + (90.79 *(Crescimento!#REF!-Crescimento!#REF!)) - (3.13 * (Crescimento!#REF!-Crescimento!#REF!)^2)</f>
        <v>#REF!</v>
      </c>
      <c r="EH90" s="16" t="e">
        <f>((EI89+(Crescimento!#REF!-(EI89*0.64))/0.8)/1000)-Crescimento!#REF!</f>
        <v>#REF!</v>
      </c>
      <c r="EI90" s="17" t="e">
        <f>-53.07 + (304.89 * (EH90)) + (90.79 *(Crescimento!#REF!-Crescimento!#REF!)) - (3.13 * (Crescimento!#REF!-Crescimento!#REF!)^2)</f>
        <v>#REF!</v>
      </c>
      <c r="EK90" s="16" t="e">
        <f>((EL89+(Crescimento!#REF!-(EL89*0.64))/0.8)/1000)-Crescimento!#REF!</f>
        <v>#REF!</v>
      </c>
      <c r="EL90" s="17" t="e">
        <f>-53.07 + (304.89 * (EK90)) + (90.79 *(Crescimento!#REF!-Crescimento!#REF!)) - (3.13 * (Crescimento!#REF!-Crescimento!#REF!)^2)</f>
        <v>#REF!</v>
      </c>
      <c r="EN90" s="16" t="e">
        <f>((EO89+(Crescimento!#REF!-(EO89*0.64))/0.8)/1000)-Crescimento!#REF!</f>
        <v>#REF!</v>
      </c>
      <c r="EO90" s="17" t="e">
        <f>-53.07 + (304.89 * (EN90)) + (90.79 *(Crescimento!#REF!-Crescimento!#REF!)) - (3.13 * (Crescimento!#REF!-Crescimento!#REF!)^2)</f>
        <v>#REF!</v>
      </c>
      <c r="EQ90" s="16" t="e">
        <f>((ER89+(Crescimento!#REF!-(ER89*0.64))/0.8)/1000)-Crescimento!#REF!</f>
        <v>#REF!</v>
      </c>
      <c r="ER90" s="17" t="e">
        <f>-53.07 + (304.89 * (EQ90)) + (90.79 *(Crescimento!#REF!-Crescimento!#REF!)) - (3.13 * (Crescimento!#REF!-Crescimento!#REF!)^2)</f>
        <v>#REF!</v>
      </c>
      <c r="ET90" s="16" t="e">
        <f>((EU89+(Crescimento!#REF!-(EU89*0.64))/0.8)/1000)-Crescimento!#REF!</f>
        <v>#REF!</v>
      </c>
      <c r="EU90" s="17" t="e">
        <f>-53.07 + (304.89 * (ET90)) + (90.79 *(Crescimento!#REF!-Crescimento!#REF!)) - (3.13 * (Crescimento!#REF!-Crescimento!#REF!)^2)</f>
        <v>#REF!</v>
      </c>
      <c r="EW90" s="16" t="e">
        <f>((EX89+('Vacas e Bezerros'!#REF!-(EX89*0.64))/0.8)/1000)-'Vacas e Bezerros'!#REF!</f>
        <v>#REF!</v>
      </c>
      <c r="EX90" s="17" t="e">
        <f>-53.07 + (304.89 * (EW90)) + (90.79 *('Vacas e Bezerros'!#REF!-'Vacas e Bezerros'!#REF!)) - (3.13 * ('Vacas e Bezerros'!#REF!-'Vacas e Bezerros'!#REF!)^2)</f>
        <v>#REF!</v>
      </c>
      <c r="EZ90" s="16" t="e">
        <f>((FA89+('Vacas e Bezerros'!#REF!-(FA89*0.64))/0.8)/1000)-'Vacas e Bezerros'!#REF!</f>
        <v>#REF!</v>
      </c>
      <c r="FA90" s="17" t="e">
        <f>-53.07 + (304.89 * (EZ90)) + (90.79 *('Vacas e Bezerros'!#REF!-'Vacas e Bezerros'!#REF!)) - (3.13 * ('Vacas e Bezerros'!#REF!-'Vacas e Bezerros'!#REF!)^2)</f>
        <v>#REF!</v>
      </c>
      <c r="FC90" s="16" t="e">
        <f>((FD89+('Vacas e Bezerros'!#REF!-(FD89*0.64))/0.8)/1000)-'Vacas e Bezerros'!#REF!</f>
        <v>#REF!</v>
      </c>
      <c r="FD90" s="17" t="e">
        <f>-53.07 + (304.89 * (FC90)) + (90.79 *('Vacas e Bezerros'!#REF!-'Vacas e Bezerros'!#REF!)) - (3.13 * ('Vacas e Bezerros'!#REF!-'Vacas e Bezerros'!#REF!)^2)</f>
        <v>#REF!</v>
      </c>
      <c r="FF90" s="16" t="e">
        <f>((FG89+('Vacas e Bezerros'!#REF!-(FG89*0.64))/0.8)/1000)-'Vacas e Bezerros'!#REF!</f>
        <v>#REF!</v>
      </c>
      <c r="FG90" s="17" t="e">
        <f>-53.07 + (304.89 * (FF90)) + (90.79 *('Vacas e Bezerros'!#REF!-'Vacas e Bezerros'!#REF!)) - (3.13 * ('Vacas e Bezerros'!#REF!-'Vacas e Bezerros'!#REF!)^2)</f>
        <v>#REF!</v>
      </c>
      <c r="FI90" s="16" t="e">
        <f>((FJ89+('Vacas e Bezerros'!#REF!-(FJ89*0.64))/0.8)/1000)-'Vacas e Bezerros'!#REF!</f>
        <v>#REF!</v>
      </c>
      <c r="FJ90" s="17" t="e">
        <f>-53.07 + (304.89 * (FI90)) + (90.79 *('Vacas e Bezerros'!#REF!-'Vacas e Bezerros'!#REF!)) - (3.13 * ('Vacas e Bezerros'!#REF!-'Vacas e Bezerros'!#REF!)^2)</f>
        <v>#REF!</v>
      </c>
      <c r="FL90" s="16" t="e">
        <f>((FM89+('Vacas e Bezerros'!#REF!-(FM89*0.64))/0.8)/1000)-'Vacas e Bezerros'!#REF!</f>
        <v>#REF!</v>
      </c>
      <c r="FM90" s="17" t="e">
        <f>-53.07 + (304.89 * (FL90)) + (90.79 *('Vacas e Bezerros'!#REF!-'Vacas e Bezerros'!#REF!)) - (3.13 * ('Vacas e Bezerros'!#REF!-'Vacas e Bezerros'!#REF!)^2)</f>
        <v>#REF!</v>
      </c>
      <c r="FO90" s="16" t="e">
        <f>((FP89+('Vacas e Bezerros'!#REF!-(FP89*0.64))/0.8)/1000)-'Vacas e Bezerros'!#REF!</f>
        <v>#REF!</v>
      </c>
      <c r="FP90" s="17" t="e">
        <f>-53.07 + (304.89 * (FO90)) + (90.79 *('Vacas e Bezerros'!#REF!-'Vacas e Bezerros'!#REF!)) - (3.13 * ('Vacas e Bezerros'!#REF!-'Vacas e Bezerros'!#REF!)^2)</f>
        <v>#REF!</v>
      </c>
      <c r="FR90" s="16" t="e">
        <f>((FS89+('Vacas e Bezerros'!#REF!-(FS89*0.64))/0.8)/1000)-'Vacas e Bezerros'!#REF!</f>
        <v>#REF!</v>
      </c>
      <c r="FS90" s="17" t="e">
        <f>-53.07 + (304.89 * (FR90)) + (90.79 *('Vacas e Bezerros'!#REF!-'Vacas e Bezerros'!#REF!)) - (3.13 * ('Vacas e Bezerros'!#REF!-'Vacas e Bezerros'!#REF!)^2)</f>
        <v>#REF!</v>
      </c>
      <c r="FU90" s="16" t="e">
        <f>((FV89+('Vacas e Bezerros'!#REF!-(FV89*0.64))/0.8)/1000)-'Vacas e Bezerros'!#REF!</f>
        <v>#REF!</v>
      </c>
      <c r="FV90" s="17" t="e">
        <f>-53.07 + (304.89 * (FU90)) + (90.79 *('Vacas e Bezerros'!#REF!-'Vacas e Bezerros'!#REF!)) - (3.13 * ('Vacas e Bezerros'!#REF!-'Vacas e Bezerros'!#REF!)^2)</f>
        <v>#REF!</v>
      </c>
      <c r="FX90" s="16" t="e">
        <f>((FY89+('Vacas e Bezerros'!#REF!-(FY89*0.64))/0.8)/1000)-'Vacas e Bezerros'!#REF!</f>
        <v>#REF!</v>
      </c>
      <c r="FY90" s="17" t="e">
        <f>-53.07 + (304.89 * (FX90)) + (90.79 *('Vacas e Bezerros'!#REF!-'Vacas e Bezerros'!#REF!)) - (3.13 * ('Vacas e Bezerros'!#REF!-'Vacas e Bezerros'!#REF!)^2)</f>
        <v>#REF!</v>
      </c>
      <c r="GA90" s="16" t="e">
        <f>((GB89+('Vacas e Bezerros'!#REF!-(GB89*0.64))/0.8)/1000)-'Vacas e Bezerros'!#REF!</f>
        <v>#REF!</v>
      </c>
      <c r="GB90" s="17" t="e">
        <f>-53.07 + (304.89 * (GA90)) + (90.79 *('Vacas e Bezerros'!#REF!-'Vacas e Bezerros'!#REF!)) - (3.13 * ('Vacas e Bezerros'!#REF!-'Vacas e Bezerros'!#REF!)^2)</f>
        <v>#REF!</v>
      </c>
      <c r="GD90" s="16" t="e">
        <f>((GE89+('Vacas e Bezerros'!#REF!-(GE89*0.64))/0.8)/1000)-'Vacas e Bezerros'!#REF!</f>
        <v>#REF!</v>
      </c>
      <c r="GE90" s="17" t="e">
        <f>-53.07 + (304.89 * (GD90)) + (90.79 *('Vacas e Bezerros'!#REF!-'Vacas e Bezerros'!#REF!)) - (3.13 * ('Vacas e Bezerros'!#REF!-'Vacas e Bezerros'!#REF!)^2)</f>
        <v>#REF!</v>
      </c>
      <c r="GG90" s="16" t="e">
        <f>((GH89+('Vacas e Bezerros'!#REF!-(GH89*0.64))/0.8)/1000)-'Vacas e Bezerros'!#REF!</f>
        <v>#REF!</v>
      </c>
      <c r="GH90" s="17" t="e">
        <f>-53.07 + (304.89 * (GG90)) + (90.79 *('Vacas e Bezerros'!#REF!-'Vacas e Bezerros'!#REF!)) - (3.13 * ('Vacas e Bezerros'!#REF!-'Vacas e Bezerros'!#REF!)^2)</f>
        <v>#REF!</v>
      </c>
      <c r="GJ90" s="16" t="e">
        <f>((GK89+('Vacas e Bezerros'!#REF!-(GK89*0.64))/0.8)/1000)-'Vacas e Bezerros'!#REF!</f>
        <v>#REF!</v>
      </c>
      <c r="GK90" s="17" t="e">
        <f>-53.07 + (304.89 * (GJ90)) + (90.79 *('Vacas e Bezerros'!#REF!-'Vacas e Bezerros'!#REF!)) - (3.13 * ('Vacas e Bezerros'!#REF!-'Vacas e Bezerros'!#REF!)^2)</f>
        <v>#REF!</v>
      </c>
      <c r="GM90" s="16" t="e">
        <f>((GN89+('Vacas e Bezerros'!#REF!-(GN89*0.64))/0.8)/1000)-'Vacas e Bezerros'!#REF!</f>
        <v>#REF!</v>
      </c>
      <c r="GN90" s="17" t="e">
        <f>-53.07 + (304.89 * (GM90)) + (90.79 *('Vacas e Bezerros'!#REF!-'Vacas e Bezerros'!#REF!)) - (3.13 * ('Vacas e Bezerros'!#REF!-'Vacas e Bezerros'!#REF!)^2)</f>
        <v>#REF!</v>
      </c>
    </row>
    <row r="91" spans="3:196" x14ac:dyDescent="0.25">
      <c r="C91" s="16">
        <f>(D90+('Vacas e Bezerros'!$AA$28-(D90*0.64))/0.8)/1000</f>
        <v>0.35719668016155687</v>
      </c>
      <c r="D91" s="17">
        <f>-53.07 + (304.89 * (C91-'Vacas e Bezerros'!$C$206)) + (90.79 *('Vacas e Bezerros'!$AA$22)) - (3.13 *('Vacas e Bezerros'!$AA$22)^2)</f>
        <v>165.01876457544017</v>
      </c>
      <c r="F91" s="16" t="e">
        <f>(G90+(Crescimento!#REF!-(G90*0.64))/0.8)/1000</f>
        <v>#REF!</v>
      </c>
      <c r="G91" s="17" t="e">
        <f>-53.07 + (304.89 * (F91)) + (90.79 *Crescimento!#REF!) - (3.13 * Crescimento!#REF!*Crescimento!#REF!)</f>
        <v>#REF!</v>
      </c>
      <c r="H91" s="1"/>
      <c r="I91" s="16" t="e">
        <f>(J90+(Crescimento!#REF!-(J90*0.64))/0.8)/1000</f>
        <v>#REF!</v>
      </c>
      <c r="J91" s="17" t="e">
        <f>-53.07 + (304.89 * (I91)) + (90.79 *Crescimento!#REF!) - (3.13 * Crescimento!#REF!*Crescimento!#REF!)</f>
        <v>#REF!</v>
      </c>
      <c r="L91" s="16" t="e">
        <f>(M90+(Crescimento!#REF!-(M90*0.64))/0.8)/1000</f>
        <v>#REF!</v>
      </c>
      <c r="M91" s="17" t="e">
        <f>-53.07 + (304.89 * (L91)) + (90.79 *Crescimento!#REF!) - (3.13 * Crescimento!#REF!*Crescimento!#REF!)</f>
        <v>#REF!</v>
      </c>
      <c r="O91" s="16" t="e">
        <f>(P90+(Crescimento!#REF!-(P90*0.64))/0.8)/1000</f>
        <v>#REF!</v>
      </c>
      <c r="P91" s="17" t="e">
        <f>-53.07 + (304.89 * (O91)) + (90.79 *Crescimento!#REF!) - (3.13 * Crescimento!#REF!*Crescimento!#REF!)</f>
        <v>#REF!</v>
      </c>
      <c r="R91" s="16" t="e">
        <f>(S90+(Crescimento!#REF!-(S90*0.64))/0.8)/1000</f>
        <v>#REF!</v>
      </c>
      <c r="S91" s="17" t="e">
        <f>-53.07 + (304.89 * (R91)) + (90.79 *Crescimento!#REF!) - (3.13 * Crescimento!#REF!*Crescimento!#REF!)</f>
        <v>#REF!</v>
      </c>
      <c r="U91" s="16" t="e">
        <f>(V90+(Crescimento!#REF!-(V90*0.64))/0.8)/1000</f>
        <v>#REF!</v>
      </c>
      <c r="V91" s="17" t="e">
        <f>-53.07 + (304.89 * (U91)) + (90.79 *Crescimento!#REF!) - (3.13 * Crescimento!#REF!*Crescimento!#REF!)</f>
        <v>#REF!</v>
      </c>
      <c r="X91" s="16" t="e">
        <f>(Y90+(Crescimento!#REF!-(Y90*0.64))/0.8)/1000</f>
        <v>#REF!</v>
      </c>
      <c r="Y91" s="17" t="e">
        <f>-53.07 + (304.89 * (X91)) + (90.79 *Crescimento!#REF!) - (3.13 * Crescimento!#REF!*Crescimento!#REF!)</f>
        <v>#REF!</v>
      </c>
      <c r="Z91" s="6"/>
      <c r="AA91" s="16" t="e">
        <f>(AB90+(Crescimento!#REF!-(AB90*0.64))/0.8)/1000</f>
        <v>#REF!</v>
      </c>
      <c r="AB91" s="17" t="e">
        <f>-53.07 + (304.89 * (AA91)) + (90.79 *Crescimento!#REF!) - (3.13 * Crescimento!#REF!*Crescimento!#REF!)</f>
        <v>#REF!</v>
      </c>
      <c r="AC91" s="6"/>
      <c r="AD91" s="16" t="e">
        <f>(AE90+(Crescimento!#REF!-(AE90*0.64))/0.8)/1000</f>
        <v>#REF!</v>
      </c>
      <c r="AE91" s="17" t="e">
        <f>-53.07 + (304.89 * (AD91)) + (90.79 *Crescimento!#REF!) - (3.13 * Crescimento!#REF!*Crescimento!#REF!)</f>
        <v>#REF!</v>
      </c>
      <c r="AF91" s="17"/>
      <c r="AG91" s="16" t="e">
        <f>(AH90+(Crescimento!#REF!-(AH90*0.64))/0.8)/1000</f>
        <v>#REF!</v>
      </c>
      <c r="AH91" s="17" t="e">
        <f>-53.07 + (304.89 * (AG91)) + (90.79 *Crescimento!#REF!) - (3.13 * Crescimento!#REF!*Crescimento!#REF!)</f>
        <v>#REF!</v>
      </c>
      <c r="AJ91" s="16" t="e">
        <f>(AK90+(Crescimento!#REF!-(AK90*0.64))/0.8)/1000</f>
        <v>#REF!</v>
      </c>
      <c r="AK91" s="17" t="e">
        <f>-53.07 + (304.89 * (AJ91)) + (90.79 *Crescimento!#REF!) - (3.13 * Crescimento!#REF!*Crescimento!#REF!)</f>
        <v>#REF!</v>
      </c>
      <c r="AM91" s="16" t="e">
        <f>(AN90+(Crescimento!#REF!-(AN90*0.64))/0.8)/1000</f>
        <v>#REF!</v>
      </c>
      <c r="AN91" s="17" t="e">
        <f>-53.07 + (304.89 * (AM91)) + (90.79 *Crescimento!#REF!) - (3.13 * Crescimento!#REF!*Crescimento!#REF!)</f>
        <v>#REF!</v>
      </c>
      <c r="AP91" s="16" t="e">
        <f>(AQ90+(Crescimento!#REF!-(AQ90*0.64))/0.8)/1000</f>
        <v>#REF!</v>
      </c>
      <c r="AQ91" s="17" t="e">
        <f>-53.07 + (304.89 * (AP91)) + (90.79 *Crescimento!#REF!) - (3.13 * Crescimento!#REF!*Crescimento!#REF!)</f>
        <v>#REF!</v>
      </c>
      <c r="AS91" s="16" t="e">
        <f>(AT90+(Crescimento!#REF!-(AT90*0.64))/0.8)/1000</f>
        <v>#REF!</v>
      </c>
      <c r="AT91" s="17" t="e">
        <f>-53.07 + (304.89 * (AS91)) + (90.79 *Crescimento!#REF!) - (3.13 * Crescimento!#REF!*Crescimento!#REF!)</f>
        <v>#REF!</v>
      </c>
      <c r="AV91" s="16" t="e">
        <f>(AW90+(Crescimento!#REF!-(AW90*0.64))/0.8)/1000</f>
        <v>#REF!</v>
      </c>
      <c r="AW91" s="17" t="e">
        <f>-53.07 + (304.89 * (AV91)) + (90.79 *Crescimento!#REF!) - (3.13 * Crescimento!#REF!*Crescimento!#REF!)</f>
        <v>#REF!</v>
      </c>
      <c r="AY91" s="21" t="e">
        <f>((AZ90+(Crescimento!#REF!-(AZ90*0.64))/0.8)/1000)-Crescimento!#REF!</f>
        <v>#REF!</v>
      </c>
      <c r="AZ91" s="22" t="e">
        <f>-53.07 + (304.89 * (AY91)) + (90.79 *(Crescimento!#REF!-Crescimento!#REF!)) - (3.13 * (Crescimento!#REF!-Crescimento!#REF!)^2)</f>
        <v>#REF!</v>
      </c>
      <c r="BA91" s="23"/>
      <c r="BB91" s="21" t="e">
        <f>((BC90+(Crescimento!#REF!-(BC90*0.64))/0.8)/1000)-Crescimento!#REF!</f>
        <v>#REF!</v>
      </c>
      <c r="BC91" s="22" t="e">
        <f>-53.07 + (304.89 * (BB91)) + (90.79 *(Crescimento!#REF!-Crescimento!#REF!)) - (3.13 * (Crescimento!#REF!-Crescimento!#REF!)^2)</f>
        <v>#REF!</v>
      </c>
      <c r="BD91" s="23"/>
      <c r="BE91" s="21" t="e">
        <f>((BF90+(Crescimento!#REF!-(BF90*0.64))/0.8)/1000)-Crescimento!#REF!</f>
        <v>#REF!</v>
      </c>
      <c r="BF91" s="22" t="e">
        <f>-53.07 + (304.89 * (BE91)) + (90.79 *(Crescimento!#REF!-Crescimento!#REF!)) - (3.13 * (Crescimento!#REF!-Crescimento!#REF!)^2)</f>
        <v>#REF!</v>
      </c>
      <c r="BG91" s="23"/>
      <c r="BH91" s="21" t="e">
        <f>((BI90+(Crescimento!#REF!-(BI90*0.64))/0.8)/1000)-Crescimento!#REF!</f>
        <v>#REF!</v>
      </c>
      <c r="BI91" s="22" t="e">
        <f>-53.07 + (304.89 * (BH91)) + (90.79 *(Crescimento!#REF!-Crescimento!#REF!)) - (3.13 * (Crescimento!#REF!-Crescimento!#REF!)^2)</f>
        <v>#REF!</v>
      </c>
      <c r="BJ91" s="23"/>
      <c r="BK91" s="21" t="e">
        <f>((BL90+(Crescimento!#REF!-(BL90*0.64))/0.8)/1000)-Crescimento!#REF!</f>
        <v>#REF!</v>
      </c>
      <c r="BL91" s="22" t="e">
        <f>-53.07 + (304.89 * (BK91)) + (90.79 *(Crescimento!#REF!-Crescimento!#REF!)) - (3.13 * (Crescimento!#REF!-Crescimento!#REF!)^2)</f>
        <v>#REF!</v>
      </c>
      <c r="BM91" s="23"/>
      <c r="BN91" s="21" t="e">
        <f>((BO90+(Crescimento!#REF!-(BO90*0.64))/0.8)/1000)-Crescimento!#REF!</f>
        <v>#REF!</v>
      </c>
      <c r="BO91" s="22" t="e">
        <f>-53.07 + (304.89 * (BN91)) + (90.79 *(Crescimento!#REF!-Crescimento!#REF!)) - (3.13 * (Crescimento!#REF!-Crescimento!#REF!)^2)</f>
        <v>#REF!</v>
      </c>
      <c r="BP91" s="23"/>
      <c r="BQ91" s="21" t="e">
        <f>((BR90+(Crescimento!#REF!-(BR90*0.64))/0.8)/1000)-Crescimento!#REF!</f>
        <v>#REF!</v>
      </c>
      <c r="BR91" s="22" t="e">
        <f>-53.07 + (304.89 * (BQ91)) + (90.79 *(Crescimento!#REF!-Crescimento!#REF!)) - (3.13 * (Crescimento!#REF!-Crescimento!#REF!)^2)</f>
        <v>#REF!</v>
      </c>
      <c r="BS91" s="23"/>
      <c r="BT91" s="21" t="e">
        <f>((BU90+(Crescimento!#REF!-(BU90*0.64))/0.8)/1000)-Crescimento!#REF!</f>
        <v>#REF!</v>
      </c>
      <c r="BU91" s="22" t="e">
        <f>-53.07 + (304.89 * (BT91)) + (90.79 *(Crescimento!#REF!-Crescimento!#REF!)) - (3.13 * (Crescimento!#REF!-Crescimento!#REF!)^2)</f>
        <v>#REF!</v>
      </c>
      <c r="BV91" s="23"/>
      <c r="BW91" s="21" t="e">
        <f>((BX90+(Crescimento!#REF!-(BX90*0.64))/0.8)/1000)-Crescimento!#REF!</f>
        <v>#REF!</v>
      </c>
      <c r="BX91" s="22" t="e">
        <f>-53.07 + (304.89 * (BW91)) + (90.79 *(Crescimento!#REF!-Crescimento!#REF!)) - (3.13 * (Crescimento!#REF!-Crescimento!#REF!)^2)</f>
        <v>#REF!</v>
      </c>
      <c r="BY91" s="23"/>
      <c r="BZ91" s="21" t="e">
        <f>((CA90+(Crescimento!#REF!-(CA90*0.64))/0.8)/1000)-Crescimento!#REF!</f>
        <v>#REF!</v>
      </c>
      <c r="CA91" s="22" t="e">
        <f>-53.07 + (304.89 * (BZ91)) + (90.79 *(Crescimento!#REF!-Crescimento!#REF!)) - (3.13 * (Crescimento!#REF!-Crescimento!#REF!)^2)</f>
        <v>#REF!</v>
      </c>
      <c r="CB91" s="23"/>
      <c r="CC91" s="21" t="e">
        <f>((CD90+(Crescimento!#REF!-(CD90*0.64))/0.8)/1000)-Crescimento!#REF!</f>
        <v>#REF!</v>
      </c>
      <c r="CD91" s="22" t="e">
        <f>-53.07 + (304.89 * (CC91)) + (90.79 *(Crescimento!#REF!-Crescimento!#REF!)) - (3.13 * (Crescimento!#REF!-Crescimento!#REF!)^2)</f>
        <v>#REF!</v>
      </c>
      <c r="CE91" s="23"/>
      <c r="CF91" s="21" t="e">
        <f>((CG90+(Crescimento!#REF!-(CG90*0.64))/0.8)/1000)-Crescimento!#REF!</f>
        <v>#REF!</v>
      </c>
      <c r="CG91" s="22" t="e">
        <f>-53.07 + (304.89 * (CF91)) + (90.79 *(Crescimento!#REF!-Crescimento!#REF!)) - (3.13 * (Crescimento!#REF!-Crescimento!#REF!)^2)</f>
        <v>#REF!</v>
      </c>
      <c r="CH91" s="23"/>
      <c r="CI91" s="21" t="e">
        <f>((CJ90+(Crescimento!#REF!-(CJ90*0.64))/0.8)/1000)-Crescimento!#REF!</f>
        <v>#REF!</v>
      </c>
      <c r="CJ91" s="22" t="e">
        <f>-53.07 + (304.89 * (CI91)) + (90.79 *(Crescimento!#REF!-Crescimento!#REF!)) - (3.13 * (Crescimento!#REF!-Crescimento!#REF!)^2)</f>
        <v>#REF!</v>
      </c>
      <c r="CK91" s="23"/>
      <c r="CL91" s="21" t="e">
        <f>((CM90+(Crescimento!#REF!-(CM90*0.64))/0.8)/1000)-Crescimento!#REF!</f>
        <v>#REF!</v>
      </c>
      <c r="CM91" s="22" t="e">
        <f>-53.07 + (304.89 * (CL91)) + (90.79 *(Crescimento!#REF!-Crescimento!#REF!)) - (3.13 * (Crescimento!#REF!-Crescimento!#REF!)^2)</f>
        <v>#REF!</v>
      </c>
      <c r="CN91" s="23"/>
      <c r="CO91" s="21" t="e">
        <f>((CP90+(Crescimento!#REF!-(CP90*0.64))/0.8)/1000)-Crescimento!#REF!</f>
        <v>#REF!</v>
      </c>
      <c r="CP91" s="22" t="e">
        <f>-53.07 + (304.89 * (CO91)) + (90.79 *(Crescimento!#REF!-Crescimento!#REF!)) - (3.13 * (Crescimento!#REF!-Crescimento!#REF!)^2)</f>
        <v>#REF!</v>
      </c>
      <c r="CQ91" s="23"/>
      <c r="CR91" s="21" t="e">
        <f>((CS90+(Crescimento!#REF!-(CS90*0.64))/0.8)/1000)-Crescimento!#REF!</f>
        <v>#REF!</v>
      </c>
      <c r="CS91" s="22" t="e">
        <f>-53.07 + (304.89 * (CR91)) + (90.79 *(Crescimento!#REF!-Crescimento!#REF!)) - (3.13 * (Crescimento!#REF!-Crescimento!#REF!)^2)</f>
        <v>#REF!</v>
      </c>
      <c r="CX91" s="16" t="e">
        <f>((CY90+(Crescimento!#REF!-(CY90*0.64))/0.8)/1000)-Crescimento!#REF!</f>
        <v>#REF!</v>
      </c>
      <c r="CY91" s="17" t="e">
        <f>-53.07 + (304.89 * (CX91)) + (90.79 *(Crescimento!#REF!-Crescimento!#REF!)) - (3.13 * (Crescimento!#REF!-Crescimento!#REF!)^2)</f>
        <v>#REF!</v>
      </c>
      <c r="DA91" s="16" t="e">
        <f>((DB90+(Crescimento!#REF!-(DB90*0.64))/0.8)/1000)-Crescimento!#REF!</f>
        <v>#REF!</v>
      </c>
      <c r="DB91" s="17" t="e">
        <f>-53.07 + (304.89 * (DA91)) + (90.79 *(Crescimento!#REF!-Crescimento!#REF!)) - (3.13 * (Crescimento!#REF!-Crescimento!#REF!)^2)</f>
        <v>#REF!</v>
      </c>
      <c r="DD91" s="16" t="e">
        <f>(DE90+(Crescimento!#REF!-(DE90*0.64))/0.8)/1000</f>
        <v>#REF!</v>
      </c>
      <c r="DE91" s="17" t="e">
        <f>-53.07 + (304.89 * (DD91)) + (90.79 *Crescimento!#REF!) - (3.13 * Crescimento!#REF!*Crescimento!#REF!)</f>
        <v>#REF!</v>
      </c>
      <c r="DG91" s="16" t="e">
        <f>((DH90+(Crescimento!#REF!-(DH90*0.64))/0.8)/1000)-Crescimento!#REF!</f>
        <v>#REF!</v>
      </c>
      <c r="DH91" s="17" t="e">
        <f>-53.07 + (304.89 * (DG91)) + (90.79 *(Crescimento!#REF!-Crescimento!#REF!)) - (3.13 * (Crescimento!#REF!-Crescimento!#REF!)^2)</f>
        <v>#REF!</v>
      </c>
      <c r="DJ91" s="16" t="e">
        <f>((DK90+(Crescimento!#REF!-(DK90*0.64))/0.8)/1000)-Crescimento!#REF!</f>
        <v>#REF!</v>
      </c>
      <c r="DK91" s="17" t="e">
        <f>-53.07 + (304.89 * (DJ91)) + (90.79 *(Crescimento!#REF!-Crescimento!#REF!)) - (3.13 * (Crescimento!#REF!-Crescimento!#REF!)^2)</f>
        <v>#REF!</v>
      </c>
      <c r="DM91" s="16" t="e">
        <f>((DN90+(Crescimento!#REF!-(DN90*0.64))/0.8)/1000)-Crescimento!#REF!</f>
        <v>#REF!</v>
      </c>
      <c r="DN91" s="17" t="e">
        <f>-53.07 + (304.89 * (DM91)) + (90.79 *(Crescimento!#REF!-Crescimento!#REF!)) - (3.13 * (Crescimento!#REF!-Crescimento!#REF!)^2)</f>
        <v>#REF!</v>
      </c>
      <c r="DP91" s="16" t="e">
        <f>(DQ90+(Crescimento!#REF!-(DQ90*0.64))/0.8)/1000</f>
        <v>#REF!</v>
      </c>
      <c r="DQ91" s="17" t="e">
        <f>-53.07 + (304.89 * (DP91)) + (90.79 *(Crescimento!#REF!-Crescimento!#REF!)) - (3.13 * (Crescimento!#REF!-Crescimento!#REF!)^2)</f>
        <v>#REF!</v>
      </c>
      <c r="DS91" s="16" t="e">
        <f>((DT90+(Crescimento!#REF!-(DT90*0.64))/0.8)/1000)-Crescimento!#REF!</f>
        <v>#REF!</v>
      </c>
      <c r="DT91" s="17" t="e">
        <f>-53.07 + (304.89 * (DS91)) + (90.79 *(Crescimento!#REF!-Crescimento!#REF!)) - (3.13 * (Crescimento!#REF!-Crescimento!#REF!)^2)</f>
        <v>#REF!</v>
      </c>
      <c r="DV91" s="16" t="e">
        <f>((DW90+(Crescimento!#REF!-(DW90*0.64))/0.8)/1000)-Crescimento!#REF!</f>
        <v>#REF!</v>
      </c>
      <c r="DW91" s="17" t="e">
        <f>-53.07 + (304.89 * (DV91)) + (90.79 *(Crescimento!#REF!-Crescimento!#REF!)) - (3.13 * (Crescimento!#REF!-Crescimento!#REF!)^2)</f>
        <v>#REF!</v>
      </c>
      <c r="DY91" s="16" t="e">
        <f>((DZ90+(Crescimento!#REF!-(DZ90*0.64))/0.8)/1000)-Crescimento!#REF!</f>
        <v>#REF!</v>
      </c>
      <c r="DZ91" s="17" t="e">
        <f>-53.07 + (304.89 * (DY91)) + (90.79 *(Crescimento!#REF!-Crescimento!#REF!)) - (3.13 * (Crescimento!#REF!-Crescimento!#REF!)^2)</f>
        <v>#REF!</v>
      </c>
      <c r="EB91" s="16" t="e">
        <f>((EC90+(Crescimento!#REF!-(EC90*0.64))/0.8)/1000)-Crescimento!#REF!</f>
        <v>#REF!</v>
      </c>
      <c r="EC91" s="17" t="e">
        <f>-53.07 + (304.89 * (EB91)) + (90.79 *(Crescimento!#REF!-Crescimento!#REF!)) - (3.13 * (Crescimento!#REF!-Crescimento!#REF!)^2)</f>
        <v>#REF!</v>
      </c>
      <c r="EE91" s="16" t="e">
        <f>((EF90+(Crescimento!#REF!-(EF90*0.64))/0.8)/1000)-Crescimento!#REF!</f>
        <v>#REF!</v>
      </c>
      <c r="EF91" s="17" t="e">
        <f>-53.07 + (304.89 * (EE91)) + (90.79 *(Crescimento!#REF!-Crescimento!#REF!)) - (3.13 * (Crescimento!#REF!-Crescimento!#REF!)^2)</f>
        <v>#REF!</v>
      </c>
      <c r="EH91" s="16" t="e">
        <f>((EI90+(Crescimento!#REF!-(EI90*0.64))/0.8)/1000)-Crescimento!#REF!</f>
        <v>#REF!</v>
      </c>
      <c r="EI91" s="17" t="e">
        <f>-53.07 + (304.89 * (EH91)) + (90.79 *(Crescimento!#REF!-Crescimento!#REF!)) - (3.13 * (Crescimento!#REF!-Crescimento!#REF!)^2)</f>
        <v>#REF!</v>
      </c>
      <c r="EK91" s="16" t="e">
        <f>((EL90+(Crescimento!#REF!-(EL90*0.64))/0.8)/1000)-Crescimento!#REF!</f>
        <v>#REF!</v>
      </c>
      <c r="EL91" s="17" t="e">
        <f>-53.07 + (304.89 * (EK91)) + (90.79 *(Crescimento!#REF!-Crescimento!#REF!)) - (3.13 * (Crescimento!#REF!-Crescimento!#REF!)^2)</f>
        <v>#REF!</v>
      </c>
      <c r="EN91" s="16" t="e">
        <f>((EO90+(Crescimento!#REF!-(EO90*0.64))/0.8)/1000)-Crescimento!#REF!</f>
        <v>#REF!</v>
      </c>
      <c r="EO91" s="17" t="e">
        <f>-53.07 + (304.89 * (EN91)) + (90.79 *(Crescimento!#REF!-Crescimento!#REF!)) - (3.13 * (Crescimento!#REF!-Crescimento!#REF!)^2)</f>
        <v>#REF!</v>
      </c>
      <c r="EQ91" s="16" t="e">
        <f>((ER90+(Crescimento!#REF!-(ER90*0.64))/0.8)/1000)-Crescimento!#REF!</f>
        <v>#REF!</v>
      </c>
      <c r="ER91" s="17" t="e">
        <f>-53.07 + (304.89 * (EQ91)) + (90.79 *(Crescimento!#REF!-Crescimento!#REF!)) - (3.13 * (Crescimento!#REF!-Crescimento!#REF!)^2)</f>
        <v>#REF!</v>
      </c>
      <c r="ET91" s="16" t="e">
        <f>((EU90+(Crescimento!#REF!-(EU90*0.64))/0.8)/1000)-Crescimento!#REF!</f>
        <v>#REF!</v>
      </c>
      <c r="EU91" s="17" t="e">
        <f>-53.07 + (304.89 * (ET91)) + (90.79 *(Crescimento!#REF!-Crescimento!#REF!)) - (3.13 * (Crescimento!#REF!-Crescimento!#REF!)^2)</f>
        <v>#REF!</v>
      </c>
      <c r="EW91" s="16" t="e">
        <f>((EX90+('Vacas e Bezerros'!#REF!-(EX90*0.64))/0.8)/1000)-'Vacas e Bezerros'!#REF!</f>
        <v>#REF!</v>
      </c>
      <c r="EX91" s="17" t="e">
        <f>-53.07 + (304.89 * (EW91)) + (90.79 *('Vacas e Bezerros'!#REF!-'Vacas e Bezerros'!#REF!)) - (3.13 * ('Vacas e Bezerros'!#REF!-'Vacas e Bezerros'!#REF!)^2)</f>
        <v>#REF!</v>
      </c>
      <c r="EZ91" s="16" t="e">
        <f>((FA90+('Vacas e Bezerros'!#REF!-(FA90*0.64))/0.8)/1000)-'Vacas e Bezerros'!#REF!</f>
        <v>#REF!</v>
      </c>
      <c r="FA91" s="17" t="e">
        <f>-53.07 + (304.89 * (EZ91)) + (90.79 *('Vacas e Bezerros'!#REF!-'Vacas e Bezerros'!#REF!)) - (3.13 * ('Vacas e Bezerros'!#REF!-'Vacas e Bezerros'!#REF!)^2)</f>
        <v>#REF!</v>
      </c>
      <c r="FC91" s="16" t="e">
        <f>((FD90+('Vacas e Bezerros'!#REF!-(FD90*0.64))/0.8)/1000)-'Vacas e Bezerros'!#REF!</f>
        <v>#REF!</v>
      </c>
      <c r="FD91" s="17" t="e">
        <f>-53.07 + (304.89 * (FC91)) + (90.79 *('Vacas e Bezerros'!#REF!-'Vacas e Bezerros'!#REF!)) - (3.13 * ('Vacas e Bezerros'!#REF!-'Vacas e Bezerros'!#REF!)^2)</f>
        <v>#REF!</v>
      </c>
      <c r="FF91" s="16" t="e">
        <f>((FG90+('Vacas e Bezerros'!#REF!-(FG90*0.64))/0.8)/1000)-'Vacas e Bezerros'!#REF!</f>
        <v>#REF!</v>
      </c>
      <c r="FG91" s="17" t="e">
        <f>-53.07 + (304.89 * (FF91)) + (90.79 *('Vacas e Bezerros'!#REF!-'Vacas e Bezerros'!#REF!)) - (3.13 * ('Vacas e Bezerros'!#REF!-'Vacas e Bezerros'!#REF!)^2)</f>
        <v>#REF!</v>
      </c>
      <c r="FI91" s="16" t="e">
        <f>((FJ90+('Vacas e Bezerros'!#REF!-(FJ90*0.64))/0.8)/1000)-'Vacas e Bezerros'!#REF!</f>
        <v>#REF!</v>
      </c>
      <c r="FJ91" s="17" t="e">
        <f>-53.07 + (304.89 * (FI91)) + (90.79 *('Vacas e Bezerros'!#REF!-'Vacas e Bezerros'!#REF!)) - (3.13 * ('Vacas e Bezerros'!#REF!-'Vacas e Bezerros'!#REF!)^2)</f>
        <v>#REF!</v>
      </c>
      <c r="FL91" s="16" t="e">
        <f>((FM90+('Vacas e Bezerros'!#REF!-(FM90*0.64))/0.8)/1000)-'Vacas e Bezerros'!#REF!</f>
        <v>#REF!</v>
      </c>
      <c r="FM91" s="17" t="e">
        <f>-53.07 + (304.89 * (FL91)) + (90.79 *('Vacas e Bezerros'!#REF!-'Vacas e Bezerros'!#REF!)) - (3.13 * ('Vacas e Bezerros'!#REF!-'Vacas e Bezerros'!#REF!)^2)</f>
        <v>#REF!</v>
      </c>
      <c r="FO91" s="16" t="e">
        <f>((FP90+('Vacas e Bezerros'!#REF!-(FP90*0.64))/0.8)/1000)-'Vacas e Bezerros'!#REF!</f>
        <v>#REF!</v>
      </c>
      <c r="FP91" s="17" t="e">
        <f>-53.07 + (304.89 * (FO91)) + (90.79 *('Vacas e Bezerros'!#REF!-'Vacas e Bezerros'!#REF!)) - (3.13 * ('Vacas e Bezerros'!#REF!-'Vacas e Bezerros'!#REF!)^2)</f>
        <v>#REF!</v>
      </c>
      <c r="FR91" s="16" t="e">
        <f>((FS90+('Vacas e Bezerros'!#REF!-(FS90*0.64))/0.8)/1000)-'Vacas e Bezerros'!#REF!</f>
        <v>#REF!</v>
      </c>
      <c r="FS91" s="17" t="e">
        <f>-53.07 + (304.89 * (FR91)) + (90.79 *('Vacas e Bezerros'!#REF!-'Vacas e Bezerros'!#REF!)) - (3.13 * ('Vacas e Bezerros'!#REF!-'Vacas e Bezerros'!#REF!)^2)</f>
        <v>#REF!</v>
      </c>
      <c r="FU91" s="16" t="e">
        <f>((FV90+('Vacas e Bezerros'!#REF!-(FV90*0.64))/0.8)/1000)-'Vacas e Bezerros'!#REF!</f>
        <v>#REF!</v>
      </c>
      <c r="FV91" s="17" t="e">
        <f>-53.07 + (304.89 * (FU91)) + (90.79 *('Vacas e Bezerros'!#REF!-'Vacas e Bezerros'!#REF!)) - (3.13 * ('Vacas e Bezerros'!#REF!-'Vacas e Bezerros'!#REF!)^2)</f>
        <v>#REF!</v>
      </c>
      <c r="FX91" s="16" t="e">
        <f>((FY90+('Vacas e Bezerros'!#REF!-(FY90*0.64))/0.8)/1000)-'Vacas e Bezerros'!#REF!</f>
        <v>#REF!</v>
      </c>
      <c r="FY91" s="17" t="e">
        <f>-53.07 + (304.89 * (FX91)) + (90.79 *('Vacas e Bezerros'!#REF!-'Vacas e Bezerros'!#REF!)) - (3.13 * ('Vacas e Bezerros'!#REF!-'Vacas e Bezerros'!#REF!)^2)</f>
        <v>#REF!</v>
      </c>
      <c r="GA91" s="16" t="e">
        <f>((GB90+('Vacas e Bezerros'!#REF!-(GB90*0.64))/0.8)/1000)-'Vacas e Bezerros'!#REF!</f>
        <v>#REF!</v>
      </c>
      <c r="GB91" s="17" t="e">
        <f>-53.07 + (304.89 * (GA91)) + (90.79 *('Vacas e Bezerros'!#REF!-'Vacas e Bezerros'!#REF!)) - (3.13 * ('Vacas e Bezerros'!#REF!-'Vacas e Bezerros'!#REF!)^2)</f>
        <v>#REF!</v>
      </c>
      <c r="GD91" s="16" t="e">
        <f>((GE90+('Vacas e Bezerros'!#REF!-(GE90*0.64))/0.8)/1000)-'Vacas e Bezerros'!#REF!</f>
        <v>#REF!</v>
      </c>
      <c r="GE91" s="17" t="e">
        <f>-53.07 + (304.89 * (GD91)) + (90.79 *('Vacas e Bezerros'!#REF!-'Vacas e Bezerros'!#REF!)) - (3.13 * ('Vacas e Bezerros'!#REF!-'Vacas e Bezerros'!#REF!)^2)</f>
        <v>#REF!</v>
      </c>
      <c r="GG91" s="16" t="e">
        <f>((GH90+('Vacas e Bezerros'!#REF!-(GH90*0.64))/0.8)/1000)-'Vacas e Bezerros'!#REF!</f>
        <v>#REF!</v>
      </c>
      <c r="GH91" s="17" t="e">
        <f>-53.07 + (304.89 * (GG91)) + (90.79 *('Vacas e Bezerros'!#REF!-'Vacas e Bezerros'!#REF!)) - (3.13 * ('Vacas e Bezerros'!#REF!-'Vacas e Bezerros'!#REF!)^2)</f>
        <v>#REF!</v>
      </c>
      <c r="GJ91" s="16" t="e">
        <f>((GK90+('Vacas e Bezerros'!#REF!-(GK90*0.64))/0.8)/1000)-'Vacas e Bezerros'!#REF!</f>
        <v>#REF!</v>
      </c>
      <c r="GK91" s="17" t="e">
        <f>-53.07 + (304.89 * (GJ91)) + (90.79 *('Vacas e Bezerros'!#REF!-'Vacas e Bezerros'!#REF!)) - (3.13 * ('Vacas e Bezerros'!#REF!-'Vacas e Bezerros'!#REF!)^2)</f>
        <v>#REF!</v>
      </c>
      <c r="GM91" s="16" t="e">
        <f>((GN90+('Vacas e Bezerros'!#REF!-(GN90*0.64))/0.8)/1000)-'Vacas e Bezerros'!#REF!</f>
        <v>#REF!</v>
      </c>
      <c r="GN91" s="17" t="e">
        <f>-53.07 + (304.89 * (GM91)) + (90.79 *('Vacas e Bezerros'!#REF!-'Vacas e Bezerros'!#REF!)) - (3.13 * ('Vacas e Bezerros'!#REF!-'Vacas e Bezerros'!#REF!)^2)</f>
        <v>#REF!</v>
      </c>
    </row>
    <row r="92" spans="3:196" x14ac:dyDescent="0.25">
      <c r="C92" s="16">
        <f>(D91+('Vacas e Bezerros'!$AA$28-(D91*0.64))/0.8)/1000</f>
        <v>0.35719668016155687</v>
      </c>
      <c r="D92" s="17">
        <f>-53.07 + (304.89 * (C92-'Vacas e Bezerros'!$C$206)) + (90.79 *('Vacas e Bezerros'!$AA$22)) - (3.13 *('Vacas e Bezerros'!$AA$22)^2)</f>
        <v>165.01876457544017</v>
      </c>
      <c r="F92" s="16" t="e">
        <f>(G91+(Crescimento!#REF!-(G91*0.64))/0.8)/1000</f>
        <v>#REF!</v>
      </c>
      <c r="G92" s="17" t="e">
        <f>-53.07 + (304.89 * (F92)) + (90.79 *Crescimento!#REF!) - (3.13 * Crescimento!#REF!*Crescimento!#REF!)</f>
        <v>#REF!</v>
      </c>
      <c r="H92" s="1"/>
      <c r="I92" s="16" t="e">
        <f>(J91+(Crescimento!#REF!-(J91*0.64))/0.8)/1000</f>
        <v>#REF!</v>
      </c>
      <c r="J92" s="17" t="e">
        <f>-53.07 + (304.89 * (I92)) + (90.79 *Crescimento!#REF!) - (3.13 * Crescimento!#REF!*Crescimento!#REF!)</f>
        <v>#REF!</v>
      </c>
      <c r="L92" s="16" t="e">
        <f>(M91+(Crescimento!#REF!-(M91*0.64))/0.8)/1000</f>
        <v>#REF!</v>
      </c>
      <c r="M92" s="17" t="e">
        <f>-53.07 + (304.89 * (L92)) + (90.79 *Crescimento!#REF!) - (3.13 * Crescimento!#REF!*Crescimento!#REF!)</f>
        <v>#REF!</v>
      </c>
      <c r="O92" s="16" t="e">
        <f>(P91+(Crescimento!#REF!-(P91*0.64))/0.8)/1000</f>
        <v>#REF!</v>
      </c>
      <c r="P92" s="17" t="e">
        <f>-53.07 + (304.89 * (O92)) + (90.79 *Crescimento!#REF!) - (3.13 * Crescimento!#REF!*Crescimento!#REF!)</f>
        <v>#REF!</v>
      </c>
      <c r="R92" s="16" t="e">
        <f>(S91+(Crescimento!#REF!-(S91*0.64))/0.8)/1000</f>
        <v>#REF!</v>
      </c>
      <c r="S92" s="17" t="e">
        <f>-53.07 + (304.89 * (R92)) + (90.79 *Crescimento!#REF!) - (3.13 * Crescimento!#REF!*Crescimento!#REF!)</f>
        <v>#REF!</v>
      </c>
      <c r="U92" s="16" t="e">
        <f>(V91+(Crescimento!#REF!-(V91*0.64))/0.8)/1000</f>
        <v>#REF!</v>
      </c>
      <c r="V92" s="17" t="e">
        <f>-53.07 + (304.89 * (U92)) + (90.79 *Crescimento!#REF!) - (3.13 * Crescimento!#REF!*Crescimento!#REF!)</f>
        <v>#REF!</v>
      </c>
      <c r="X92" s="16" t="e">
        <f>(Y91+(Crescimento!#REF!-(Y91*0.64))/0.8)/1000</f>
        <v>#REF!</v>
      </c>
      <c r="Y92" s="17" t="e">
        <f>-53.07 + (304.89 * (X92)) + (90.79 *Crescimento!#REF!) - (3.13 * Crescimento!#REF!*Crescimento!#REF!)</f>
        <v>#REF!</v>
      </c>
      <c r="Z92" s="6"/>
      <c r="AA92" s="16" t="e">
        <f>(AB91+(Crescimento!#REF!-(AB91*0.64))/0.8)/1000</f>
        <v>#REF!</v>
      </c>
      <c r="AB92" s="17" t="e">
        <f>-53.07 + (304.89 * (AA92)) + (90.79 *Crescimento!#REF!) - (3.13 * Crescimento!#REF!*Crescimento!#REF!)</f>
        <v>#REF!</v>
      </c>
      <c r="AC92" s="6"/>
      <c r="AD92" s="16" t="e">
        <f>(AE91+(Crescimento!#REF!-(AE91*0.64))/0.8)/1000</f>
        <v>#REF!</v>
      </c>
      <c r="AE92" s="17" t="e">
        <f>-53.07 + (304.89 * (AD92)) + (90.79 *Crescimento!#REF!) - (3.13 * Crescimento!#REF!*Crescimento!#REF!)</f>
        <v>#REF!</v>
      </c>
      <c r="AF92" s="17"/>
      <c r="AG92" s="16" t="e">
        <f>(AH91+(Crescimento!#REF!-(AH91*0.64))/0.8)/1000</f>
        <v>#REF!</v>
      </c>
      <c r="AH92" s="17" t="e">
        <f>-53.07 + (304.89 * (AG92)) + (90.79 *Crescimento!#REF!) - (3.13 * Crescimento!#REF!*Crescimento!#REF!)</f>
        <v>#REF!</v>
      </c>
      <c r="AJ92" s="16" t="e">
        <f>(AK91+(Crescimento!#REF!-(AK91*0.64))/0.8)/1000</f>
        <v>#REF!</v>
      </c>
      <c r="AK92" s="17" t="e">
        <f>-53.07 + (304.89 * (AJ92)) + (90.79 *Crescimento!#REF!) - (3.13 * Crescimento!#REF!*Crescimento!#REF!)</f>
        <v>#REF!</v>
      </c>
      <c r="AM92" s="16" t="e">
        <f>(AN91+(Crescimento!#REF!-(AN91*0.64))/0.8)/1000</f>
        <v>#REF!</v>
      </c>
      <c r="AN92" s="17" t="e">
        <f>-53.07 + (304.89 * (AM92)) + (90.79 *Crescimento!#REF!) - (3.13 * Crescimento!#REF!*Crescimento!#REF!)</f>
        <v>#REF!</v>
      </c>
      <c r="AP92" s="16" t="e">
        <f>(AQ91+(Crescimento!#REF!-(AQ91*0.64))/0.8)/1000</f>
        <v>#REF!</v>
      </c>
      <c r="AQ92" s="17" t="e">
        <f>-53.07 + (304.89 * (AP92)) + (90.79 *Crescimento!#REF!) - (3.13 * Crescimento!#REF!*Crescimento!#REF!)</f>
        <v>#REF!</v>
      </c>
      <c r="AS92" s="16" t="e">
        <f>(AT91+(Crescimento!#REF!-(AT91*0.64))/0.8)/1000</f>
        <v>#REF!</v>
      </c>
      <c r="AT92" s="17" t="e">
        <f>-53.07 + (304.89 * (AS92)) + (90.79 *Crescimento!#REF!) - (3.13 * Crescimento!#REF!*Crescimento!#REF!)</f>
        <v>#REF!</v>
      </c>
      <c r="AV92" s="16" t="e">
        <f>(AW91+(Crescimento!#REF!-(AW91*0.64))/0.8)/1000</f>
        <v>#REF!</v>
      </c>
      <c r="AW92" s="17" t="e">
        <f>-53.07 + (304.89 * (AV92)) + (90.79 *Crescimento!#REF!) - (3.13 * Crescimento!#REF!*Crescimento!#REF!)</f>
        <v>#REF!</v>
      </c>
      <c r="AY92" s="21" t="e">
        <f>((AZ91+(Crescimento!#REF!-(AZ91*0.64))/0.8)/1000)-Crescimento!#REF!</f>
        <v>#REF!</v>
      </c>
      <c r="AZ92" s="22" t="e">
        <f>-53.07 + (304.89 * (AY92)) + (90.79 *(Crescimento!#REF!-Crescimento!#REF!)) - (3.13 * (Crescimento!#REF!-Crescimento!#REF!)^2)</f>
        <v>#REF!</v>
      </c>
      <c r="BA92" s="23"/>
      <c r="BB92" s="21" t="e">
        <f>((BC91+(Crescimento!#REF!-(BC91*0.64))/0.8)/1000)-Crescimento!#REF!</f>
        <v>#REF!</v>
      </c>
      <c r="BC92" s="22" t="e">
        <f>-53.07 + (304.89 * (BB92)) + (90.79 *(Crescimento!#REF!-Crescimento!#REF!)) - (3.13 * (Crescimento!#REF!-Crescimento!#REF!)^2)</f>
        <v>#REF!</v>
      </c>
      <c r="BD92" s="23"/>
      <c r="BE92" s="21" t="e">
        <f>((BF91+(Crescimento!#REF!-(BF91*0.64))/0.8)/1000)-Crescimento!#REF!</f>
        <v>#REF!</v>
      </c>
      <c r="BF92" s="22" t="e">
        <f>-53.07 + (304.89 * (BE92)) + (90.79 *(Crescimento!#REF!-Crescimento!#REF!)) - (3.13 * (Crescimento!#REF!-Crescimento!#REF!)^2)</f>
        <v>#REF!</v>
      </c>
      <c r="BG92" s="23"/>
      <c r="BH92" s="21" t="e">
        <f>((BI91+(Crescimento!#REF!-(BI91*0.64))/0.8)/1000)-Crescimento!#REF!</f>
        <v>#REF!</v>
      </c>
      <c r="BI92" s="22" t="e">
        <f>-53.07 + (304.89 * (BH92)) + (90.79 *(Crescimento!#REF!-Crescimento!#REF!)) - (3.13 * (Crescimento!#REF!-Crescimento!#REF!)^2)</f>
        <v>#REF!</v>
      </c>
      <c r="BJ92" s="23"/>
      <c r="BK92" s="21" t="e">
        <f>((BL91+(Crescimento!#REF!-(BL91*0.64))/0.8)/1000)-Crescimento!#REF!</f>
        <v>#REF!</v>
      </c>
      <c r="BL92" s="22" t="e">
        <f>-53.07 + (304.89 * (BK92)) + (90.79 *(Crescimento!#REF!-Crescimento!#REF!)) - (3.13 * (Crescimento!#REF!-Crescimento!#REF!)^2)</f>
        <v>#REF!</v>
      </c>
      <c r="BM92" s="23"/>
      <c r="BN92" s="21" t="e">
        <f>((BO91+(Crescimento!#REF!-(BO91*0.64))/0.8)/1000)-Crescimento!#REF!</f>
        <v>#REF!</v>
      </c>
      <c r="BO92" s="22" t="e">
        <f>-53.07 + (304.89 * (BN92)) + (90.79 *(Crescimento!#REF!-Crescimento!#REF!)) - (3.13 * (Crescimento!#REF!-Crescimento!#REF!)^2)</f>
        <v>#REF!</v>
      </c>
      <c r="BP92" s="23"/>
      <c r="BQ92" s="21" t="e">
        <f>((BR91+(Crescimento!#REF!-(BR91*0.64))/0.8)/1000)-Crescimento!#REF!</f>
        <v>#REF!</v>
      </c>
      <c r="BR92" s="22" t="e">
        <f>-53.07 + (304.89 * (BQ92)) + (90.79 *(Crescimento!#REF!-Crescimento!#REF!)) - (3.13 * (Crescimento!#REF!-Crescimento!#REF!)^2)</f>
        <v>#REF!</v>
      </c>
      <c r="BS92" s="23"/>
      <c r="BT92" s="21" t="e">
        <f>((BU91+(Crescimento!#REF!-(BU91*0.64))/0.8)/1000)-Crescimento!#REF!</f>
        <v>#REF!</v>
      </c>
      <c r="BU92" s="22" t="e">
        <f>-53.07 + (304.89 * (BT92)) + (90.79 *(Crescimento!#REF!-Crescimento!#REF!)) - (3.13 * (Crescimento!#REF!-Crescimento!#REF!)^2)</f>
        <v>#REF!</v>
      </c>
      <c r="BV92" s="23"/>
      <c r="BW92" s="21" t="e">
        <f>((BX91+(Crescimento!#REF!-(BX91*0.64))/0.8)/1000)-Crescimento!#REF!</f>
        <v>#REF!</v>
      </c>
      <c r="BX92" s="22" t="e">
        <f>-53.07 + (304.89 * (BW92)) + (90.79 *(Crescimento!#REF!-Crescimento!#REF!)) - (3.13 * (Crescimento!#REF!-Crescimento!#REF!)^2)</f>
        <v>#REF!</v>
      </c>
      <c r="BY92" s="23"/>
      <c r="BZ92" s="21" t="e">
        <f>((CA91+(Crescimento!#REF!-(CA91*0.64))/0.8)/1000)-Crescimento!#REF!</f>
        <v>#REF!</v>
      </c>
      <c r="CA92" s="22" t="e">
        <f>-53.07 + (304.89 * (BZ92)) + (90.79 *(Crescimento!#REF!-Crescimento!#REF!)) - (3.13 * (Crescimento!#REF!-Crescimento!#REF!)^2)</f>
        <v>#REF!</v>
      </c>
      <c r="CB92" s="23"/>
      <c r="CC92" s="21" t="e">
        <f>((CD91+(Crescimento!#REF!-(CD91*0.64))/0.8)/1000)-Crescimento!#REF!</f>
        <v>#REF!</v>
      </c>
      <c r="CD92" s="22" t="e">
        <f>-53.07 + (304.89 * (CC92)) + (90.79 *(Crescimento!#REF!-Crescimento!#REF!)) - (3.13 * (Crescimento!#REF!-Crescimento!#REF!)^2)</f>
        <v>#REF!</v>
      </c>
      <c r="CE92" s="23"/>
      <c r="CF92" s="21" t="e">
        <f>((CG91+(Crescimento!#REF!-(CG91*0.64))/0.8)/1000)-Crescimento!#REF!</f>
        <v>#REF!</v>
      </c>
      <c r="CG92" s="22" t="e">
        <f>-53.07 + (304.89 * (CF92)) + (90.79 *(Crescimento!#REF!-Crescimento!#REF!)) - (3.13 * (Crescimento!#REF!-Crescimento!#REF!)^2)</f>
        <v>#REF!</v>
      </c>
      <c r="CH92" s="23"/>
      <c r="CI92" s="21" t="e">
        <f>((CJ91+(Crescimento!#REF!-(CJ91*0.64))/0.8)/1000)-Crescimento!#REF!</f>
        <v>#REF!</v>
      </c>
      <c r="CJ92" s="22" t="e">
        <f>-53.07 + (304.89 * (CI92)) + (90.79 *(Crescimento!#REF!-Crescimento!#REF!)) - (3.13 * (Crescimento!#REF!-Crescimento!#REF!)^2)</f>
        <v>#REF!</v>
      </c>
      <c r="CK92" s="23"/>
      <c r="CL92" s="21" t="e">
        <f>((CM91+(Crescimento!#REF!-(CM91*0.64))/0.8)/1000)-Crescimento!#REF!</f>
        <v>#REF!</v>
      </c>
      <c r="CM92" s="22" t="e">
        <f>-53.07 + (304.89 * (CL92)) + (90.79 *(Crescimento!#REF!-Crescimento!#REF!)) - (3.13 * (Crescimento!#REF!-Crescimento!#REF!)^2)</f>
        <v>#REF!</v>
      </c>
      <c r="CN92" s="23"/>
      <c r="CO92" s="21" t="e">
        <f>((CP91+(Crescimento!#REF!-(CP91*0.64))/0.8)/1000)-Crescimento!#REF!</f>
        <v>#REF!</v>
      </c>
      <c r="CP92" s="22" t="e">
        <f>-53.07 + (304.89 * (CO92)) + (90.79 *(Crescimento!#REF!-Crescimento!#REF!)) - (3.13 * (Crescimento!#REF!-Crescimento!#REF!)^2)</f>
        <v>#REF!</v>
      </c>
      <c r="CQ92" s="23"/>
      <c r="CR92" s="21" t="e">
        <f>((CS91+(Crescimento!#REF!-(CS91*0.64))/0.8)/1000)-Crescimento!#REF!</f>
        <v>#REF!</v>
      </c>
      <c r="CS92" s="22" t="e">
        <f>-53.07 + (304.89 * (CR92)) + (90.79 *(Crescimento!#REF!-Crescimento!#REF!)) - (3.13 * (Crescimento!#REF!-Crescimento!#REF!)^2)</f>
        <v>#REF!</v>
      </c>
      <c r="CX92" s="16" t="e">
        <f>((CY91+(Crescimento!#REF!-(CY91*0.64))/0.8)/1000)-Crescimento!#REF!</f>
        <v>#REF!</v>
      </c>
      <c r="CY92" s="17" t="e">
        <f>-53.07 + (304.89 * (CX92)) + (90.79 *(Crescimento!#REF!-Crescimento!#REF!)) - (3.13 * (Crescimento!#REF!-Crescimento!#REF!)^2)</f>
        <v>#REF!</v>
      </c>
      <c r="DA92" s="16" t="e">
        <f>((DB91+(Crescimento!#REF!-(DB91*0.64))/0.8)/1000)-Crescimento!#REF!</f>
        <v>#REF!</v>
      </c>
      <c r="DB92" s="17" t="e">
        <f>-53.07 + (304.89 * (DA92)) + (90.79 *(Crescimento!#REF!-Crescimento!#REF!)) - (3.13 * (Crescimento!#REF!-Crescimento!#REF!)^2)</f>
        <v>#REF!</v>
      </c>
      <c r="DD92" s="16" t="e">
        <f>(DE91+(Crescimento!#REF!-(DE91*0.64))/0.8)/1000</f>
        <v>#REF!</v>
      </c>
      <c r="DE92" s="17" t="e">
        <f>-53.07 + (304.89 * (DD92)) + (90.79 *Crescimento!#REF!) - (3.13 * Crescimento!#REF!*Crescimento!#REF!)</f>
        <v>#REF!</v>
      </c>
      <c r="DG92" s="16" t="e">
        <f>((DH91+(Crescimento!#REF!-(DH91*0.64))/0.8)/1000)-Crescimento!#REF!</f>
        <v>#REF!</v>
      </c>
      <c r="DH92" s="17" t="e">
        <f>-53.07 + (304.89 * (DG92)) + (90.79 *(Crescimento!#REF!-Crescimento!#REF!)) - (3.13 * (Crescimento!#REF!-Crescimento!#REF!)^2)</f>
        <v>#REF!</v>
      </c>
      <c r="DJ92" s="16" t="e">
        <f>((DK91+(Crescimento!#REF!-(DK91*0.64))/0.8)/1000)-Crescimento!#REF!</f>
        <v>#REF!</v>
      </c>
      <c r="DK92" s="17" t="e">
        <f>-53.07 + (304.89 * (DJ92)) + (90.79 *(Crescimento!#REF!-Crescimento!#REF!)) - (3.13 * (Crescimento!#REF!-Crescimento!#REF!)^2)</f>
        <v>#REF!</v>
      </c>
      <c r="DM92" s="16" t="e">
        <f>((DN91+(Crescimento!#REF!-(DN91*0.64))/0.8)/1000)-Crescimento!#REF!</f>
        <v>#REF!</v>
      </c>
      <c r="DN92" s="17" t="e">
        <f>-53.07 + (304.89 * (DM92)) + (90.79 *(Crescimento!#REF!-Crescimento!#REF!)) - (3.13 * (Crescimento!#REF!-Crescimento!#REF!)^2)</f>
        <v>#REF!</v>
      </c>
      <c r="DP92" s="16" t="e">
        <f>(DQ91+(Crescimento!#REF!-(DQ91*0.64))/0.8)/1000</f>
        <v>#REF!</v>
      </c>
      <c r="DQ92" s="17" t="e">
        <f>-53.07 + (304.89 * (DP92)) + (90.79 *(Crescimento!#REF!-Crescimento!#REF!)) - (3.13 * (Crescimento!#REF!-Crescimento!#REF!)^2)</f>
        <v>#REF!</v>
      </c>
      <c r="DS92" s="16" t="e">
        <f>((DT91+(Crescimento!#REF!-(DT91*0.64))/0.8)/1000)-Crescimento!#REF!</f>
        <v>#REF!</v>
      </c>
      <c r="DT92" s="17" t="e">
        <f>-53.07 + (304.89 * (DS92)) + (90.79 *(Crescimento!#REF!-Crescimento!#REF!)) - (3.13 * (Crescimento!#REF!-Crescimento!#REF!)^2)</f>
        <v>#REF!</v>
      </c>
      <c r="DV92" s="16" t="e">
        <f>((DW91+(Crescimento!#REF!-(DW91*0.64))/0.8)/1000)-Crescimento!#REF!</f>
        <v>#REF!</v>
      </c>
      <c r="DW92" s="17" t="e">
        <f>-53.07 + (304.89 * (DV92)) + (90.79 *(Crescimento!#REF!-Crescimento!#REF!)) - (3.13 * (Crescimento!#REF!-Crescimento!#REF!)^2)</f>
        <v>#REF!</v>
      </c>
      <c r="DY92" s="16" t="e">
        <f>((DZ91+(Crescimento!#REF!-(DZ91*0.64))/0.8)/1000)-Crescimento!#REF!</f>
        <v>#REF!</v>
      </c>
      <c r="DZ92" s="17" t="e">
        <f>-53.07 + (304.89 * (DY92)) + (90.79 *(Crescimento!#REF!-Crescimento!#REF!)) - (3.13 * (Crescimento!#REF!-Crescimento!#REF!)^2)</f>
        <v>#REF!</v>
      </c>
      <c r="EB92" s="16" t="e">
        <f>((EC91+(Crescimento!#REF!-(EC91*0.64))/0.8)/1000)-Crescimento!#REF!</f>
        <v>#REF!</v>
      </c>
      <c r="EC92" s="17" t="e">
        <f>-53.07 + (304.89 * (EB92)) + (90.79 *(Crescimento!#REF!-Crescimento!#REF!)) - (3.13 * (Crescimento!#REF!-Crescimento!#REF!)^2)</f>
        <v>#REF!</v>
      </c>
      <c r="EE92" s="16" t="e">
        <f>((EF91+(Crescimento!#REF!-(EF91*0.64))/0.8)/1000)-Crescimento!#REF!</f>
        <v>#REF!</v>
      </c>
      <c r="EF92" s="17" t="e">
        <f>-53.07 + (304.89 * (EE92)) + (90.79 *(Crescimento!#REF!-Crescimento!#REF!)) - (3.13 * (Crescimento!#REF!-Crescimento!#REF!)^2)</f>
        <v>#REF!</v>
      </c>
      <c r="EH92" s="16" t="e">
        <f>((EI91+(Crescimento!#REF!-(EI91*0.64))/0.8)/1000)-Crescimento!#REF!</f>
        <v>#REF!</v>
      </c>
      <c r="EI92" s="17" t="e">
        <f>-53.07 + (304.89 * (EH92)) + (90.79 *(Crescimento!#REF!-Crescimento!#REF!)) - (3.13 * (Crescimento!#REF!-Crescimento!#REF!)^2)</f>
        <v>#REF!</v>
      </c>
      <c r="EK92" s="16" t="e">
        <f>((EL91+(Crescimento!#REF!-(EL91*0.64))/0.8)/1000)-Crescimento!#REF!</f>
        <v>#REF!</v>
      </c>
      <c r="EL92" s="17" t="e">
        <f>-53.07 + (304.89 * (EK92)) + (90.79 *(Crescimento!#REF!-Crescimento!#REF!)) - (3.13 * (Crescimento!#REF!-Crescimento!#REF!)^2)</f>
        <v>#REF!</v>
      </c>
      <c r="EN92" s="16" t="e">
        <f>((EO91+(Crescimento!#REF!-(EO91*0.64))/0.8)/1000)-Crescimento!#REF!</f>
        <v>#REF!</v>
      </c>
      <c r="EO92" s="17" t="e">
        <f>-53.07 + (304.89 * (EN92)) + (90.79 *(Crescimento!#REF!-Crescimento!#REF!)) - (3.13 * (Crescimento!#REF!-Crescimento!#REF!)^2)</f>
        <v>#REF!</v>
      </c>
      <c r="EQ92" s="16" t="e">
        <f>((ER91+(Crescimento!#REF!-(ER91*0.64))/0.8)/1000)-Crescimento!#REF!</f>
        <v>#REF!</v>
      </c>
      <c r="ER92" s="17" t="e">
        <f>-53.07 + (304.89 * (EQ92)) + (90.79 *(Crescimento!#REF!-Crescimento!#REF!)) - (3.13 * (Crescimento!#REF!-Crescimento!#REF!)^2)</f>
        <v>#REF!</v>
      </c>
      <c r="ET92" s="16" t="e">
        <f>((EU91+(Crescimento!#REF!-(EU91*0.64))/0.8)/1000)-Crescimento!#REF!</f>
        <v>#REF!</v>
      </c>
      <c r="EU92" s="17" t="e">
        <f>-53.07 + (304.89 * (ET92)) + (90.79 *(Crescimento!#REF!-Crescimento!#REF!)) - (3.13 * (Crescimento!#REF!-Crescimento!#REF!)^2)</f>
        <v>#REF!</v>
      </c>
      <c r="EW92" s="16" t="e">
        <f>((EX91+('Vacas e Bezerros'!#REF!-(EX91*0.64))/0.8)/1000)-'Vacas e Bezerros'!#REF!</f>
        <v>#REF!</v>
      </c>
      <c r="EX92" s="17" t="e">
        <f>-53.07 + (304.89 * (EW92)) + (90.79 *('Vacas e Bezerros'!#REF!-'Vacas e Bezerros'!#REF!)) - (3.13 * ('Vacas e Bezerros'!#REF!-'Vacas e Bezerros'!#REF!)^2)</f>
        <v>#REF!</v>
      </c>
      <c r="EZ92" s="16" t="e">
        <f>((FA91+('Vacas e Bezerros'!#REF!-(FA91*0.64))/0.8)/1000)-'Vacas e Bezerros'!#REF!</f>
        <v>#REF!</v>
      </c>
      <c r="FA92" s="17" t="e">
        <f>-53.07 + (304.89 * (EZ92)) + (90.79 *('Vacas e Bezerros'!#REF!-'Vacas e Bezerros'!#REF!)) - (3.13 * ('Vacas e Bezerros'!#REF!-'Vacas e Bezerros'!#REF!)^2)</f>
        <v>#REF!</v>
      </c>
      <c r="FC92" s="16" t="e">
        <f>((FD91+('Vacas e Bezerros'!#REF!-(FD91*0.64))/0.8)/1000)-'Vacas e Bezerros'!#REF!</f>
        <v>#REF!</v>
      </c>
      <c r="FD92" s="17" t="e">
        <f>-53.07 + (304.89 * (FC92)) + (90.79 *('Vacas e Bezerros'!#REF!-'Vacas e Bezerros'!#REF!)) - (3.13 * ('Vacas e Bezerros'!#REF!-'Vacas e Bezerros'!#REF!)^2)</f>
        <v>#REF!</v>
      </c>
      <c r="FF92" s="16" t="e">
        <f>((FG91+('Vacas e Bezerros'!#REF!-(FG91*0.64))/0.8)/1000)-'Vacas e Bezerros'!#REF!</f>
        <v>#REF!</v>
      </c>
      <c r="FG92" s="17" t="e">
        <f>-53.07 + (304.89 * (FF92)) + (90.79 *('Vacas e Bezerros'!#REF!-'Vacas e Bezerros'!#REF!)) - (3.13 * ('Vacas e Bezerros'!#REF!-'Vacas e Bezerros'!#REF!)^2)</f>
        <v>#REF!</v>
      </c>
      <c r="FI92" s="16" t="e">
        <f>((FJ91+('Vacas e Bezerros'!#REF!-(FJ91*0.64))/0.8)/1000)-'Vacas e Bezerros'!#REF!</f>
        <v>#REF!</v>
      </c>
      <c r="FJ92" s="17" t="e">
        <f>-53.07 + (304.89 * (FI92)) + (90.79 *('Vacas e Bezerros'!#REF!-'Vacas e Bezerros'!#REF!)) - (3.13 * ('Vacas e Bezerros'!#REF!-'Vacas e Bezerros'!#REF!)^2)</f>
        <v>#REF!</v>
      </c>
      <c r="FL92" s="16" t="e">
        <f>((FM91+('Vacas e Bezerros'!#REF!-(FM91*0.64))/0.8)/1000)-'Vacas e Bezerros'!#REF!</f>
        <v>#REF!</v>
      </c>
      <c r="FM92" s="17" t="e">
        <f>-53.07 + (304.89 * (FL92)) + (90.79 *('Vacas e Bezerros'!#REF!-'Vacas e Bezerros'!#REF!)) - (3.13 * ('Vacas e Bezerros'!#REF!-'Vacas e Bezerros'!#REF!)^2)</f>
        <v>#REF!</v>
      </c>
      <c r="FO92" s="16" t="e">
        <f>((FP91+('Vacas e Bezerros'!#REF!-(FP91*0.64))/0.8)/1000)-'Vacas e Bezerros'!#REF!</f>
        <v>#REF!</v>
      </c>
      <c r="FP92" s="17" t="e">
        <f>-53.07 + (304.89 * (FO92)) + (90.79 *('Vacas e Bezerros'!#REF!-'Vacas e Bezerros'!#REF!)) - (3.13 * ('Vacas e Bezerros'!#REF!-'Vacas e Bezerros'!#REF!)^2)</f>
        <v>#REF!</v>
      </c>
      <c r="FR92" s="16" t="e">
        <f>((FS91+('Vacas e Bezerros'!#REF!-(FS91*0.64))/0.8)/1000)-'Vacas e Bezerros'!#REF!</f>
        <v>#REF!</v>
      </c>
      <c r="FS92" s="17" t="e">
        <f>-53.07 + (304.89 * (FR92)) + (90.79 *('Vacas e Bezerros'!#REF!-'Vacas e Bezerros'!#REF!)) - (3.13 * ('Vacas e Bezerros'!#REF!-'Vacas e Bezerros'!#REF!)^2)</f>
        <v>#REF!</v>
      </c>
      <c r="FU92" s="16" t="e">
        <f>((FV91+('Vacas e Bezerros'!#REF!-(FV91*0.64))/0.8)/1000)-'Vacas e Bezerros'!#REF!</f>
        <v>#REF!</v>
      </c>
      <c r="FV92" s="17" t="e">
        <f>-53.07 + (304.89 * (FU92)) + (90.79 *('Vacas e Bezerros'!#REF!-'Vacas e Bezerros'!#REF!)) - (3.13 * ('Vacas e Bezerros'!#REF!-'Vacas e Bezerros'!#REF!)^2)</f>
        <v>#REF!</v>
      </c>
      <c r="FX92" s="16" t="e">
        <f>((FY91+('Vacas e Bezerros'!#REF!-(FY91*0.64))/0.8)/1000)-'Vacas e Bezerros'!#REF!</f>
        <v>#REF!</v>
      </c>
      <c r="FY92" s="17" t="e">
        <f>-53.07 + (304.89 * (FX92)) + (90.79 *('Vacas e Bezerros'!#REF!-'Vacas e Bezerros'!#REF!)) - (3.13 * ('Vacas e Bezerros'!#REF!-'Vacas e Bezerros'!#REF!)^2)</f>
        <v>#REF!</v>
      </c>
      <c r="GA92" s="16" t="e">
        <f>((GB91+('Vacas e Bezerros'!#REF!-(GB91*0.64))/0.8)/1000)-'Vacas e Bezerros'!#REF!</f>
        <v>#REF!</v>
      </c>
      <c r="GB92" s="17" t="e">
        <f>-53.07 + (304.89 * (GA92)) + (90.79 *('Vacas e Bezerros'!#REF!-'Vacas e Bezerros'!#REF!)) - (3.13 * ('Vacas e Bezerros'!#REF!-'Vacas e Bezerros'!#REF!)^2)</f>
        <v>#REF!</v>
      </c>
      <c r="GD92" s="16" t="e">
        <f>((GE91+('Vacas e Bezerros'!#REF!-(GE91*0.64))/0.8)/1000)-'Vacas e Bezerros'!#REF!</f>
        <v>#REF!</v>
      </c>
      <c r="GE92" s="17" t="e">
        <f>-53.07 + (304.89 * (GD92)) + (90.79 *('Vacas e Bezerros'!#REF!-'Vacas e Bezerros'!#REF!)) - (3.13 * ('Vacas e Bezerros'!#REF!-'Vacas e Bezerros'!#REF!)^2)</f>
        <v>#REF!</v>
      </c>
      <c r="GG92" s="16" t="e">
        <f>((GH91+('Vacas e Bezerros'!#REF!-(GH91*0.64))/0.8)/1000)-'Vacas e Bezerros'!#REF!</f>
        <v>#REF!</v>
      </c>
      <c r="GH92" s="17" t="e">
        <f>-53.07 + (304.89 * (GG92)) + (90.79 *('Vacas e Bezerros'!#REF!-'Vacas e Bezerros'!#REF!)) - (3.13 * ('Vacas e Bezerros'!#REF!-'Vacas e Bezerros'!#REF!)^2)</f>
        <v>#REF!</v>
      </c>
      <c r="GJ92" s="16" t="e">
        <f>((GK91+('Vacas e Bezerros'!#REF!-(GK91*0.64))/0.8)/1000)-'Vacas e Bezerros'!#REF!</f>
        <v>#REF!</v>
      </c>
      <c r="GK92" s="17" t="e">
        <f>-53.07 + (304.89 * (GJ92)) + (90.79 *('Vacas e Bezerros'!#REF!-'Vacas e Bezerros'!#REF!)) - (3.13 * ('Vacas e Bezerros'!#REF!-'Vacas e Bezerros'!#REF!)^2)</f>
        <v>#REF!</v>
      </c>
      <c r="GM92" s="16" t="e">
        <f>((GN91+('Vacas e Bezerros'!#REF!-(GN91*0.64))/0.8)/1000)-'Vacas e Bezerros'!#REF!</f>
        <v>#REF!</v>
      </c>
      <c r="GN92" s="17" t="e">
        <f>-53.07 + (304.89 * (GM92)) + (90.79 *('Vacas e Bezerros'!#REF!-'Vacas e Bezerros'!#REF!)) - (3.13 * ('Vacas e Bezerros'!#REF!-'Vacas e Bezerros'!#REF!)^2)</f>
        <v>#REF!</v>
      </c>
    </row>
    <row r="93" spans="3:196" x14ac:dyDescent="0.25">
      <c r="C93" s="16">
        <f>(D92+('Vacas e Bezerros'!$AA$28-(D92*0.64))/0.8)/1000</f>
        <v>0.35719668016155687</v>
      </c>
      <c r="D93" s="17">
        <f>-53.07 + (304.89 * (C93-'Vacas e Bezerros'!$C$206)) + (90.79 *('Vacas e Bezerros'!$AA$22)) - (3.13 *('Vacas e Bezerros'!$AA$22)^2)</f>
        <v>165.01876457544017</v>
      </c>
      <c r="F93" s="16" t="e">
        <f>(G92+(Crescimento!#REF!-(G92*0.64))/0.8)/1000</f>
        <v>#REF!</v>
      </c>
      <c r="G93" s="17" t="e">
        <f>-53.07 + (304.89 * (F93)) + (90.79 *Crescimento!#REF!) - (3.13 * Crescimento!#REF!*Crescimento!#REF!)</f>
        <v>#REF!</v>
      </c>
      <c r="H93" s="1"/>
      <c r="I93" s="16" t="e">
        <f>(J92+(Crescimento!#REF!-(J92*0.64))/0.8)/1000</f>
        <v>#REF!</v>
      </c>
      <c r="J93" s="17" t="e">
        <f>-53.07 + (304.89 * (I93)) + (90.79 *Crescimento!#REF!) - (3.13 * Crescimento!#REF!*Crescimento!#REF!)</f>
        <v>#REF!</v>
      </c>
      <c r="L93" s="16" t="e">
        <f>(M92+(Crescimento!#REF!-(M92*0.64))/0.8)/1000</f>
        <v>#REF!</v>
      </c>
      <c r="M93" s="17" t="e">
        <f>-53.07 + (304.89 * (L93)) + (90.79 *Crescimento!#REF!) - (3.13 * Crescimento!#REF!*Crescimento!#REF!)</f>
        <v>#REF!</v>
      </c>
      <c r="O93" s="16" t="e">
        <f>(P92+(Crescimento!#REF!-(P92*0.64))/0.8)/1000</f>
        <v>#REF!</v>
      </c>
      <c r="P93" s="17" t="e">
        <f>-53.07 + (304.89 * (O93)) + (90.79 *Crescimento!#REF!) - (3.13 * Crescimento!#REF!*Crescimento!#REF!)</f>
        <v>#REF!</v>
      </c>
      <c r="R93" s="16" t="e">
        <f>(S92+(Crescimento!#REF!-(S92*0.64))/0.8)/1000</f>
        <v>#REF!</v>
      </c>
      <c r="S93" s="17" t="e">
        <f>-53.07 + (304.89 * (R93)) + (90.79 *Crescimento!#REF!) - (3.13 * Crescimento!#REF!*Crescimento!#REF!)</f>
        <v>#REF!</v>
      </c>
      <c r="U93" s="16" t="e">
        <f>(V92+(Crescimento!#REF!-(V92*0.64))/0.8)/1000</f>
        <v>#REF!</v>
      </c>
      <c r="V93" s="17" t="e">
        <f>-53.07 + (304.89 * (U93)) + (90.79 *Crescimento!#REF!) - (3.13 * Crescimento!#REF!*Crescimento!#REF!)</f>
        <v>#REF!</v>
      </c>
      <c r="X93" s="16" t="e">
        <f>(Y92+(Crescimento!#REF!-(Y92*0.64))/0.8)/1000</f>
        <v>#REF!</v>
      </c>
      <c r="Y93" s="17" t="e">
        <f>-53.07 + (304.89 * (X93)) + (90.79 *Crescimento!#REF!) - (3.13 * Crescimento!#REF!*Crescimento!#REF!)</f>
        <v>#REF!</v>
      </c>
      <c r="Z93" s="6"/>
      <c r="AA93" s="16" t="e">
        <f>(AB92+(Crescimento!#REF!-(AB92*0.64))/0.8)/1000</f>
        <v>#REF!</v>
      </c>
      <c r="AB93" s="17" t="e">
        <f>-53.07 + (304.89 * (AA93)) + (90.79 *Crescimento!#REF!) - (3.13 * Crescimento!#REF!*Crescimento!#REF!)</f>
        <v>#REF!</v>
      </c>
      <c r="AC93" s="6"/>
      <c r="AD93" s="16" t="e">
        <f>(AE92+(Crescimento!#REF!-(AE92*0.64))/0.8)/1000</f>
        <v>#REF!</v>
      </c>
      <c r="AE93" s="17" t="e">
        <f>-53.07 + (304.89 * (AD93)) + (90.79 *Crescimento!#REF!) - (3.13 * Crescimento!#REF!*Crescimento!#REF!)</f>
        <v>#REF!</v>
      </c>
      <c r="AF93" s="17"/>
      <c r="AG93" s="16" t="e">
        <f>(AH92+(Crescimento!#REF!-(AH92*0.64))/0.8)/1000</f>
        <v>#REF!</v>
      </c>
      <c r="AH93" s="17" t="e">
        <f>-53.07 + (304.89 * (AG93)) + (90.79 *Crescimento!#REF!) - (3.13 * Crescimento!#REF!*Crescimento!#REF!)</f>
        <v>#REF!</v>
      </c>
      <c r="AJ93" s="16" t="e">
        <f>(AK92+(Crescimento!#REF!-(AK92*0.64))/0.8)/1000</f>
        <v>#REF!</v>
      </c>
      <c r="AK93" s="17" t="e">
        <f>-53.07 + (304.89 * (AJ93)) + (90.79 *Crescimento!#REF!) - (3.13 * Crescimento!#REF!*Crescimento!#REF!)</f>
        <v>#REF!</v>
      </c>
      <c r="AM93" s="16" t="e">
        <f>(AN92+(Crescimento!#REF!-(AN92*0.64))/0.8)/1000</f>
        <v>#REF!</v>
      </c>
      <c r="AN93" s="17" t="e">
        <f>-53.07 + (304.89 * (AM93)) + (90.79 *Crescimento!#REF!) - (3.13 * Crescimento!#REF!*Crescimento!#REF!)</f>
        <v>#REF!</v>
      </c>
      <c r="AP93" s="16" t="e">
        <f>(AQ92+(Crescimento!#REF!-(AQ92*0.64))/0.8)/1000</f>
        <v>#REF!</v>
      </c>
      <c r="AQ93" s="17" t="e">
        <f>-53.07 + (304.89 * (AP93)) + (90.79 *Crescimento!#REF!) - (3.13 * Crescimento!#REF!*Crescimento!#REF!)</f>
        <v>#REF!</v>
      </c>
      <c r="AS93" s="16" t="e">
        <f>(AT92+(Crescimento!#REF!-(AT92*0.64))/0.8)/1000</f>
        <v>#REF!</v>
      </c>
      <c r="AT93" s="17" t="e">
        <f>-53.07 + (304.89 * (AS93)) + (90.79 *Crescimento!#REF!) - (3.13 * Crescimento!#REF!*Crescimento!#REF!)</f>
        <v>#REF!</v>
      </c>
      <c r="AV93" s="16" t="e">
        <f>(AW92+(Crescimento!#REF!-(AW92*0.64))/0.8)/1000</f>
        <v>#REF!</v>
      </c>
      <c r="AW93" s="17" t="e">
        <f>-53.07 + (304.89 * (AV93)) + (90.79 *Crescimento!#REF!) - (3.13 * Crescimento!#REF!*Crescimento!#REF!)</f>
        <v>#REF!</v>
      </c>
      <c r="AY93" s="21" t="e">
        <f>((AZ92+(Crescimento!#REF!-(AZ92*0.64))/0.8)/1000)-Crescimento!#REF!</f>
        <v>#REF!</v>
      </c>
      <c r="AZ93" s="22" t="e">
        <f>-53.07 + (304.89 * (AY93)) + (90.79 *(Crescimento!#REF!-Crescimento!#REF!)) - (3.13 * (Crescimento!#REF!-Crescimento!#REF!)^2)</f>
        <v>#REF!</v>
      </c>
      <c r="BA93" s="23"/>
      <c r="BB93" s="21" t="e">
        <f>((BC92+(Crescimento!#REF!-(BC92*0.64))/0.8)/1000)-Crescimento!#REF!</f>
        <v>#REF!</v>
      </c>
      <c r="BC93" s="22" t="e">
        <f>-53.07 + (304.89 * (BB93)) + (90.79 *(Crescimento!#REF!-Crescimento!#REF!)) - (3.13 * (Crescimento!#REF!-Crescimento!#REF!)^2)</f>
        <v>#REF!</v>
      </c>
      <c r="BD93" s="23"/>
      <c r="BE93" s="21" t="e">
        <f>((BF92+(Crescimento!#REF!-(BF92*0.64))/0.8)/1000)-Crescimento!#REF!</f>
        <v>#REF!</v>
      </c>
      <c r="BF93" s="22" t="e">
        <f>-53.07 + (304.89 * (BE93)) + (90.79 *(Crescimento!#REF!-Crescimento!#REF!)) - (3.13 * (Crescimento!#REF!-Crescimento!#REF!)^2)</f>
        <v>#REF!</v>
      </c>
      <c r="BG93" s="23"/>
      <c r="BH93" s="21" t="e">
        <f>((BI92+(Crescimento!#REF!-(BI92*0.64))/0.8)/1000)-Crescimento!#REF!</f>
        <v>#REF!</v>
      </c>
      <c r="BI93" s="22" t="e">
        <f>-53.07 + (304.89 * (BH93)) + (90.79 *(Crescimento!#REF!-Crescimento!#REF!)) - (3.13 * (Crescimento!#REF!-Crescimento!#REF!)^2)</f>
        <v>#REF!</v>
      </c>
      <c r="BJ93" s="23"/>
      <c r="BK93" s="21" t="e">
        <f>((BL92+(Crescimento!#REF!-(BL92*0.64))/0.8)/1000)-Crescimento!#REF!</f>
        <v>#REF!</v>
      </c>
      <c r="BL93" s="22" t="e">
        <f>-53.07 + (304.89 * (BK93)) + (90.79 *(Crescimento!#REF!-Crescimento!#REF!)) - (3.13 * (Crescimento!#REF!-Crescimento!#REF!)^2)</f>
        <v>#REF!</v>
      </c>
      <c r="BM93" s="23"/>
      <c r="BN93" s="21" t="e">
        <f>((BO92+(Crescimento!#REF!-(BO92*0.64))/0.8)/1000)-Crescimento!#REF!</f>
        <v>#REF!</v>
      </c>
      <c r="BO93" s="22" t="e">
        <f>-53.07 + (304.89 * (BN93)) + (90.79 *(Crescimento!#REF!-Crescimento!#REF!)) - (3.13 * (Crescimento!#REF!-Crescimento!#REF!)^2)</f>
        <v>#REF!</v>
      </c>
      <c r="BP93" s="23"/>
      <c r="BQ93" s="21" t="e">
        <f>((BR92+(Crescimento!#REF!-(BR92*0.64))/0.8)/1000)-Crescimento!#REF!</f>
        <v>#REF!</v>
      </c>
      <c r="BR93" s="22" t="e">
        <f>-53.07 + (304.89 * (BQ93)) + (90.79 *(Crescimento!#REF!-Crescimento!#REF!)) - (3.13 * (Crescimento!#REF!-Crescimento!#REF!)^2)</f>
        <v>#REF!</v>
      </c>
      <c r="BS93" s="23"/>
      <c r="BT93" s="21" t="e">
        <f>((BU92+(Crescimento!#REF!-(BU92*0.64))/0.8)/1000)-Crescimento!#REF!</f>
        <v>#REF!</v>
      </c>
      <c r="BU93" s="22" t="e">
        <f>-53.07 + (304.89 * (BT93)) + (90.79 *(Crescimento!#REF!-Crescimento!#REF!)) - (3.13 * (Crescimento!#REF!-Crescimento!#REF!)^2)</f>
        <v>#REF!</v>
      </c>
      <c r="BV93" s="23"/>
      <c r="BW93" s="21" t="e">
        <f>((BX92+(Crescimento!#REF!-(BX92*0.64))/0.8)/1000)-Crescimento!#REF!</f>
        <v>#REF!</v>
      </c>
      <c r="BX93" s="22" t="e">
        <f>-53.07 + (304.89 * (BW93)) + (90.79 *(Crescimento!#REF!-Crescimento!#REF!)) - (3.13 * (Crescimento!#REF!-Crescimento!#REF!)^2)</f>
        <v>#REF!</v>
      </c>
      <c r="BY93" s="23"/>
      <c r="BZ93" s="21" t="e">
        <f>((CA92+(Crescimento!#REF!-(CA92*0.64))/0.8)/1000)-Crescimento!#REF!</f>
        <v>#REF!</v>
      </c>
      <c r="CA93" s="22" t="e">
        <f>-53.07 + (304.89 * (BZ93)) + (90.79 *(Crescimento!#REF!-Crescimento!#REF!)) - (3.13 * (Crescimento!#REF!-Crescimento!#REF!)^2)</f>
        <v>#REF!</v>
      </c>
      <c r="CB93" s="23"/>
      <c r="CC93" s="21" t="e">
        <f>((CD92+(Crescimento!#REF!-(CD92*0.64))/0.8)/1000)-Crescimento!#REF!</f>
        <v>#REF!</v>
      </c>
      <c r="CD93" s="22" t="e">
        <f>-53.07 + (304.89 * (CC93)) + (90.79 *(Crescimento!#REF!-Crescimento!#REF!)) - (3.13 * (Crescimento!#REF!-Crescimento!#REF!)^2)</f>
        <v>#REF!</v>
      </c>
      <c r="CE93" s="23"/>
      <c r="CF93" s="21" t="e">
        <f>((CG92+(Crescimento!#REF!-(CG92*0.64))/0.8)/1000)-Crescimento!#REF!</f>
        <v>#REF!</v>
      </c>
      <c r="CG93" s="22" t="e">
        <f>-53.07 + (304.89 * (CF93)) + (90.79 *(Crescimento!#REF!-Crescimento!#REF!)) - (3.13 * (Crescimento!#REF!-Crescimento!#REF!)^2)</f>
        <v>#REF!</v>
      </c>
      <c r="CH93" s="23"/>
      <c r="CI93" s="21" t="e">
        <f>((CJ92+(Crescimento!#REF!-(CJ92*0.64))/0.8)/1000)-Crescimento!#REF!</f>
        <v>#REF!</v>
      </c>
      <c r="CJ93" s="22" t="e">
        <f>-53.07 + (304.89 * (CI93)) + (90.79 *(Crescimento!#REF!-Crescimento!#REF!)) - (3.13 * (Crescimento!#REF!-Crescimento!#REF!)^2)</f>
        <v>#REF!</v>
      </c>
      <c r="CK93" s="23"/>
      <c r="CL93" s="21" t="e">
        <f>((CM92+(Crescimento!#REF!-(CM92*0.64))/0.8)/1000)-Crescimento!#REF!</f>
        <v>#REF!</v>
      </c>
      <c r="CM93" s="22" t="e">
        <f>-53.07 + (304.89 * (CL93)) + (90.79 *(Crescimento!#REF!-Crescimento!#REF!)) - (3.13 * (Crescimento!#REF!-Crescimento!#REF!)^2)</f>
        <v>#REF!</v>
      </c>
      <c r="CN93" s="23"/>
      <c r="CO93" s="21" t="e">
        <f>((CP92+(Crescimento!#REF!-(CP92*0.64))/0.8)/1000)-Crescimento!#REF!</f>
        <v>#REF!</v>
      </c>
      <c r="CP93" s="22" t="e">
        <f>-53.07 + (304.89 * (CO93)) + (90.79 *(Crescimento!#REF!-Crescimento!#REF!)) - (3.13 * (Crescimento!#REF!-Crescimento!#REF!)^2)</f>
        <v>#REF!</v>
      </c>
      <c r="CQ93" s="23"/>
      <c r="CR93" s="21" t="e">
        <f>((CS92+(Crescimento!#REF!-(CS92*0.64))/0.8)/1000)-Crescimento!#REF!</f>
        <v>#REF!</v>
      </c>
      <c r="CS93" s="22" t="e">
        <f>-53.07 + (304.89 * (CR93)) + (90.79 *(Crescimento!#REF!-Crescimento!#REF!)) - (3.13 * (Crescimento!#REF!-Crescimento!#REF!)^2)</f>
        <v>#REF!</v>
      </c>
      <c r="CX93" s="16" t="e">
        <f>((CY92+(Crescimento!#REF!-(CY92*0.64))/0.8)/1000)-Crescimento!#REF!</f>
        <v>#REF!</v>
      </c>
      <c r="CY93" s="17" t="e">
        <f>-53.07 + (304.89 * (CX93)) + (90.79 *(Crescimento!#REF!-Crescimento!#REF!)) - (3.13 * (Crescimento!#REF!-Crescimento!#REF!)^2)</f>
        <v>#REF!</v>
      </c>
      <c r="DA93" s="16" t="e">
        <f>((DB92+(Crescimento!#REF!-(DB92*0.64))/0.8)/1000)-Crescimento!#REF!</f>
        <v>#REF!</v>
      </c>
      <c r="DB93" s="17" t="e">
        <f>-53.07 + (304.89 * (DA93)) + (90.79 *(Crescimento!#REF!-Crescimento!#REF!)) - (3.13 * (Crescimento!#REF!-Crescimento!#REF!)^2)</f>
        <v>#REF!</v>
      </c>
      <c r="DD93" s="16" t="e">
        <f>(DE92+(Crescimento!#REF!-(DE92*0.64))/0.8)/1000</f>
        <v>#REF!</v>
      </c>
      <c r="DE93" s="17" t="e">
        <f>-53.07 + (304.89 * (DD93)) + (90.79 *Crescimento!#REF!) - (3.13 * Crescimento!#REF!*Crescimento!#REF!)</f>
        <v>#REF!</v>
      </c>
      <c r="DG93" s="16" t="e">
        <f>((DH92+(Crescimento!#REF!-(DH92*0.64))/0.8)/1000)-Crescimento!#REF!</f>
        <v>#REF!</v>
      </c>
      <c r="DH93" s="17" t="e">
        <f>-53.07 + (304.89 * (DG93)) + (90.79 *(Crescimento!#REF!-Crescimento!#REF!)) - (3.13 * (Crescimento!#REF!-Crescimento!#REF!)^2)</f>
        <v>#REF!</v>
      </c>
      <c r="DJ93" s="16" t="e">
        <f>((DK92+(Crescimento!#REF!-(DK92*0.64))/0.8)/1000)-Crescimento!#REF!</f>
        <v>#REF!</v>
      </c>
      <c r="DK93" s="17" t="e">
        <f>-53.07 + (304.89 * (DJ93)) + (90.79 *(Crescimento!#REF!-Crescimento!#REF!)) - (3.13 * (Crescimento!#REF!-Crescimento!#REF!)^2)</f>
        <v>#REF!</v>
      </c>
      <c r="DM93" s="16" t="e">
        <f>((DN92+(Crescimento!#REF!-(DN92*0.64))/0.8)/1000)-Crescimento!#REF!</f>
        <v>#REF!</v>
      </c>
      <c r="DN93" s="17" t="e">
        <f>-53.07 + (304.89 * (DM93)) + (90.79 *(Crescimento!#REF!-Crescimento!#REF!)) - (3.13 * (Crescimento!#REF!-Crescimento!#REF!)^2)</f>
        <v>#REF!</v>
      </c>
      <c r="DP93" s="16" t="e">
        <f>(DQ92+(Crescimento!#REF!-(DQ92*0.64))/0.8)/1000</f>
        <v>#REF!</v>
      </c>
      <c r="DQ93" s="17" t="e">
        <f>-53.07 + (304.89 * (DP93)) + (90.79 *(Crescimento!#REF!-Crescimento!#REF!)) - (3.13 * (Crescimento!#REF!-Crescimento!#REF!)^2)</f>
        <v>#REF!</v>
      </c>
      <c r="DS93" s="16" t="e">
        <f>((DT92+(Crescimento!#REF!-(DT92*0.64))/0.8)/1000)-Crescimento!#REF!</f>
        <v>#REF!</v>
      </c>
      <c r="DT93" s="17" t="e">
        <f>-53.07 + (304.89 * (DS93)) + (90.79 *(Crescimento!#REF!-Crescimento!#REF!)) - (3.13 * (Crescimento!#REF!-Crescimento!#REF!)^2)</f>
        <v>#REF!</v>
      </c>
      <c r="DV93" s="16" t="e">
        <f>((DW92+(Crescimento!#REF!-(DW92*0.64))/0.8)/1000)-Crescimento!#REF!</f>
        <v>#REF!</v>
      </c>
      <c r="DW93" s="17" t="e">
        <f>-53.07 + (304.89 * (DV93)) + (90.79 *(Crescimento!#REF!-Crescimento!#REF!)) - (3.13 * (Crescimento!#REF!-Crescimento!#REF!)^2)</f>
        <v>#REF!</v>
      </c>
      <c r="DY93" s="16" t="e">
        <f>((DZ92+(Crescimento!#REF!-(DZ92*0.64))/0.8)/1000)-Crescimento!#REF!</f>
        <v>#REF!</v>
      </c>
      <c r="DZ93" s="17" t="e">
        <f>-53.07 + (304.89 * (DY93)) + (90.79 *(Crescimento!#REF!-Crescimento!#REF!)) - (3.13 * (Crescimento!#REF!-Crescimento!#REF!)^2)</f>
        <v>#REF!</v>
      </c>
      <c r="EB93" s="16" t="e">
        <f>((EC92+(Crescimento!#REF!-(EC92*0.64))/0.8)/1000)-Crescimento!#REF!</f>
        <v>#REF!</v>
      </c>
      <c r="EC93" s="17" t="e">
        <f>-53.07 + (304.89 * (EB93)) + (90.79 *(Crescimento!#REF!-Crescimento!#REF!)) - (3.13 * (Crescimento!#REF!-Crescimento!#REF!)^2)</f>
        <v>#REF!</v>
      </c>
      <c r="EE93" s="16" t="e">
        <f>((EF92+(Crescimento!#REF!-(EF92*0.64))/0.8)/1000)-Crescimento!#REF!</f>
        <v>#REF!</v>
      </c>
      <c r="EF93" s="17" t="e">
        <f>-53.07 + (304.89 * (EE93)) + (90.79 *(Crescimento!#REF!-Crescimento!#REF!)) - (3.13 * (Crescimento!#REF!-Crescimento!#REF!)^2)</f>
        <v>#REF!</v>
      </c>
      <c r="EH93" s="16" t="e">
        <f>((EI92+(Crescimento!#REF!-(EI92*0.64))/0.8)/1000)-Crescimento!#REF!</f>
        <v>#REF!</v>
      </c>
      <c r="EI93" s="17" t="e">
        <f>-53.07 + (304.89 * (EH93)) + (90.79 *(Crescimento!#REF!-Crescimento!#REF!)) - (3.13 * (Crescimento!#REF!-Crescimento!#REF!)^2)</f>
        <v>#REF!</v>
      </c>
      <c r="EK93" s="16" t="e">
        <f>((EL92+(Crescimento!#REF!-(EL92*0.64))/0.8)/1000)-Crescimento!#REF!</f>
        <v>#REF!</v>
      </c>
      <c r="EL93" s="17" t="e">
        <f>-53.07 + (304.89 * (EK93)) + (90.79 *(Crescimento!#REF!-Crescimento!#REF!)) - (3.13 * (Crescimento!#REF!-Crescimento!#REF!)^2)</f>
        <v>#REF!</v>
      </c>
      <c r="EN93" s="16" t="e">
        <f>((EO92+(Crescimento!#REF!-(EO92*0.64))/0.8)/1000)-Crescimento!#REF!</f>
        <v>#REF!</v>
      </c>
      <c r="EO93" s="17" t="e">
        <f>-53.07 + (304.89 * (EN93)) + (90.79 *(Crescimento!#REF!-Crescimento!#REF!)) - (3.13 * (Crescimento!#REF!-Crescimento!#REF!)^2)</f>
        <v>#REF!</v>
      </c>
      <c r="EQ93" s="16" t="e">
        <f>((ER92+(Crescimento!#REF!-(ER92*0.64))/0.8)/1000)-Crescimento!#REF!</f>
        <v>#REF!</v>
      </c>
      <c r="ER93" s="17" t="e">
        <f>-53.07 + (304.89 * (EQ93)) + (90.79 *(Crescimento!#REF!-Crescimento!#REF!)) - (3.13 * (Crescimento!#REF!-Crescimento!#REF!)^2)</f>
        <v>#REF!</v>
      </c>
      <c r="ET93" s="16" t="e">
        <f>((EU92+(Crescimento!#REF!-(EU92*0.64))/0.8)/1000)-Crescimento!#REF!</f>
        <v>#REF!</v>
      </c>
      <c r="EU93" s="17" t="e">
        <f>-53.07 + (304.89 * (ET93)) + (90.79 *(Crescimento!#REF!-Crescimento!#REF!)) - (3.13 * (Crescimento!#REF!-Crescimento!#REF!)^2)</f>
        <v>#REF!</v>
      </c>
      <c r="EW93" s="16" t="e">
        <f>((EX92+('Vacas e Bezerros'!#REF!-(EX92*0.64))/0.8)/1000)-'Vacas e Bezerros'!#REF!</f>
        <v>#REF!</v>
      </c>
      <c r="EX93" s="17" t="e">
        <f>-53.07 + (304.89 * (EW93)) + (90.79 *('Vacas e Bezerros'!#REF!-'Vacas e Bezerros'!#REF!)) - (3.13 * ('Vacas e Bezerros'!#REF!-'Vacas e Bezerros'!#REF!)^2)</f>
        <v>#REF!</v>
      </c>
      <c r="EZ93" s="16" t="e">
        <f>((FA92+('Vacas e Bezerros'!#REF!-(FA92*0.64))/0.8)/1000)-'Vacas e Bezerros'!#REF!</f>
        <v>#REF!</v>
      </c>
      <c r="FA93" s="17" t="e">
        <f>-53.07 + (304.89 * (EZ93)) + (90.79 *('Vacas e Bezerros'!#REF!-'Vacas e Bezerros'!#REF!)) - (3.13 * ('Vacas e Bezerros'!#REF!-'Vacas e Bezerros'!#REF!)^2)</f>
        <v>#REF!</v>
      </c>
      <c r="FC93" s="16" t="e">
        <f>((FD92+('Vacas e Bezerros'!#REF!-(FD92*0.64))/0.8)/1000)-'Vacas e Bezerros'!#REF!</f>
        <v>#REF!</v>
      </c>
      <c r="FD93" s="17" t="e">
        <f>-53.07 + (304.89 * (FC93)) + (90.79 *('Vacas e Bezerros'!#REF!-'Vacas e Bezerros'!#REF!)) - (3.13 * ('Vacas e Bezerros'!#REF!-'Vacas e Bezerros'!#REF!)^2)</f>
        <v>#REF!</v>
      </c>
      <c r="FF93" s="16" t="e">
        <f>((FG92+('Vacas e Bezerros'!#REF!-(FG92*0.64))/0.8)/1000)-'Vacas e Bezerros'!#REF!</f>
        <v>#REF!</v>
      </c>
      <c r="FG93" s="17" t="e">
        <f>-53.07 + (304.89 * (FF93)) + (90.79 *('Vacas e Bezerros'!#REF!-'Vacas e Bezerros'!#REF!)) - (3.13 * ('Vacas e Bezerros'!#REF!-'Vacas e Bezerros'!#REF!)^2)</f>
        <v>#REF!</v>
      </c>
      <c r="FI93" s="16" t="e">
        <f>((FJ92+('Vacas e Bezerros'!#REF!-(FJ92*0.64))/0.8)/1000)-'Vacas e Bezerros'!#REF!</f>
        <v>#REF!</v>
      </c>
      <c r="FJ93" s="17" t="e">
        <f>-53.07 + (304.89 * (FI93)) + (90.79 *('Vacas e Bezerros'!#REF!-'Vacas e Bezerros'!#REF!)) - (3.13 * ('Vacas e Bezerros'!#REF!-'Vacas e Bezerros'!#REF!)^2)</f>
        <v>#REF!</v>
      </c>
      <c r="FL93" s="16" t="e">
        <f>((FM92+('Vacas e Bezerros'!#REF!-(FM92*0.64))/0.8)/1000)-'Vacas e Bezerros'!#REF!</f>
        <v>#REF!</v>
      </c>
      <c r="FM93" s="17" t="e">
        <f>-53.07 + (304.89 * (FL93)) + (90.79 *('Vacas e Bezerros'!#REF!-'Vacas e Bezerros'!#REF!)) - (3.13 * ('Vacas e Bezerros'!#REF!-'Vacas e Bezerros'!#REF!)^2)</f>
        <v>#REF!</v>
      </c>
      <c r="FO93" s="16" t="e">
        <f>((FP92+('Vacas e Bezerros'!#REF!-(FP92*0.64))/0.8)/1000)-'Vacas e Bezerros'!#REF!</f>
        <v>#REF!</v>
      </c>
      <c r="FP93" s="17" t="e">
        <f>-53.07 + (304.89 * (FO93)) + (90.79 *('Vacas e Bezerros'!#REF!-'Vacas e Bezerros'!#REF!)) - (3.13 * ('Vacas e Bezerros'!#REF!-'Vacas e Bezerros'!#REF!)^2)</f>
        <v>#REF!</v>
      </c>
      <c r="FR93" s="16" t="e">
        <f>((FS92+('Vacas e Bezerros'!#REF!-(FS92*0.64))/0.8)/1000)-'Vacas e Bezerros'!#REF!</f>
        <v>#REF!</v>
      </c>
      <c r="FS93" s="17" t="e">
        <f>-53.07 + (304.89 * (FR93)) + (90.79 *('Vacas e Bezerros'!#REF!-'Vacas e Bezerros'!#REF!)) - (3.13 * ('Vacas e Bezerros'!#REF!-'Vacas e Bezerros'!#REF!)^2)</f>
        <v>#REF!</v>
      </c>
      <c r="FU93" s="16" t="e">
        <f>((FV92+('Vacas e Bezerros'!#REF!-(FV92*0.64))/0.8)/1000)-'Vacas e Bezerros'!#REF!</f>
        <v>#REF!</v>
      </c>
      <c r="FV93" s="17" t="e">
        <f>-53.07 + (304.89 * (FU93)) + (90.79 *('Vacas e Bezerros'!#REF!-'Vacas e Bezerros'!#REF!)) - (3.13 * ('Vacas e Bezerros'!#REF!-'Vacas e Bezerros'!#REF!)^2)</f>
        <v>#REF!</v>
      </c>
      <c r="FX93" s="16" t="e">
        <f>((FY92+('Vacas e Bezerros'!#REF!-(FY92*0.64))/0.8)/1000)-'Vacas e Bezerros'!#REF!</f>
        <v>#REF!</v>
      </c>
      <c r="FY93" s="17" t="e">
        <f>-53.07 + (304.89 * (FX93)) + (90.79 *('Vacas e Bezerros'!#REF!-'Vacas e Bezerros'!#REF!)) - (3.13 * ('Vacas e Bezerros'!#REF!-'Vacas e Bezerros'!#REF!)^2)</f>
        <v>#REF!</v>
      </c>
      <c r="GA93" s="16" t="e">
        <f>((GB92+('Vacas e Bezerros'!#REF!-(GB92*0.64))/0.8)/1000)-'Vacas e Bezerros'!#REF!</f>
        <v>#REF!</v>
      </c>
      <c r="GB93" s="17" t="e">
        <f>-53.07 + (304.89 * (GA93)) + (90.79 *('Vacas e Bezerros'!#REF!-'Vacas e Bezerros'!#REF!)) - (3.13 * ('Vacas e Bezerros'!#REF!-'Vacas e Bezerros'!#REF!)^2)</f>
        <v>#REF!</v>
      </c>
      <c r="GD93" s="16" t="e">
        <f>((GE92+('Vacas e Bezerros'!#REF!-(GE92*0.64))/0.8)/1000)-'Vacas e Bezerros'!#REF!</f>
        <v>#REF!</v>
      </c>
      <c r="GE93" s="17" t="e">
        <f>-53.07 + (304.89 * (GD93)) + (90.79 *('Vacas e Bezerros'!#REF!-'Vacas e Bezerros'!#REF!)) - (3.13 * ('Vacas e Bezerros'!#REF!-'Vacas e Bezerros'!#REF!)^2)</f>
        <v>#REF!</v>
      </c>
      <c r="GG93" s="16" t="e">
        <f>((GH92+('Vacas e Bezerros'!#REF!-(GH92*0.64))/0.8)/1000)-'Vacas e Bezerros'!#REF!</f>
        <v>#REF!</v>
      </c>
      <c r="GH93" s="17" t="e">
        <f>-53.07 + (304.89 * (GG93)) + (90.79 *('Vacas e Bezerros'!#REF!-'Vacas e Bezerros'!#REF!)) - (3.13 * ('Vacas e Bezerros'!#REF!-'Vacas e Bezerros'!#REF!)^2)</f>
        <v>#REF!</v>
      </c>
      <c r="GJ93" s="16" t="e">
        <f>((GK92+('Vacas e Bezerros'!#REF!-(GK92*0.64))/0.8)/1000)-'Vacas e Bezerros'!#REF!</f>
        <v>#REF!</v>
      </c>
      <c r="GK93" s="17" t="e">
        <f>-53.07 + (304.89 * (GJ93)) + (90.79 *('Vacas e Bezerros'!#REF!-'Vacas e Bezerros'!#REF!)) - (3.13 * ('Vacas e Bezerros'!#REF!-'Vacas e Bezerros'!#REF!)^2)</f>
        <v>#REF!</v>
      </c>
      <c r="GM93" s="16" t="e">
        <f>((GN92+('Vacas e Bezerros'!#REF!-(GN92*0.64))/0.8)/1000)-'Vacas e Bezerros'!#REF!</f>
        <v>#REF!</v>
      </c>
      <c r="GN93" s="17" t="e">
        <f>-53.07 + (304.89 * (GM93)) + (90.79 *('Vacas e Bezerros'!#REF!-'Vacas e Bezerros'!#REF!)) - (3.13 * ('Vacas e Bezerros'!#REF!-'Vacas e Bezerros'!#REF!)^2)</f>
        <v>#REF!</v>
      </c>
    </row>
    <row r="94" spans="3:196" x14ac:dyDescent="0.25">
      <c r="C94" s="16">
        <f>(D93+('Vacas e Bezerros'!$AA$28-(D93*0.64))/0.8)/1000</f>
        <v>0.35719668016155687</v>
      </c>
      <c r="D94" s="17">
        <f>-53.07 + (304.89 * (C94-'Vacas e Bezerros'!$C$206)) + (90.79 *('Vacas e Bezerros'!$AA$22)) - (3.13 *('Vacas e Bezerros'!$AA$22)^2)</f>
        <v>165.01876457544017</v>
      </c>
      <c r="F94" s="16" t="e">
        <f>(G93+(Crescimento!#REF!-(G93*0.64))/0.8)/1000</f>
        <v>#REF!</v>
      </c>
      <c r="G94" s="17" t="e">
        <f>-53.07 + (304.89 * (F94)) + (90.79 *Crescimento!#REF!) - (3.13 * Crescimento!#REF!*Crescimento!#REF!)</f>
        <v>#REF!</v>
      </c>
      <c r="H94" s="1"/>
      <c r="I94" s="16" t="e">
        <f>(J93+(Crescimento!#REF!-(J93*0.64))/0.8)/1000</f>
        <v>#REF!</v>
      </c>
      <c r="J94" s="17" t="e">
        <f>-53.07 + (304.89 * (I94)) + (90.79 *Crescimento!#REF!) - (3.13 * Crescimento!#REF!*Crescimento!#REF!)</f>
        <v>#REF!</v>
      </c>
      <c r="L94" s="16" t="e">
        <f>(M93+(Crescimento!#REF!-(M93*0.64))/0.8)/1000</f>
        <v>#REF!</v>
      </c>
      <c r="M94" s="17" t="e">
        <f>-53.07 + (304.89 * (L94)) + (90.79 *Crescimento!#REF!) - (3.13 * Crescimento!#REF!*Crescimento!#REF!)</f>
        <v>#REF!</v>
      </c>
      <c r="O94" s="16" t="e">
        <f>(P93+(Crescimento!#REF!-(P93*0.64))/0.8)/1000</f>
        <v>#REF!</v>
      </c>
      <c r="P94" s="17" t="e">
        <f>-53.07 + (304.89 * (O94)) + (90.79 *Crescimento!#REF!) - (3.13 * Crescimento!#REF!*Crescimento!#REF!)</f>
        <v>#REF!</v>
      </c>
      <c r="R94" s="16" t="e">
        <f>(S93+(Crescimento!#REF!-(S93*0.64))/0.8)/1000</f>
        <v>#REF!</v>
      </c>
      <c r="S94" s="17" t="e">
        <f>-53.07 + (304.89 * (R94)) + (90.79 *Crescimento!#REF!) - (3.13 * Crescimento!#REF!*Crescimento!#REF!)</f>
        <v>#REF!</v>
      </c>
      <c r="U94" s="16" t="e">
        <f>(V93+(Crescimento!#REF!-(V93*0.64))/0.8)/1000</f>
        <v>#REF!</v>
      </c>
      <c r="V94" s="17" t="e">
        <f>-53.07 + (304.89 * (U94)) + (90.79 *Crescimento!#REF!) - (3.13 * Crescimento!#REF!*Crescimento!#REF!)</f>
        <v>#REF!</v>
      </c>
      <c r="X94" s="16" t="e">
        <f>(Y93+(Crescimento!#REF!-(Y93*0.64))/0.8)/1000</f>
        <v>#REF!</v>
      </c>
      <c r="Y94" s="17" t="e">
        <f>-53.07 + (304.89 * (X94)) + (90.79 *Crescimento!#REF!) - (3.13 * Crescimento!#REF!*Crescimento!#REF!)</f>
        <v>#REF!</v>
      </c>
      <c r="Z94" s="6"/>
      <c r="AA94" s="16" t="e">
        <f>(AB93+(Crescimento!#REF!-(AB93*0.64))/0.8)/1000</f>
        <v>#REF!</v>
      </c>
      <c r="AB94" s="17" t="e">
        <f>-53.07 + (304.89 * (AA94)) + (90.79 *Crescimento!#REF!) - (3.13 * Crescimento!#REF!*Crescimento!#REF!)</f>
        <v>#REF!</v>
      </c>
      <c r="AC94" s="6"/>
      <c r="AD94" s="16" t="e">
        <f>(AE93+(Crescimento!#REF!-(AE93*0.64))/0.8)/1000</f>
        <v>#REF!</v>
      </c>
      <c r="AE94" s="17" t="e">
        <f>-53.07 + (304.89 * (AD94)) + (90.79 *Crescimento!#REF!) - (3.13 * Crescimento!#REF!*Crescimento!#REF!)</f>
        <v>#REF!</v>
      </c>
      <c r="AF94" s="17"/>
      <c r="AG94" s="16" t="e">
        <f>(AH93+(Crescimento!#REF!-(AH93*0.64))/0.8)/1000</f>
        <v>#REF!</v>
      </c>
      <c r="AH94" s="17" t="e">
        <f>-53.07 + (304.89 * (AG94)) + (90.79 *Crescimento!#REF!) - (3.13 * Crescimento!#REF!*Crescimento!#REF!)</f>
        <v>#REF!</v>
      </c>
      <c r="AJ94" s="16" t="e">
        <f>(AK93+(Crescimento!#REF!-(AK93*0.64))/0.8)/1000</f>
        <v>#REF!</v>
      </c>
      <c r="AK94" s="17" t="e">
        <f>-53.07 + (304.89 * (AJ94)) + (90.79 *Crescimento!#REF!) - (3.13 * Crescimento!#REF!*Crescimento!#REF!)</f>
        <v>#REF!</v>
      </c>
      <c r="AM94" s="16" t="e">
        <f>(AN93+(Crescimento!#REF!-(AN93*0.64))/0.8)/1000</f>
        <v>#REF!</v>
      </c>
      <c r="AN94" s="17" t="e">
        <f>-53.07 + (304.89 * (AM94)) + (90.79 *Crescimento!#REF!) - (3.13 * Crescimento!#REF!*Crescimento!#REF!)</f>
        <v>#REF!</v>
      </c>
      <c r="AP94" s="16" t="e">
        <f>(AQ93+(Crescimento!#REF!-(AQ93*0.64))/0.8)/1000</f>
        <v>#REF!</v>
      </c>
      <c r="AQ94" s="17" t="e">
        <f>-53.07 + (304.89 * (AP94)) + (90.79 *Crescimento!#REF!) - (3.13 * Crescimento!#REF!*Crescimento!#REF!)</f>
        <v>#REF!</v>
      </c>
      <c r="AS94" s="16" t="e">
        <f>(AT93+(Crescimento!#REF!-(AT93*0.64))/0.8)/1000</f>
        <v>#REF!</v>
      </c>
      <c r="AT94" s="17" t="e">
        <f>-53.07 + (304.89 * (AS94)) + (90.79 *Crescimento!#REF!) - (3.13 * Crescimento!#REF!*Crescimento!#REF!)</f>
        <v>#REF!</v>
      </c>
      <c r="AV94" s="16" t="e">
        <f>(AW93+(Crescimento!#REF!-(AW93*0.64))/0.8)/1000</f>
        <v>#REF!</v>
      </c>
      <c r="AW94" s="17" t="e">
        <f>-53.07 + (304.89 * (AV94)) + (90.79 *Crescimento!#REF!) - (3.13 * Crescimento!#REF!*Crescimento!#REF!)</f>
        <v>#REF!</v>
      </c>
      <c r="AY94" s="21" t="e">
        <f>((AZ93+(Crescimento!#REF!-(AZ93*0.64))/0.8)/1000)-Crescimento!#REF!</f>
        <v>#REF!</v>
      </c>
      <c r="AZ94" s="22" t="e">
        <f>-53.07 + (304.89 * (AY94)) + (90.79 *(Crescimento!#REF!-Crescimento!#REF!)) - (3.13 * (Crescimento!#REF!-Crescimento!#REF!)^2)</f>
        <v>#REF!</v>
      </c>
      <c r="BA94" s="23"/>
      <c r="BB94" s="21" t="e">
        <f>((BC93+(Crescimento!#REF!-(BC93*0.64))/0.8)/1000)-Crescimento!#REF!</f>
        <v>#REF!</v>
      </c>
      <c r="BC94" s="22" t="e">
        <f>-53.07 + (304.89 * (BB94)) + (90.79 *(Crescimento!#REF!-Crescimento!#REF!)) - (3.13 * (Crescimento!#REF!-Crescimento!#REF!)^2)</f>
        <v>#REF!</v>
      </c>
      <c r="BD94" s="23"/>
      <c r="BE94" s="21" t="e">
        <f>((BF93+(Crescimento!#REF!-(BF93*0.64))/0.8)/1000)-Crescimento!#REF!</f>
        <v>#REF!</v>
      </c>
      <c r="BF94" s="22" t="e">
        <f>-53.07 + (304.89 * (BE94)) + (90.79 *(Crescimento!#REF!-Crescimento!#REF!)) - (3.13 * (Crescimento!#REF!-Crescimento!#REF!)^2)</f>
        <v>#REF!</v>
      </c>
      <c r="BG94" s="23"/>
      <c r="BH94" s="21" t="e">
        <f>((BI93+(Crescimento!#REF!-(BI93*0.64))/0.8)/1000)-Crescimento!#REF!</f>
        <v>#REF!</v>
      </c>
      <c r="BI94" s="22" t="e">
        <f>-53.07 + (304.89 * (BH94)) + (90.79 *(Crescimento!#REF!-Crescimento!#REF!)) - (3.13 * (Crescimento!#REF!-Crescimento!#REF!)^2)</f>
        <v>#REF!</v>
      </c>
      <c r="BJ94" s="23"/>
      <c r="BK94" s="21" t="e">
        <f>((BL93+(Crescimento!#REF!-(BL93*0.64))/0.8)/1000)-Crescimento!#REF!</f>
        <v>#REF!</v>
      </c>
      <c r="BL94" s="22" t="e">
        <f>-53.07 + (304.89 * (BK94)) + (90.79 *(Crescimento!#REF!-Crescimento!#REF!)) - (3.13 * (Crescimento!#REF!-Crescimento!#REF!)^2)</f>
        <v>#REF!</v>
      </c>
      <c r="BM94" s="23"/>
      <c r="BN94" s="21" t="e">
        <f>((BO93+(Crescimento!#REF!-(BO93*0.64))/0.8)/1000)-Crescimento!#REF!</f>
        <v>#REF!</v>
      </c>
      <c r="BO94" s="22" t="e">
        <f>-53.07 + (304.89 * (BN94)) + (90.79 *(Crescimento!#REF!-Crescimento!#REF!)) - (3.13 * (Crescimento!#REF!-Crescimento!#REF!)^2)</f>
        <v>#REF!</v>
      </c>
      <c r="BP94" s="23"/>
      <c r="BQ94" s="21" t="e">
        <f>((BR93+(Crescimento!#REF!-(BR93*0.64))/0.8)/1000)-Crescimento!#REF!</f>
        <v>#REF!</v>
      </c>
      <c r="BR94" s="22" t="e">
        <f>-53.07 + (304.89 * (BQ94)) + (90.79 *(Crescimento!#REF!-Crescimento!#REF!)) - (3.13 * (Crescimento!#REF!-Crescimento!#REF!)^2)</f>
        <v>#REF!</v>
      </c>
      <c r="BS94" s="23"/>
      <c r="BT94" s="21" t="e">
        <f>((BU93+(Crescimento!#REF!-(BU93*0.64))/0.8)/1000)-Crescimento!#REF!</f>
        <v>#REF!</v>
      </c>
      <c r="BU94" s="22" t="e">
        <f>-53.07 + (304.89 * (BT94)) + (90.79 *(Crescimento!#REF!-Crescimento!#REF!)) - (3.13 * (Crescimento!#REF!-Crescimento!#REF!)^2)</f>
        <v>#REF!</v>
      </c>
      <c r="BV94" s="23"/>
      <c r="BW94" s="21" t="e">
        <f>((BX93+(Crescimento!#REF!-(BX93*0.64))/0.8)/1000)-Crescimento!#REF!</f>
        <v>#REF!</v>
      </c>
      <c r="BX94" s="22" t="e">
        <f>-53.07 + (304.89 * (BW94)) + (90.79 *(Crescimento!#REF!-Crescimento!#REF!)) - (3.13 * (Crescimento!#REF!-Crescimento!#REF!)^2)</f>
        <v>#REF!</v>
      </c>
      <c r="BY94" s="23"/>
      <c r="BZ94" s="21" t="e">
        <f>((CA93+(Crescimento!#REF!-(CA93*0.64))/0.8)/1000)-Crescimento!#REF!</f>
        <v>#REF!</v>
      </c>
      <c r="CA94" s="22" t="e">
        <f>-53.07 + (304.89 * (BZ94)) + (90.79 *(Crescimento!#REF!-Crescimento!#REF!)) - (3.13 * (Crescimento!#REF!-Crescimento!#REF!)^2)</f>
        <v>#REF!</v>
      </c>
      <c r="CB94" s="23"/>
      <c r="CC94" s="21" t="e">
        <f>((CD93+(Crescimento!#REF!-(CD93*0.64))/0.8)/1000)-Crescimento!#REF!</f>
        <v>#REF!</v>
      </c>
      <c r="CD94" s="22" t="e">
        <f>-53.07 + (304.89 * (CC94)) + (90.79 *(Crescimento!#REF!-Crescimento!#REF!)) - (3.13 * (Crescimento!#REF!-Crescimento!#REF!)^2)</f>
        <v>#REF!</v>
      </c>
      <c r="CE94" s="23"/>
      <c r="CF94" s="21" t="e">
        <f>((CG93+(Crescimento!#REF!-(CG93*0.64))/0.8)/1000)-Crescimento!#REF!</f>
        <v>#REF!</v>
      </c>
      <c r="CG94" s="22" t="e">
        <f>-53.07 + (304.89 * (CF94)) + (90.79 *(Crescimento!#REF!-Crescimento!#REF!)) - (3.13 * (Crescimento!#REF!-Crescimento!#REF!)^2)</f>
        <v>#REF!</v>
      </c>
      <c r="CH94" s="23"/>
      <c r="CI94" s="21" t="e">
        <f>((CJ93+(Crescimento!#REF!-(CJ93*0.64))/0.8)/1000)-Crescimento!#REF!</f>
        <v>#REF!</v>
      </c>
      <c r="CJ94" s="22" t="e">
        <f>-53.07 + (304.89 * (CI94)) + (90.79 *(Crescimento!#REF!-Crescimento!#REF!)) - (3.13 * (Crescimento!#REF!-Crescimento!#REF!)^2)</f>
        <v>#REF!</v>
      </c>
      <c r="CK94" s="23"/>
      <c r="CL94" s="21" t="e">
        <f>((CM93+(Crescimento!#REF!-(CM93*0.64))/0.8)/1000)-Crescimento!#REF!</f>
        <v>#REF!</v>
      </c>
      <c r="CM94" s="22" t="e">
        <f>-53.07 + (304.89 * (CL94)) + (90.79 *(Crescimento!#REF!-Crescimento!#REF!)) - (3.13 * (Crescimento!#REF!-Crescimento!#REF!)^2)</f>
        <v>#REF!</v>
      </c>
      <c r="CN94" s="23"/>
      <c r="CO94" s="21" t="e">
        <f>((CP93+(Crescimento!#REF!-(CP93*0.64))/0.8)/1000)-Crescimento!#REF!</f>
        <v>#REF!</v>
      </c>
      <c r="CP94" s="22" t="e">
        <f>-53.07 + (304.89 * (CO94)) + (90.79 *(Crescimento!#REF!-Crescimento!#REF!)) - (3.13 * (Crescimento!#REF!-Crescimento!#REF!)^2)</f>
        <v>#REF!</v>
      </c>
      <c r="CQ94" s="23"/>
      <c r="CR94" s="21" t="e">
        <f>((CS93+(Crescimento!#REF!-(CS93*0.64))/0.8)/1000)-Crescimento!#REF!</f>
        <v>#REF!</v>
      </c>
      <c r="CS94" s="22" t="e">
        <f>-53.07 + (304.89 * (CR94)) + (90.79 *(Crescimento!#REF!-Crescimento!#REF!)) - (3.13 * (Crescimento!#REF!-Crescimento!#REF!)^2)</f>
        <v>#REF!</v>
      </c>
      <c r="CX94" s="16" t="e">
        <f>((CY93+(Crescimento!#REF!-(CY93*0.64))/0.8)/1000)-Crescimento!#REF!</f>
        <v>#REF!</v>
      </c>
      <c r="CY94" s="17" t="e">
        <f>-53.07 + (304.89 * (CX94)) + (90.79 *(Crescimento!#REF!-Crescimento!#REF!)) - (3.13 * (Crescimento!#REF!-Crescimento!#REF!)^2)</f>
        <v>#REF!</v>
      </c>
      <c r="DA94" s="16" t="e">
        <f>((DB93+(Crescimento!#REF!-(DB93*0.64))/0.8)/1000)-Crescimento!#REF!</f>
        <v>#REF!</v>
      </c>
      <c r="DB94" s="17" t="e">
        <f>-53.07 + (304.89 * (DA94)) + (90.79 *(Crescimento!#REF!-Crescimento!#REF!)) - (3.13 * (Crescimento!#REF!-Crescimento!#REF!)^2)</f>
        <v>#REF!</v>
      </c>
      <c r="DD94" s="16" t="e">
        <f>(DE93+(Crescimento!#REF!-(DE93*0.64))/0.8)/1000</f>
        <v>#REF!</v>
      </c>
      <c r="DE94" s="17" t="e">
        <f>-53.07 + (304.89 * (DD94)) + (90.79 *Crescimento!#REF!) - (3.13 * Crescimento!#REF!*Crescimento!#REF!)</f>
        <v>#REF!</v>
      </c>
      <c r="DG94" s="16" t="e">
        <f>((DH93+(Crescimento!#REF!-(DH93*0.64))/0.8)/1000)-Crescimento!#REF!</f>
        <v>#REF!</v>
      </c>
      <c r="DH94" s="17" t="e">
        <f>-53.07 + (304.89 * (DG94)) + (90.79 *(Crescimento!#REF!-Crescimento!#REF!)) - (3.13 * (Crescimento!#REF!-Crescimento!#REF!)^2)</f>
        <v>#REF!</v>
      </c>
      <c r="DJ94" s="16" t="e">
        <f>((DK93+(Crescimento!#REF!-(DK93*0.64))/0.8)/1000)-Crescimento!#REF!</f>
        <v>#REF!</v>
      </c>
      <c r="DK94" s="17" t="e">
        <f>-53.07 + (304.89 * (DJ94)) + (90.79 *(Crescimento!#REF!-Crescimento!#REF!)) - (3.13 * (Crescimento!#REF!-Crescimento!#REF!)^2)</f>
        <v>#REF!</v>
      </c>
      <c r="DM94" s="16" t="e">
        <f>((DN93+(Crescimento!#REF!-(DN93*0.64))/0.8)/1000)-Crescimento!#REF!</f>
        <v>#REF!</v>
      </c>
      <c r="DN94" s="17" t="e">
        <f>-53.07 + (304.89 * (DM94)) + (90.79 *(Crescimento!#REF!-Crescimento!#REF!)) - (3.13 * (Crescimento!#REF!-Crescimento!#REF!)^2)</f>
        <v>#REF!</v>
      </c>
      <c r="DP94" s="16" t="e">
        <f>(DQ93+(Crescimento!#REF!-(DQ93*0.64))/0.8)/1000</f>
        <v>#REF!</v>
      </c>
      <c r="DQ94" s="17" t="e">
        <f>-53.07 + (304.89 * (DP94)) + (90.79 *(Crescimento!#REF!-Crescimento!#REF!)) - (3.13 * (Crescimento!#REF!-Crescimento!#REF!)^2)</f>
        <v>#REF!</v>
      </c>
      <c r="DS94" s="16" t="e">
        <f>((DT93+(Crescimento!#REF!-(DT93*0.64))/0.8)/1000)-Crescimento!#REF!</f>
        <v>#REF!</v>
      </c>
      <c r="DT94" s="17" t="e">
        <f>-53.07 + (304.89 * (DS94)) + (90.79 *(Crescimento!#REF!-Crescimento!#REF!)) - (3.13 * (Crescimento!#REF!-Crescimento!#REF!)^2)</f>
        <v>#REF!</v>
      </c>
      <c r="DV94" s="16" t="e">
        <f>((DW93+(Crescimento!#REF!-(DW93*0.64))/0.8)/1000)-Crescimento!#REF!</f>
        <v>#REF!</v>
      </c>
      <c r="DW94" s="17" t="e">
        <f>-53.07 + (304.89 * (DV94)) + (90.79 *(Crescimento!#REF!-Crescimento!#REF!)) - (3.13 * (Crescimento!#REF!-Crescimento!#REF!)^2)</f>
        <v>#REF!</v>
      </c>
      <c r="DY94" s="16" t="e">
        <f>((DZ93+(Crescimento!#REF!-(DZ93*0.64))/0.8)/1000)-Crescimento!#REF!</f>
        <v>#REF!</v>
      </c>
      <c r="DZ94" s="17" t="e">
        <f>-53.07 + (304.89 * (DY94)) + (90.79 *(Crescimento!#REF!-Crescimento!#REF!)) - (3.13 * (Crescimento!#REF!-Crescimento!#REF!)^2)</f>
        <v>#REF!</v>
      </c>
      <c r="EB94" s="16" t="e">
        <f>((EC93+(Crescimento!#REF!-(EC93*0.64))/0.8)/1000)-Crescimento!#REF!</f>
        <v>#REF!</v>
      </c>
      <c r="EC94" s="17" t="e">
        <f>-53.07 + (304.89 * (EB94)) + (90.79 *(Crescimento!#REF!-Crescimento!#REF!)) - (3.13 * (Crescimento!#REF!-Crescimento!#REF!)^2)</f>
        <v>#REF!</v>
      </c>
      <c r="EE94" s="16" t="e">
        <f>((EF93+(Crescimento!#REF!-(EF93*0.64))/0.8)/1000)-Crescimento!#REF!</f>
        <v>#REF!</v>
      </c>
      <c r="EF94" s="17" t="e">
        <f>-53.07 + (304.89 * (EE94)) + (90.79 *(Crescimento!#REF!-Crescimento!#REF!)) - (3.13 * (Crescimento!#REF!-Crescimento!#REF!)^2)</f>
        <v>#REF!</v>
      </c>
      <c r="EH94" s="16" t="e">
        <f>((EI93+(Crescimento!#REF!-(EI93*0.64))/0.8)/1000)-Crescimento!#REF!</f>
        <v>#REF!</v>
      </c>
      <c r="EI94" s="17" t="e">
        <f>-53.07 + (304.89 * (EH94)) + (90.79 *(Crescimento!#REF!-Crescimento!#REF!)) - (3.13 * (Crescimento!#REF!-Crescimento!#REF!)^2)</f>
        <v>#REF!</v>
      </c>
      <c r="EK94" s="16" t="e">
        <f>((EL93+(Crescimento!#REF!-(EL93*0.64))/0.8)/1000)-Crescimento!#REF!</f>
        <v>#REF!</v>
      </c>
      <c r="EL94" s="17" t="e">
        <f>-53.07 + (304.89 * (EK94)) + (90.79 *(Crescimento!#REF!-Crescimento!#REF!)) - (3.13 * (Crescimento!#REF!-Crescimento!#REF!)^2)</f>
        <v>#REF!</v>
      </c>
      <c r="EN94" s="16" t="e">
        <f>((EO93+(Crescimento!#REF!-(EO93*0.64))/0.8)/1000)-Crescimento!#REF!</f>
        <v>#REF!</v>
      </c>
      <c r="EO94" s="17" t="e">
        <f>-53.07 + (304.89 * (EN94)) + (90.79 *(Crescimento!#REF!-Crescimento!#REF!)) - (3.13 * (Crescimento!#REF!-Crescimento!#REF!)^2)</f>
        <v>#REF!</v>
      </c>
      <c r="EQ94" s="16" t="e">
        <f>((ER93+(Crescimento!#REF!-(ER93*0.64))/0.8)/1000)-Crescimento!#REF!</f>
        <v>#REF!</v>
      </c>
      <c r="ER94" s="17" t="e">
        <f>-53.07 + (304.89 * (EQ94)) + (90.79 *(Crescimento!#REF!-Crescimento!#REF!)) - (3.13 * (Crescimento!#REF!-Crescimento!#REF!)^2)</f>
        <v>#REF!</v>
      </c>
      <c r="ET94" s="16" t="e">
        <f>((EU93+(Crescimento!#REF!-(EU93*0.64))/0.8)/1000)-Crescimento!#REF!</f>
        <v>#REF!</v>
      </c>
      <c r="EU94" s="17" t="e">
        <f>-53.07 + (304.89 * (ET94)) + (90.79 *(Crescimento!#REF!-Crescimento!#REF!)) - (3.13 * (Crescimento!#REF!-Crescimento!#REF!)^2)</f>
        <v>#REF!</v>
      </c>
      <c r="EW94" s="16" t="e">
        <f>((EX93+('Vacas e Bezerros'!#REF!-(EX93*0.64))/0.8)/1000)-'Vacas e Bezerros'!#REF!</f>
        <v>#REF!</v>
      </c>
      <c r="EX94" s="17" t="e">
        <f>-53.07 + (304.89 * (EW94)) + (90.79 *('Vacas e Bezerros'!#REF!-'Vacas e Bezerros'!#REF!)) - (3.13 * ('Vacas e Bezerros'!#REF!-'Vacas e Bezerros'!#REF!)^2)</f>
        <v>#REF!</v>
      </c>
      <c r="EZ94" s="16" t="e">
        <f>((FA93+('Vacas e Bezerros'!#REF!-(FA93*0.64))/0.8)/1000)-'Vacas e Bezerros'!#REF!</f>
        <v>#REF!</v>
      </c>
      <c r="FA94" s="17" t="e">
        <f>-53.07 + (304.89 * (EZ94)) + (90.79 *('Vacas e Bezerros'!#REF!-'Vacas e Bezerros'!#REF!)) - (3.13 * ('Vacas e Bezerros'!#REF!-'Vacas e Bezerros'!#REF!)^2)</f>
        <v>#REF!</v>
      </c>
      <c r="FC94" s="16" t="e">
        <f>((FD93+('Vacas e Bezerros'!#REF!-(FD93*0.64))/0.8)/1000)-'Vacas e Bezerros'!#REF!</f>
        <v>#REF!</v>
      </c>
      <c r="FD94" s="17" t="e">
        <f>-53.07 + (304.89 * (FC94)) + (90.79 *('Vacas e Bezerros'!#REF!-'Vacas e Bezerros'!#REF!)) - (3.13 * ('Vacas e Bezerros'!#REF!-'Vacas e Bezerros'!#REF!)^2)</f>
        <v>#REF!</v>
      </c>
      <c r="FF94" s="16" t="e">
        <f>((FG93+('Vacas e Bezerros'!#REF!-(FG93*0.64))/0.8)/1000)-'Vacas e Bezerros'!#REF!</f>
        <v>#REF!</v>
      </c>
      <c r="FG94" s="17" t="e">
        <f>-53.07 + (304.89 * (FF94)) + (90.79 *('Vacas e Bezerros'!#REF!-'Vacas e Bezerros'!#REF!)) - (3.13 * ('Vacas e Bezerros'!#REF!-'Vacas e Bezerros'!#REF!)^2)</f>
        <v>#REF!</v>
      </c>
      <c r="FI94" s="16" t="e">
        <f>((FJ93+('Vacas e Bezerros'!#REF!-(FJ93*0.64))/0.8)/1000)-'Vacas e Bezerros'!#REF!</f>
        <v>#REF!</v>
      </c>
      <c r="FJ94" s="17" t="e">
        <f>-53.07 + (304.89 * (FI94)) + (90.79 *('Vacas e Bezerros'!#REF!-'Vacas e Bezerros'!#REF!)) - (3.13 * ('Vacas e Bezerros'!#REF!-'Vacas e Bezerros'!#REF!)^2)</f>
        <v>#REF!</v>
      </c>
      <c r="FL94" s="16" t="e">
        <f>((FM93+('Vacas e Bezerros'!#REF!-(FM93*0.64))/0.8)/1000)-'Vacas e Bezerros'!#REF!</f>
        <v>#REF!</v>
      </c>
      <c r="FM94" s="17" t="e">
        <f>-53.07 + (304.89 * (FL94)) + (90.79 *('Vacas e Bezerros'!#REF!-'Vacas e Bezerros'!#REF!)) - (3.13 * ('Vacas e Bezerros'!#REF!-'Vacas e Bezerros'!#REF!)^2)</f>
        <v>#REF!</v>
      </c>
      <c r="FO94" s="16" t="e">
        <f>((FP93+('Vacas e Bezerros'!#REF!-(FP93*0.64))/0.8)/1000)-'Vacas e Bezerros'!#REF!</f>
        <v>#REF!</v>
      </c>
      <c r="FP94" s="17" t="e">
        <f>-53.07 + (304.89 * (FO94)) + (90.79 *('Vacas e Bezerros'!#REF!-'Vacas e Bezerros'!#REF!)) - (3.13 * ('Vacas e Bezerros'!#REF!-'Vacas e Bezerros'!#REF!)^2)</f>
        <v>#REF!</v>
      </c>
      <c r="FR94" s="16" t="e">
        <f>((FS93+('Vacas e Bezerros'!#REF!-(FS93*0.64))/0.8)/1000)-'Vacas e Bezerros'!#REF!</f>
        <v>#REF!</v>
      </c>
      <c r="FS94" s="17" t="e">
        <f>-53.07 + (304.89 * (FR94)) + (90.79 *('Vacas e Bezerros'!#REF!-'Vacas e Bezerros'!#REF!)) - (3.13 * ('Vacas e Bezerros'!#REF!-'Vacas e Bezerros'!#REF!)^2)</f>
        <v>#REF!</v>
      </c>
      <c r="FU94" s="16" t="e">
        <f>((FV93+('Vacas e Bezerros'!#REF!-(FV93*0.64))/0.8)/1000)-'Vacas e Bezerros'!#REF!</f>
        <v>#REF!</v>
      </c>
      <c r="FV94" s="17" t="e">
        <f>-53.07 + (304.89 * (FU94)) + (90.79 *('Vacas e Bezerros'!#REF!-'Vacas e Bezerros'!#REF!)) - (3.13 * ('Vacas e Bezerros'!#REF!-'Vacas e Bezerros'!#REF!)^2)</f>
        <v>#REF!</v>
      </c>
      <c r="FX94" s="16" t="e">
        <f>((FY93+('Vacas e Bezerros'!#REF!-(FY93*0.64))/0.8)/1000)-'Vacas e Bezerros'!#REF!</f>
        <v>#REF!</v>
      </c>
      <c r="FY94" s="17" t="e">
        <f>-53.07 + (304.89 * (FX94)) + (90.79 *('Vacas e Bezerros'!#REF!-'Vacas e Bezerros'!#REF!)) - (3.13 * ('Vacas e Bezerros'!#REF!-'Vacas e Bezerros'!#REF!)^2)</f>
        <v>#REF!</v>
      </c>
      <c r="GA94" s="16" t="e">
        <f>((GB93+('Vacas e Bezerros'!#REF!-(GB93*0.64))/0.8)/1000)-'Vacas e Bezerros'!#REF!</f>
        <v>#REF!</v>
      </c>
      <c r="GB94" s="17" t="e">
        <f>-53.07 + (304.89 * (GA94)) + (90.79 *('Vacas e Bezerros'!#REF!-'Vacas e Bezerros'!#REF!)) - (3.13 * ('Vacas e Bezerros'!#REF!-'Vacas e Bezerros'!#REF!)^2)</f>
        <v>#REF!</v>
      </c>
      <c r="GD94" s="16" t="e">
        <f>((GE93+('Vacas e Bezerros'!#REF!-(GE93*0.64))/0.8)/1000)-'Vacas e Bezerros'!#REF!</f>
        <v>#REF!</v>
      </c>
      <c r="GE94" s="17" t="e">
        <f>-53.07 + (304.89 * (GD94)) + (90.79 *('Vacas e Bezerros'!#REF!-'Vacas e Bezerros'!#REF!)) - (3.13 * ('Vacas e Bezerros'!#REF!-'Vacas e Bezerros'!#REF!)^2)</f>
        <v>#REF!</v>
      </c>
      <c r="GG94" s="16" t="e">
        <f>((GH93+('Vacas e Bezerros'!#REF!-(GH93*0.64))/0.8)/1000)-'Vacas e Bezerros'!#REF!</f>
        <v>#REF!</v>
      </c>
      <c r="GH94" s="17" t="e">
        <f>-53.07 + (304.89 * (GG94)) + (90.79 *('Vacas e Bezerros'!#REF!-'Vacas e Bezerros'!#REF!)) - (3.13 * ('Vacas e Bezerros'!#REF!-'Vacas e Bezerros'!#REF!)^2)</f>
        <v>#REF!</v>
      </c>
      <c r="GJ94" s="16" t="e">
        <f>((GK93+('Vacas e Bezerros'!#REF!-(GK93*0.64))/0.8)/1000)-'Vacas e Bezerros'!#REF!</f>
        <v>#REF!</v>
      </c>
      <c r="GK94" s="17" t="e">
        <f>-53.07 + (304.89 * (GJ94)) + (90.79 *('Vacas e Bezerros'!#REF!-'Vacas e Bezerros'!#REF!)) - (3.13 * ('Vacas e Bezerros'!#REF!-'Vacas e Bezerros'!#REF!)^2)</f>
        <v>#REF!</v>
      </c>
      <c r="GM94" s="16" t="e">
        <f>((GN93+('Vacas e Bezerros'!#REF!-(GN93*0.64))/0.8)/1000)-'Vacas e Bezerros'!#REF!</f>
        <v>#REF!</v>
      </c>
      <c r="GN94" s="17" t="e">
        <f>-53.07 + (304.89 * (GM94)) + (90.79 *('Vacas e Bezerros'!#REF!-'Vacas e Bezerros'!#REF!)) - (3.13 * ('Vacas e Bezerros'!#REF!-'Vacas e Bezerros'!#REF!)^2)</f>
        <v>#REF!</v>
      </c>
    </row>
    <row r="95" spans="3:196" x14ac:dyDescent="0.25">
      <c r="C95" s="16">
        <f>(D94+('Vacas e Bezerros'!$AA$28-(D94*0.64))/0.8)/1000</f>
        <v>0.35719668016155687</v>
      </c>
      <c r="D95" s="17">
        <f>-53.07 + (304.89 * (C95-'Vacas e Bezerros'!$C$206)) + (90.79 *('Vacas e Bezerros'!$AA$22)) - (3.13 *('Vacas e Bezerros'!$AA$22)^2)</f>
        <v>165.01876457544017</v>
      </c>
      <c r="F95" s="16" t="e">
        <f>(G94+(Crescimento!#REF!-(G94*0.64))/0.8)/1000</f>
        <v>#REF!</v>
      </c>
      <c r="G95" s="17" t="e">
        <f>-53.07 + (304.89 * (F95)) + (90.79 *Crescimento!#REF!) - (3.13 * Crescimento!#REF!*Crescimento!#REF!)</f>
        <v>#REF!</v>
      </c>
      <c r="H95" s="1"/>
      <c r="I95" s="16" t="e">
        <f>(J94+(Crescimento!#REF!-(J94*0.64))/0.8)/1000</f>
        <v>#REF!</v>
      </c>
      <c r="J95" s="17" t="e">
        <f>-53.07 + (304.89 * (I95)) + (90.79 *Crescimento!#REF!) - (3.13 * Crescimento!#REF!*Crescimento!#REF!)</f>
        <v>#REF!</v>
      </c>
      <c r="L95" s="16" t="e">
        <f>(M94+(Crescimento!#REF!-(M94*0.64))/0.8)/1000</f>
        <v>#REF!</v>
      </c>
      <c r="M95" s="17" t="e">
        <f>-53.07 + (304.89 * (L95)) + (90.79 *Crescimento!#REF!) - (3.13 * Crescimento!#REF!*Crescimento!#REF!)</f>
        <v>#REF!</v>
      </c>
      <c r="O95" s="16" t="e">
        <f>(P94+(Crescimento!#REF!-(P94*0.64))/0.8)/1000</f>
        <v>#REF!</v>
      </c>
      <c r="P95" s="17" t="e">
        <f>-53.07 + (304.89 * (O95)) + (90.79 *Crescimento!#REF!) - (3.13 * Crescimento!#REF!*Crescimento!#REF!)</f>
        <v>#REF!</v>
      </c>
      <c r="R95" s="16" t="e">
        <f>(S94+(Crescimento!#REF!-(S94*0.64))/0.8)/1000</f>
        <v>#REF!</v>
      </c>
      <c r="S95" s="17" t="e">
        <f>-53.07 + (304.89 * (R95)) + (90.79 *Crescimento!#REF!) - (3.13 * Crescimento!#REF!*Crescimento!#REF!)</f>
        <v>#REF!</v>
      </c>
      <c r="U95" s="16" t="e">
        <f>(V94+(Crescimento!#REF!-(V94*0.64))/0.8)/1000</f>
        <v>#REF!</v>
      </c>
      <c r="V95" s="17" t="e">
        <f>-53.07 + (304.89 * (U95)) + (90.79 *Crescimento!#REF!) - (3.13 * Crescimento!#REF!*Crescimento!#REF!)</f>
        <v>#REF!</v>
      </c>
      <c r="X95" s="16" t="e">
        <f>(Y94+(Crescimento!#REF!-(Y94*0.64))/0.8)/1000</f>
        <v>#REF!</v>
      </c>
      <c r="Y95" s="17" t="e">
        <f>-53.07 + (304.89 * (X95)) + (90.79 *Crescimento!#REF!) - (3.13 * Crescimento!#REF!*Crescimento!#REF!)</f>
        <v>#REF!</v>
      </c>
      <c r="Z95" s="6"/>
      <c r="AA95" s="16" t="e">
        <f>(AB94+(Crescimento!#REF!-(AB94*0.64))/0.8)/1000</f>
        <v>#REF!</v>
      </c>
      <c r="AB95" s="17" t="e">
        <f>-53.07 + (304.89 * (AA95)) + (90.79 *Crescimento!#REF!) - (3.13 * Crescimento!#REF!*Crescimento!#REF!)</f>
        <v>#REF!</v>
      </c>
      <c r="AC95" s="6"/>
      <c r="AD95" s="16" t="e">
        <f>(AE94+(Crescimento!#REF!-(AE94*0.64))/0.8)/1000</f>
        <v>#REF!</v>
      </c>
      <c r="AE95" s="17" t="e">
        <f>-53.07 + (304.89 * (AD95)) + (90.79 *Crescimento!#REF!) - (3.13 * Crescimento!#REF!*Crescimento!#REF!)</f>
        <v>#REF!</v>
      </c>
      <c r="AF95" s="17"/>
      <c r="AG95" s="16" t="e">
        <f>(AH94+(Crescimento!#REF!-(AH94*0.64))/0.8)/1000</f>
        <v>#REF!</v>
      </c>
      <c r="AH95" s="17" t="e">
        <f>-53.07 + (304.89 * (AG95)) + (90.79 *Crescimento!#REF!) - (3.13 * Crescimento!#REF!*Crescimento!#REF!)</f>
        <v>#REF!</v>
      </c>
      <c r="AJ95" s="16" t="e">
        <f>(AK94+(Crescimento!#REF!-(AK94*0.64))/0.8)/1000</f>
        <v>#REF!</v>
      </c>
      <c r="AK95" s="17" t="e">
        <f>-53.07 + (304.89 * (AJ95)) + (90.79 *Crescimento!#REF!) - (3.13 * Crescimento!#REF!*Crescimento!#REF!)</f>
        <v>#REF!</v>
      </c>
      <c r="AM95" s="16" t="e">
        <f>(AN94+(Crescimento!#REF!-(AN94*0.64))/0.8)/1000</f>
        <v>#REF!</v>
      </c>
      <c r="AN95" s="17" t="e">
        <f>-53.07 + (304.89 * (AM95)) + (90.79 *Crescimento!#REF!) - (3.13 * Crescimento!#REF!*Crescimento!#REF!)</f>
        <v>#REF!</v>
      </c>
      <c r="AP95" s="16" t="e">
        <f>(AQ94+(Crescimento!#REF!-(AQ94*0.64))/0.8)/1000</f>
        <v>#REF!</v>
      </c>
      <c r="AQ95" s="17" t="e">
        <f>-53.07 + (304.89 * (AP95)) + (90.79 *Crescimento!#REF!) - (3.13 * Crescimento!#REF!*Crescimento!#REF!)</f>
        <v>#REF!</v>
      </c>
      <c r="AS95" s="16" t="e">
        <f>(AT94+(Crescimento!#REF!-(AT94*0.64))/0.8)/1000</f>
        <v>#REF!</v>
      </c>
      <c r="AT95" s="17" t="e">
        <f>-53.07 + (304.89 * (AS95)) + (90.79 *Crescimento!#REF!) - (3.13 * Crescimento!#REF!*Crescimento!#REF!)</f>
        <v>#REF!</v>
      </c>
      <c r="AV95" s="16" t="e">
        <f>(AW94+(Crescimento!#REF!-(AW94*0.64))/0.8)/1000</f>
        <v>#REF!</v>
      </c>
      <c r="AW95" s="17" t="e">
        <f>-53.07 + (304.89 * (AV95)) + (90.79 *Crescimento!#REF!) - (3.13 * Crescimento!#REF!*Crescimento!#REF!)</f>
        <v>#REF!</v>
      </c>
      <c r="AY95" s="21" t="e">
        <f>((AZ94+(Crescimento!#REF!-(AZ94*0.64))/0.8)/1000)-Crescimento!#REF!</f>
        <v>#REF!</v>
      </c>
      <c r="AZ95" s="22" t="e">
        <f>-53.07 + (304.89 * (AY95)) + (90.79 *(Crescimento!#REF!-Crescimento!#REF!)) - (3.13 * (Crescimento!#REF!-Crescimento!#REF!)^2)</f>
        <v>#REF!</v>
      </c>
      <c r="BA95" s="23"/>
      <c r="BB95" s="21" t="e">
        <f>((BC94+(Crescimento!#REF!-(BC94*0.64))/0.8)/1000)-Crescimento!#REF!</f>
        <v>#REF!</v>
      </c>
      <c r="BC95" s="22" t="e">
        <f>-53.07 + (304.89 * (BB95)) + (90.79 *(Crescimento!#REF!-Crescimento!#REF!)) - (3.13 * (Crescimento!#REF!-Crescimento!#REF!)^2)</f>
        <v>#REF!</v>
      </c>
      <c r="BD95" s="23"/>
      <c r="BE95" s="21" t="e">
        <f>((BF94+(Crescimento!#REF!-(BF94*0.64))/0.8)/1000)-Crescimento!#REF!</f>
        <v>#REF!</v>
      </c>
      <c r="BF95" s="22" t="e">
        <f>-53.07 + (304.89 * (BE95)) + (90.79 *(Crescimento!#REF!-Crescimento!#REF!)) - (3.13 * (Crescimento!#REF!-Crescimento!#REF!)^2)</f>
        <v>#REF!</v>
      </c>
      <c r="BG95" s="23"/>
      <c r="BH95" s="21" t="e">
        <f>((BI94+(Crescimento!#REF!-(BI94*0.64))/0.8)/1000)-Crescimento!#REF!</f>
        <v>#REF!</v>
      </c>
      <c r="BI95" s="22" t="e">
        <f>-53.07 + (304.89 * (BH95)) + (90.79 *(Crescimento!#REF!-Crescimento!#REF!)) - (3.13 * (Crescimento!#REF!-Crescimento!#REF!)^2)</f>
        <v>#REF!</v>
      </c>
      <c r="BJ95" s="23"/>
      <c r="BK95" s="21" t="e">
        <f>((BL94+(Crescimento!#REF!-(BL94*0.64))/0.8)/1000)-Crescimento!#REF!</f>
        <v>#REF!</v>
      </c>
      <c r="BL95" s="22" t="e">
        <f>-53.07 + (304.89 * (BK95)) + (90.79 *(Crescimento!#REF!-Crescimento!#REF!)) - (3.13 * (Crescimento!#REF!-Crescimento!#REF!)^2)</f>
        <v>#REF!</v>
      </c>
      <c r="BM95" s="23"/>
      <c r="BN95" s="21" t="e">
        <f>((BO94+(Crescimento!#REF!-(BO94*0.64))/0.8)/1000)-Crescimento!#REF!</f>
        <v>#REF!</v>
      </c>
      <c r="BO95" s="22" t="e">
        <f>-53.07 + (304.89 * (BN95)) + (90.79 *(Crescimento!#REF!-Crescimento!#REF!)) - (3.13 * (Crescimento!#REF!-Crescimento!#REF!)^2)</f>
        <v>#REF!</v>
      </c>
      <c r="BP95" s="23"/>
      <c r="BQ95" s="21" t="e">
        <f>((BR94+(Crescimento!#REF!-(BR94*0.64))/0.8)/1000)-Crescimento!#REF!</f>
        <v>#REF!</v>
      </c>
      <c r="BR95" s="22" t="e">
        <f>-53.07 + (304.89 * (BQ95)) + (90.79 *(Crescimento!#REF!-Crescimento!#REF!)) - (3.13 * (Crescimento!#REF!-Crescimento!#REF!)^2)</f>
        <v>#REF!</v>
      </c>
      <c r="BS95" s="23"/>
      <c r="BT95" s="21" t="e">
        <f>((BU94+(Crescimento!#REF!-(BU94*0.64))/0.8)/1000)-Crescimento!#REF!</f>
        <v>#REF!</v>
      </c>
      <c r="BU95" s="22" t="e">
        <f>-53.07 + (304.89 * (BT95)) + (90.79 *(Crescimento!#REF!-Crescimento!#REF!)) - (3.13 * (Crescimento!#REF!-Crescimento!#REF!)^2)</f>
        <v>#REF!</v>
      </c>
      <c r="BV95" s="23"/>
      <c r="BW95" s="21" t="e">
        <f>((BX94+(Crescimento!#REF!-(BX94*0.64))/0.8)/1000)-Crescimento!#REF!</f>
        <v>#REF!</v>
      </c>
      <c r="BX95" s="22" t="e">
        <f>-53.07 + (304.89 * (BW95)) + (90.79 *(Crescimento!#REF!-Crescimento!#REF!)) - (3.13 * (Crescimento!#REF!-Crescimento!#REF!)^2)</f>
        <v>#REF!</v>
      </c>
      <c r="BY95" s="23"/>
      <c r="BZ95" s="21" t="e">
        <f>((CA94+(Crescimento!#REF!-(CA94*0.64))/0.8)/1000)-Crescimento!#REF!</f>
        <v>#REF!</v>
      </c>
      <c r="CA95" s="22" t="e">
        <f>-53.07 + (304.89 * (BZ95)) + (90.79 *(Crescimento!#REF!-Crescimento!#REF!)) - (3.13 * (Crescimento!#REF!-Crescimento!#REF!)^2)</f>
        <v>#REF!</v>
      </c>
      <c r="CB95" s="23"/>
      <c r="CC95" s="21" t="e">
        <f>((CD94+(Crescimento!#REF!-(CD94*0.64))/0.8)/1000)-Crescimento!#REF!</f>
        <v>#REF!</v>
      </c>
      <c r="CD95" s="22" t="e">
        <f>-53.07 + (304.89 * (CC95)) + (90.79 *(Crescimento!#REF!-Crescimento!#REF!)) - (3.13 * (Crescimento!#REF!-Crescimento!#REF!)^2)</f>
        <v>#REF!</v>
      </c>
      <c r="CE95" s="23"/>
      <c r="CF95" s="21" t="e">
        <f>((CG94+(Crescimento!#REF!-(CG94*0.64))/0.8)/1000)-Crescimento!#REF!</f>
        <v>#REF!</v>
      </c>
      <c r="CG95" s="22" t="e">
        <f>-53.07 + (304.89 * (CF95)) + (90.79 *(Crescimento!#REF!-Crescimento!#REF!)) - (3.13 * (Crescimento!#REF!-Crescimento!#REF!)^2)</f>
        <v>#REF!</v>
      </c>
      <c r="CH95" s="23"/>
      <c r="CI95" s="21" t="e">
        <f>((CJ94+(Crescimento!#REF!-(CJ94*0.64))/0.8)/1000)-Crescimento!#REF!</f>
        <v>#REF!</v>
      </c>
      <c r="CJ95" s="22" t="e">
        <f>-53.07 + (304.89 * (CI95)) + (90.79 *(Crescimento!#REF!-Crescimento!#REF!)) - (3.13 * (Crescimento!#REF!-Crescimento!#REF!)^2)</f>
        <v>#REF!</v>
      </c>
      <c r="CK95" s="23"/>
      <c r="CL95" s="21" t="e">
        <f>((CM94+(Crescimento!#REF!-(CM94*0.64))/0.8)/1000)-Crescimento!#REF!</f>
        <v>#REF!</v>
      </c>
      <c r="CM95" s="22" t="e">
        <f>-53.07 + (304.89 * (CL95)) + (90.79 *(Crescimento!#REF!-Crescimento!#REF!)) - (3.13 * (Crescimento!#REF!-Crescimento!#REF!)^2)</f>
        <v>#REF!</v>
      </c>
      <c r="CN95" s="23"/>
      <c r="CO95" s="21" t="e">
        <f>((CP94+(Crescimento!#REF!-(CP94*0.64))/0.8)/1000)-Crescimento!#REF!</f>
        <v>#REF!</v>
      </c>
      <c r="CP95" s="22" t="e">
        <f>-53.07 + (304.89 * (CO95)) + (90.79 *(Crescimento!#REF!-Crescimento!#REF!)) - (3.13 * (Crescimento!#REF!-Crescimento!#REF!)^2)</f>
        <v>#REF!</v>
      </c>
      <c r="CQ95" s="23"/>
      <c r="CR95" s="21" t="e">
        <f>((CS94+(Crescimento!#REF!-(CS94*0.64))/0.8)/1000)-Crescimento!#REF!</f>
        <v>#REF!</v>
      </c>
      <c r="CS95" s="22" t="e">
        <f>-53.07 + (304.89 * (CR95)) + (90.79 *(Crescimento!#REF!-Crescimento!#REF!)) - (3.13 * (Crescimento!#REF!-Crescimento!#REF!)^2)</f>
        <v>#REF!</v>
      </c>
      <c r="CX95" s="16" t="e">
        <f>((CY94+(Crescimento!#REF!-(CY94*0.64))/0.8)/1000)-Crescimento!#REF!</f>
        <v>#REF!</v>
      </c>
      <c r="CY95" s="17" t="e">
        <f>-53.07 + (304.89 * (CX95)) + (90.79 *(Crescimento!#REF!-Crescimento!#REF!)) - (3.13 * (Crescimento!#REF!-Crescimento!#REF!)^2)</f>
        <v>#REF!</v>
      </c>
      <c r="DA95" s="16" t="e">
        <f>((DB94+(Crescimento!#REF!-(DB94*0.64))/0.8)/1000)-Crescimento!#REF!</f>
        <v>#REF!</v>
      </c>
      <c r="DB95" s="17" t="e">
        <f>-53.07 + (304.89 * (DA95)) + (90.79 *(Crescimento!#REF!-Crescimento!#REF!)) - (3.13 * (Crescimento!#REF!-Crescimento!#REF!)^2)</f>
        <v>#REF!</v>
      </c>
      <c r="DD95" s="16" t="e">
        <f>(DE94+(Crescimento!#REF!-(DE94*0.64))/0.8)/1000</f>
        <v>#REF!</v>
      </c>
      <c r="DE95" s="17" t="e">
        <f>-53.07 + (304.89 * (DD95)) + (90.79 *Crescimento!#REF!) - (3.13 * Crescimento!#REF!*Crescimento!#REF!)</f>
        <v>#REF!</v>
      </c>
      <c r="DG95" s="16" t="e">
        <f>((DH94+(Crescimento!#REF!-(DH94*0.64))/0.8)/1000)-Crescimento!#REF!</f>
        <v>#REF!</v>
      </c>
      <c r="DH95" s="17" t="e">
        <f>-53.07 + (304.89 * (DG95)) + (90.79 *(Crescimento!#REF!-Crescimento!#REF!)) - (3.13 * (Crescimento!#REF!-Crescimento!#REF!)^2)</f>
        <v>#REF!</v>
      </c>
      <c r="DJ95" s="16" t="e">
        <f>((DK94+(Crescimento!#REF!-(DK94*0.64))/0.8)/1000)-Crescimento!#REF!</f>
        <v>#REF!</v>
      </c>
      <c r="DK95" s="17" t="e">
        <f>-53.07 + (304.89 * (DJ95)) + (90.79 *(Crescimento!#REF!-Crescimento!#REF!)) - (3.13 * (Crescimento!#REF!-Crescimento!#REF!)^2)</f>
        <v>#REF!</v>
      </c>
      <c r="DM95" s="16" t="e">
        <f>((DN94+(Crescimento!#REF!-(DN94*0.64))/0.8)/1000)-Crescimento!#REF!</f>
        <v>#REF!</v>
      </c>
      <c r="DN95" s="17" t="e">
        <f>-53.07 + (304.89 * (DM95)) + (90.79 *(Crescimento!#REF!-Crescimento!#REF!)) - (3.13 * (Crescimento!#REF!-Crescimento!#REF!)^2)</f>
        <v>#REF!</v>
      </c>
      <c r="DP95" s="16" t="e">
        <f>(DQ94+(Crescimento!#REF!-(DQ94*0.64))/0.8)/1000</f>
        <v>#REF!</v>
      </c>
      <c r="DQ95" s="17" t="e">
        <f>-53.07 + (304.89 * (DP95)) + (90.79 *(Crescimento!#REF!-Crescimento!#REF!)) - (3.13 * (Crescimento!#REF!-Crescimento!#REF!)^2)</f>
        <v>#REF!</v>
      </c>
      <c r="DS95" s="16" t="e">
        <f>((DT94+(Crescimento!#REF!-(DT94*0.64))/0.8)/1000)-Crescimento!#REF!</f>
        <v>#REF!</v>
      </c>
      <c r="DT95" s="17" t="e">
        <f>-53.07 + (304.89 * (DS95)) + (90.79 *(Crescimento!#REF!-Crescimento!#REF!)) - (3.13 * (Crescimento!#REF!-Crescimento!#REF!)^2)</f>
        <v>#REF!</v>
      </c>
      <c r="DV95" s="16" t="e">
        <f>((DW94+(Crescimento!#REF!-(DW94*0.64))/0.8)/1000)-Crescimento!#REF!</f>
        <v>#REF!</v>
      </c>
      <c r="DW95" s="17" t="e">
        <f>-53.07 + (304.89 * (DV95)) + (90.79 *(Crescimento!#REF!-Crescimento!#REF!)) - (3.13 * (Crescimento!#REF!-Crescimento!#REF!)^2)</f>
        <v>#REF!</v>
      </c>
      <c r="DY95" s="16" t="e">
        <f>((DZ94+(Crescimento!#REF!-(DZ94*0.64))/0.8)/1000)-Crescimento!#REF!</f>
        <v>#REF!</v>
      </c>
      <c r="DZ95" s="17" t="e">
        <f>-53.07 + (304.89 * (DY95)) + (90.79 *(Crescimento!#REF!-Crescimento!#REF!)) - (3.13 * (Crescimento!#REF!-Crescimento!#REF!)^2)</f>
        <v>#REF!</v>
      </c>
      <c r="EB95" s="16" t="e">
        <f>((EC94+(Crescimento!#REF!-(EC94*0.64))/0.8)/1000)-Crescimento!#REF!</f>
        <v>#REF!</v>
      </c>
      <c r="EC95" s="17" t="e">
        <f>-53.07 + (304.89 * (EB95)) + (90.79 *(Crescimento!#REF!-Crescimento!#REF!)) - (3.13 * (Crescimento!#REF!-Crescimento!#REF!)^2)</f>
        <v>#REF!</v>
      </c>
      <c r="EE95" s="16" t="e">
        <f>((EF94+(Crescimento!#REF!-(EF94*0.64))/0.8)/1000)-Crescimento!#REF!</f>
        <v>#REF!</v>
      </c>
      <c r="EF95" s="17" t="e">
        <f>-53.07 + (304.89 * (EE95)) + (90.79 *(Crescimento!#REF!-Crescimento!#REF!)) - (3.13 * (Crescimento!#REF!-Crescimento!#REF!)^2)</f>
        <v>#REF!</v>
      </c>
      <c r="EH95" s="16" t="e">
        <f>((EI94+(Crescimento!#REF!-(EI94*0.64))/0.8)/1000)-Crescimento!#REF!</f>
        <v>#REF!</v>
      </c>
      <c r="EI95" s="17" t="e">
        <f>-53.07 + (304.89 * (EH95)) + (90.79 *(Crescimento!#REF!-Crescimento!#REF!)) - (3.13 * (Crescimento!#REF!-Crescimento!#REF!)^2)</f>
        <v>#REF!</v>
      </c>
      <c r="EK95" s="16" t="e">
        <f>((EL94+(Crescimento!#REF!-(EL94*0.64))/0.8)/1000)-Crescimento!#REF!</f>
        <v>#REF!</v>
      </c>
      <c r="EL95" s="17" t="e">
        <f>-53.07 + (304.89 * (EK95)) + (90.79 *(Crescimento!#REF!-Crescimento!#REF!)) - (3.13 * (Crescimento!#REF!-Crescimento!#REF!)^2)</f>
        <v>#REF!</v>
      </c>
      <c r="EN95" s="16" t="e">
        <f>((EO94+(Crescimento!#REF!-(EO94*0.64))/0.8)/1000)-Crescimento!#REF!</f>
        <v>#REF!</v>
      </c>
      <c r="EO95" s="17" t="e">
        <f>-53.07 + (304.89 * (EN95)) + (90.79 *(Crescimento!#REF!-Crescimento!#REF!)) - (3.13 * (Crescimento!#REF!-Crescimento!#REF!)^2)</f>
        <v>#REF!</v>
      </c>
      <c r="EQ95" s="16" t="e">
        <f>((ER94+(Crescimento!#REF!-(ER94*0.64))/0.8)/1000)-Crescimento!#REF!</f>
        <v>#REF!</v>
      </c>
      <c r="ER95" s="17" t="e">
        <f>-53.07 + (304.89 * (EQ95)) + (90.79 *(Crescimento!#REF!-Crescimento!#REF!)) - (3.13 * (Crescimento!#REF!-Crescimento!#REF!)^2)</f>
        <v>#REF!</v>
      </c>
      <c r="ET95" s="16" t="e">
        <f>((EU94+(Crescimento!#REF!-(EU94*0.64))/0.8)/1000)-Crescimento!#REF!</f>
        <v>#REF!</v>
      </c>
      <c r="EU95" s="17" t="e">
        <f>-53.07 + (304.89 * (ET95)) + (90.79 *(Crescimento!#REF!-Crescimento!#REF!)) - (3.13 * (Crescimento!#REF!-Crescimento!#REF!)^2)</f>
        <v>#REF!</v>
      </c>
      <c r="EW95" s="16" t="e">
        <f>((EX94+('Vacas e Bezerros'!#REF!-(EX94*0.64))/0.8)/1000)-'Vacas e Bezerros'!#REF!</f>
        <v>#REF!</v>
      </c>
      <c r="EX95" s="17" t="e">
        <f>-53.07 + (304.89 * (EW95)) + (90.79 *('Vacas e Bezerros'!#REF!-'Vacas e Bezerros'!#REF!)) - (3.13 * ('Vacas e Bezerros'!#REF!-'Vacas e Bezerros'!#REF!)^2)</f>
        <v>#REF!</v>
      </c>
      <c r="EZ95" s="16" t="e">
        <f>((FA94+('Vacas e Bezerros'!#REF!-(FA94*0.64))/0.8)/1000)-'Vacas e Bezerros'!#REF!</f>
        <v>#REF!</v>
      </c>
      <c r="FA95" s="17" t="e">
        <f>-53.07 + (304.89 * (EZ95)) + (90.79 *('Vacas e Bezerros'!#REF!-'Vacas e Bezerros'!#REF!)) - (3.13 * ('Vacas e Bezerros'!#REF!-'Vacas e Bezerros'!#REF!)^2)</f>
        <v>#REF!</v>
      </c>
      <c r="FC95" s="16" t="e">
        <f>((FD94+('Vacas e Bezerros'!#REF!-(FD94*0.64))/0.8)/1000)-'Vacas e Bezerros'!#REF!</f>
        <v>#REF!</v>
      </c>
      <c r="FD95" s="17" t="e">
        <f>-53.07 + (304.89 * (FC95)) + (90.79 *('Vacas e Bezerros'!#REF!-'Vacas e Bezerros'!#REF!)) - (3.13 * ('Vacas e Bezerros'!#REF!-'Vacas e Bezerros'!#REF!)^2)</f>
        <v>#REF!</v>
      </c>
      <c r="FF95" s="16" t="e">
        <f>((FG94+('Vacas e Bezerros'!#REF!-(FG94*0.64))/0.8)/1000)-'Vacas e Bezerros'!#REF!</f>
        <v>#REF!</v>
      </c>
      <c r="FG95" s="17" t="e">
        <f>-53.07 + (304.89 * (FF95)) + (90.79 *('Vacas e Bezerros'!#REF!-'Vacas e Bezerros'!#REF!)) - (3.13 * ('Vacas e Bezerros'!#REF!-'Vacas e Bezerros'!#REF!)^2)</f>
        <v>#REF!</v>
      </c>
      <c r="FI95" s="16" t="e">
        <f>((FJ94+('Vacas e Bezerros'!#REF!-(FJ94*0.64))/0.8)/1000)-'Vacas e Bezerros'!#REF!</f>
        <v>#REF!</v>
      </c>
      <c r="FJ95" s="17" t="e">
        <f>-53.07 + (304.89 * (FI95)) + (90.79 *('Vacas e Bezerros'!#REF!-'Vacas e Bezerros'!#REF!)) - (3.13 * ('Vacas e Bezerros'!#REF!-'Vacas e Bezerros'!#REF!)^2)</f>
        <v>#REF!</v>
      </c>
      <c r="FL95" s="16" t="e">
        <f>((FM94+('Vacas e Bezerros'!#REF!-(FM94*0.64))/0.8)/1000)-'Vacas e Bezerros'!#REF!</f>
        <v>#REF!</v>
      </c>
      <c r="FM95" s="17" t="e">
        <f>-53.07 + (304.89 * (FL95)) + (90.79 *('Vacas e Bezerros'!#REF!-'Vacas e Bezerros'!#REF!)) - (3.13 * ('Vacas e Bezerros'!#REF!-'Vacas e Bezerros'!#REF!)^2)</f>
        <v>#REF!</v>
      </c>
      <c r="FO95" s="16" t="e">
        <f>((FP94+('Vacas e Bezerros'!#REF!-(FP94*0.64))/0.8)/1000)-'Vacas e Bezerros'!#REF!</f>
        <v>#REF!</v>
      </c>
      <c r="FP95" s="17" t="e">
        <f>-53.07 + (304.89 * (FO95)) + (90.79 *('Vacas e Bezerros'!#REF!-'Vacas e Bezerros'!#REF!)) - (3.13 * ('Vacas e Bezerros'!#REF!-'Vacas e Bezerros'!#REF!)^2)</f>
        <v>#REF!</v>
      </c>
      <c r="FR95" s="16" t="e">
        <f>((FS94+('Vacas e Bezerros'!#REF!-(FS94*0.64))/0.8)/1000)-'Vacas e Bezerros'!#REF!</f>
        <v>#REF!</v>
      </c>
      <c r="FS95" s="17" t="e">
        <f>-53.07 + (304.89 * (FR95)) + (90.79 *('Vacas e Bezerros'!#REF!-'Vacas e Bezerros'!#REF!)) - (3.13 * ('Vacas e Bezerros'!#REF!-'Vacas e Bezerros'!#REF!)^2)</f>
        <v>#REF!</v>
      </c>
      <c r="FU95" s="16" t="e">
        <f>((FV94+('Vacas e Bezerros'!#REF!-(FV94*0.64))/0.8)/1000)-'Vacas e Bezerros'!#REF!</f>
        <v>#REF!</v>
      </c>
      <c r="FV95" s="17" t="e">
        <f>-53.07 + (304.89 * (FU95)) + (90.79 *('Vacas e Bezerros'!#REF!-'Vacas e Bezerros'!#REF!)) - (3.13 * ('Vacas e Bezerros'!#REF!-'Vacas e Bezerros'!#REF!)^2)</f>
        <v>#REF!</v>
      </c>
      <c r="FX95" s="16" t="e">
        <f>((FY94+('Vacas e Bezerros'!#REF!-(FY94*0.64))/0.8)/1000)-'Vacas e Bezerros'!#REF!</f>
        <v>#REF!</v>
      </c>
      <c r="FY95" s="17" t="e">
        <f>-53.07 + (304.89 * (FX95)) + (90.79 *('Vacas e Bezerros'!#REF!-'Vacas e Bezerros'!#REF!)) - (3.13 * ('Vacas e Bezerros'!#REF!-'Vacas e Bezerros'!#REF!)^2)</f>
        <v>#REF!</v>
      </c>
      <c r="GA95" s="16" t="e">
        <f>((GB94+('Vacas e Bezerros'!#REF!-(GB94*0.64))/0.8)/1000)-'Vacas e Bezerros'!#REF!</f>
        <v>#REF!</v>
      </c>
      <c r="GB95" s="17" t="e">
        <f>-53.07 + (304.89 * (GA95)) + (90.79 *('Vacas e Bezerros'!#REF!-'Vacas e Bezerros'!#REF!)) - (3.13 * ('Vacas e Bezerros'!#REF!-'Vacas e Bezerros'!#REF!)^2)</f>
        <v>#REF!</v>
      </c>
      <c r="GD95" s="16" t="e">
        <f>((GE94+('Vacas e Bezerros'!#REF!-(GE94*0.64))/0.8)/1000)-'Vacas e Bezerros'!#REF!</f>
        <v>#REF!</v>
      </c>
      <c r="GE95" s="17" t="e">
        <f>-53.07 + (304.89 * (GD95)) + (90.79 *('Vacas e Bezerros'!#REF!-'Vacas e Bezerros'!#REF!)) - (3.13 * ('Vacas e Bezerros'!#REF!-'Vacas e Bezerros'!#REF!)^2)</f>
        <v>#REF!</v>
      </c>
      <c r="GG95" s="16" t="e">
        <f>((GH94+('Vacas e Bezerros'!#REF!-(GH94*0.64))/0.8)/1000)-'Vacas e Bezerros'!#REF!</f>
        <v>#REF!</v>
      </c>
      <c r="GH95" s="17" t="e">
        <f>-53.07 + (304.89 * (GG95)) + (90.79 *('Vacas e Bezerros'!#REF!-'Vacas e Bezerros'!#REF!)) - (3.13 * ('Vacas e Bezerros'!#REF!-'Vacas e Bezerros'!#REF!)^2)</f>
        <v>#REF!</v>
      </c>
      <c r="GJ95" s="16" t="e">
        <f>((GK94+('Vacas e Bezerros'!#REF!-(GK94*0.64))/0.8)/1000)-'Vacas e Bezerros'!#REF!</f>
        <v>#REF!</v>
      </c>
      <c r="GK95" s="17" t="e">
        <f>-53.07 + (304.89 * (GJ95)) + (90.79 *('Vacas e Bezerros'!#REF!-'Vacas e Bezerros'!#REF!)) - (3.13 * ('Vacas e Bezerros'!#REF!-'Vacas e Bezerros'!#REF!)^2)</f>
        <v>#REF!</v>
      </c>
      <c r="GM95" s="16" t="e">
        <f>((GN94+('Vacas e Bezerros'!#REF!-(GN94*0.64))/0.8)/1000)-'Vacas e Bezerros'!#REF!</f>
        <v>#REF!</v>
      </c>
      <c r="GN95" s="17" t="e">
        <f>-53.07 + (304.89 * (GM95)) + (90.79 *('Vacas e Bezerros'!#REF!-'Vacas e Bezerros'!#REF!)) - (3.13 * ('Vacas e Bezerros'!#REF!-'Vacas e Bezerros'!#REF!)^2)</f>
        <v>#REF!</v>
      </c>
    </row>
    <row r="96" spans="3:196" x14ac:dyDescent="0.25">
      <c r="C96" s="16">
        <f>(D95+('Vacas e Bezerros'!$AA$28-(D95*0.64))/0.8)/1000</f>
        <v>0.35719668016155687</v>
      </c>
      <c r="D96" s="17">
        <f>-53.07 + (304.89 * (C96-'Vacas e Bezerros'!$C$206)) + (90.79 *('Vacas e Bezerros'!$AA$22)) - (3.13 *('Vacas e Bezerros'!$AA$22)^2)</f>
        <v>165.01876457544017</v>
      </c>
      <c r="F96" s="16" t="e">
        <f>(G95+(Crescimento!#REF!-(G95*0.64))/0.8)/1000</f>
        <v>#REF!</v>
      </c>
      <c r="G96" s="17" t="e">
        <f>-53.07 + (304.89 * (F96)) + (90.79 *Crescimento!#REF!) - (3.13 * Crescimento!#REF!*Crescimento!#REF!)</f>
        <v>#REF!</v>
      </c>
      <c r="H96" s="1"/>
      <c r="I96" s="16" t="e">
        <f>(J95+(Crescimento!#REF!-(J95*0.64))/0.8)/1000</f>
        <v>#REF!</v>
      </c>
      <c r="J96" s="17" t="e">
        <f>-53.07 + (304.89 * (I96)) + (90.79 *Crescimento!#REF!) - (3.13 * Crescimento!#REF!*Crescimento!#REF!)</f>
        <v>#REF!</v>
      </c>
      <c r="L96" s="16" t="e">
        <f>(M95+(Crescimento!#REF!-(M95*0.64))/0.8)/1000</f>
        <v>#REF!</v>
      </c>
      <c r="M96" s="17" t="e">
        <f>-53.07 + (304.89 * (L96)) + (90.79 *Crescimento!#REF!) - (3.13 * Crescimento!#REF!*Crescimento!#REF!)</f>
        <v>#REF!</v>
      </c>
      <c r="O96" s="16" t="e">
        <f>(P95+(Crescimento!#REF!-(P95*0.64))/0.8)/1000</f>
        <v>#REF!</v>
      </c>
      <c r="P96" s="17" t="e">
        <f>-53.07 + (304.89 * (O96)) + (90.79 *Crescimento!#REF!) - (3.13 * Crescimento!#REF!*Crescimento!#REF!)</f>
        <v>#REF!</v>
      </c>
      <c r="R96" s="16" t="e">
        <f>(S95+(Crescimento!#REF!-(S95*0.64))/0.8)/1000</f>
        <v>#REF!</v>
      </c>
      <c r="S96" s="17" t="e">
        <f>-53.07 + (304.89 * (R96)) + (90.79 *Crescimento!#REF!) - (3.13 * Crescimento!#REF!*Crescimento!#REF!)</f>
        <v>#REF!</v>
      </c>
      <c r="U96" s="16" t="e">
        <f>(V95+(Crescimento!#REF!-(V95*0.64))/0.8)/1000</f>
        <v>#REF!</v>
      </c>
      <c r="V96" s="17" t="e">
        <f>-53.07 + (304.89 * (U96)) + (90.79 *Crescimento!#REF!) - (3.13 * Crescimento!#REF!*Crescimento!#REF!)</f>
        <v>#REF!</v>
      </c>
      <c r="X96" s="16" t="e">
        <f>(Y95+(Crescimento!#REF!-(Y95*0.64))/0.8)/1000</f>
        <v>#REF!</v>
      </c>
      <c r="Y96" s="17" t="e">
        <f>-53.07 + (304.89 * (X96)) + (90.79 *Crescimento!#REF!) - (3.13 * Crescimento!#REF!*Crescimento!#REF!)</f>
        <v>#REF!</v>
      </c>
      <c r="Z96" s="6"/>
      <c r="AA96" s="16" t="e">
        <f>(AB95+(Crescimento!#REF!-(AB95*0.64))/0.8)/1000</f>
        <v>#REF!</v>
      </c>
      <c r="AB96" s="17" t="e">
        <f>-53.07 + (304.89 * (AA96)) + (90.79 *Crescimento!#REF!) - (3.13 * Crescimento!#REF!*Crescimento!#REF!)</f>
        <v>#REF!</v>
      </c>
      <c r="AC96" s="6"/>
      <c r="AD96" s="16" t="e">
        <f>(AE95+(Crescimento!#REF!-(AE95*0.64))/0.8)/1000</f>
        <v>#REF!</v>
      </c>
      <c r="AE96" s="17" t="e">
        <f>-53.07 + (304.89 * (AD96)) + (90.79 *Crescimento!#REF!) - (3.13 * Crescimento!#REF!*Crescimento!#REF!)</f>
        <v>#REF!</v>
      </c>
      <c r="AF96" s="17"/>
      <c r="AG96" s="16" t="e">
        <f>(AH95+(Crescimento!#REF!-(AH95*0.64))/0.8)/1000</f>
        <v>#REF!</v>
      </c>
      <c r="AH96" s="17" t="e">
        <f>-53.07 + (304.89 * (AG96)) + (90.79 *Crescimento!#REF!) - (3.13 * Crescimento!#REF!*Crescimento!#REF!)</f>
        <v>#REF!</v>
      </c>
      <c r="AJ96" s="16" t="e">
        <f>(AK95+(Crescimento!#REF!-(AK95*0.64))/0.8)/1000</f>
        <v>#REF!</v>
      </c>
      <c r="AK96" s="17" t="e">
        <f>-53.07 + (304.89 * (AJ96)) + (90.79 *Crescimento!#REF!) - (3.13 * Crescimento!#REF!*Crescimento!#REF!)</f>
        <v>#REF!</v>
      </c>
      <c r="AM96" s="16" t="e">
        <f>(AN95+(Crescimento!#REF!-(AN95*0.64))/0.8)/1000</f>
        <v>#REF!</v>
      </c>
      <c r="AN96" s="17" t="e">
        <f>-53.07 + (304.89 * (AM96)) + (90.79 *Crescimento!#REF!) - (3.13 * Crescimento!#REF!*Crescimento!#REF!)</f>
        <v>#REF!</v>
      </c>
      <c r="AP96" s="16" t="e">
        <f>(AQ95+(Crescimento!#REF!-(AQ95*0.64))/0.8)/1000</f>
        <v>#REF!</v>
      </c>
      <c r="AQ96" s="17" t="e">
        <f>-53.07 + (304.89 * (AP96)) + (90.79 *Crescimento!#REF!) - (3.13 * Crescimento!#REF!*Crescimento!#REF!)</f>
        <v>#REF!</v>
      </c>
      <c r="AS96" s="16" t="e">
        <f>(AT95+(Crescimento!#REF!-(AT95*0.64))/0.8)/1000</f>
        <v>#REF!</v>
      </c>
      <c r="AT96" s="17" t="e">
        <f>-53.07 + (304.89 * (AS96)) + (90.79 *Crescimento!#REF!) - (3.13 * Crescimento!#REF!*Crescimento!#REF!)</f>
        <v>#REF!</v>
      </c>
      <c r="AV96" s="16" t="e">
        <f>(AW95+(Crescimento!#REF!-(AW95*0.64))/0.8)/1000</f>
        <v>#REF!</v>
      </c>
      <c r="AW96" s="17" t="e">
        <f>-53.07 + (304.89 * (AV96)) + (90.79 *Crescimento!#REF!) - (3.13 * Crescimento!#REF!*Crescimento!#REF!)</f>
        <v>#REF!</v>
      </c>
      <c r="AY96" s="21" t="e">
        <f>((AZ95+(Crescimento!#REF!-(AZ95*0.64))/0.8)/1000)-Crescimento!#REF!</f>
        <v>#REF!</v>
      </c>
      <c r="AZ96" s="22" t="e">
        <f>-53.07 + (304.89 * (AY96)) + (90.79 *(Crescimento!#REF!-Crescimento!#REF!)) - (3.13 * (Crescimento!#REF!-Crescimento!#REF!)^2)</f>
        <v>#REF!</v>
      </c>
      <c r="BA96" s="23"/>
      <c r="BB96" s="21" t="e">
        <f>((BC95+(Crescimento!#REF!-(BC95*0.64))/0.8)/1000)-Crescimento!#REF!</f>
        <v>#REF!</v>
      </c>
      <c r="BC96" s="22" t="e">
        <f>-53.07 + (304.89 * (BB96)) + (90.79 *(Crescimento!#REF!-Crescimento!#REF!)) - (3.13 * (Crescimento!#REF!-Crescimento!#REF!)^2)</f>
        <v>#REF!</v>
      </c>
      <c r="BD96" s="23"/>
      <c r="BE96" s="21" t="e">
        <f>((BF95+(Crescimento!#REF!-(BF95*0.64))/0.8)/1000)-Crescimento!#REF!</f>
        <v>#REF!</v>
      </c>
      <c r="BF96" s="22" t="e">
        <f>-53.07 + (304.89 * (BE96)) + (90.79 *(Crescimento!#REF!-Crescimento!#REF!)) - (3.13 * (Crescimento!#REF!-Crescimento!#REF!)^2)</f>
        <v>#REF!</v>
      </c>
      <c r="BG96" s="23"/>
      <c r="BH96" s="21" t="e">
        <f>((BI95+(Crescimento!#REF!-(BI95*0.64))/0.8)/1000)-Crescimento!#REF!</f>
        <v>#REF!</v>
      </c>
      <c r="BI96" s="22" t="e">
        <f>-53.07 + (304.89 * (BH96)) + (90.79 *(Crescimento!#REF!-Crescimento!#REF!)) - (3.13 * (Crescimento!#REF!-Crescimento!#REF!)^2)</f>
        <v>#REF!</v>
      </c>
      <c r="BJ96" s="23"/>
      <c r="BK96" s="21" t="e">
        <f>((BL95+(Crescimento!#REF!-(BL95*0.64))/0.8)/1000)-Crescimento!#REF!</f>
        <v>#REF!</v>
      </c>
      <c r="BL96" s="22" t="e">
        <f>-53.07 + (304.89 * (BK96)) + (90.79 *(Crescimento!#REF!-Crescimento!#REF!)) - (3.13 * (Crescimento!#REF!-Crescimento!#REF!)^2)</f>
        <v>#REF!</v>
      </c>
      <c r="BM96" s="23"/>
      <c r="BN96" s="21" t="e">
        <f>((BO95+(Crescimento!#REF!-(BO95*0.64))/0.8)/1000)-Crescimento!#REF!</f>
        <v>#REF!</v>
      </c>
      <c r="BO96" s="22" t="e">
        <f>-53.07 + (304.89 * (BN96)) + (90.79 *(Crescimento!#REF!-Crescimento!#REF!)) - (3.13 * (Crescimento!#REF!-Crescimento!#REF!)^2)</f>
        <v>#REF!</v>
      </c>
      <c r="BP96" s="23"/>
      <c r="BQ96" s="21" t="e">
        <f>((BR95+(Crescimento!#REF!-(BR95*0.64))/0.8)/1000)-Crescimento!#REF!</f>
        <v>#REF!</v>
      </c>
      <c r="BR96" s="22" t="e">
        <f>-53.07 + (304.89 * (BQ96)) + (90.79 *(Crescimento!#REF!-Crescimento!#REF!)) - (3.13 * (Crescimento!#REF!-Crescimento!#REF!)^2)</f>
        <v>#REF!</v>
      </c>
      <c r="BS96" s="23"/>
      <c r="BT96" s="21" t="e">
        <f>((BU95+(Crescimento!#REF!-(BU95*0.64))/0.8)/1000)-Crescimento!#REF!</f>
        <v>#REF!</v>
      </c>
      <c r="BU96" s="22" t="e">
        <f>-53.07 + (304.89 * (BT96)) + (90.79 *(Crescimento!#REF!-Crescimento!#REF!)) - (3.13 * (Crescimento!#REF!-Crescimento!#REF!)^2)</f>
        <v>#REF!</v>
      </c>
      <c r="BV96" s="23"/>
      <c r="BW96" s="21" t="e">
        <f>((BX95+(Crescimento!#REF!-(BX95*0.64))/0.8)/1000)-Crescimento!#REF!</f>
        <v>#REF!</v>
      </c>
      <c r="BX96" s="22" t="e">
        <f>-53.07 + (304.89 * (BW96)) + (90.79 *(Crescimento!#REF!-Crescimento!#REF!)) - (3.13 * (Crescimento!#REF!-Crescimento!#REF!)^2)</f>
        <v>#REF!</v>
      </c>
      <c r="BY96" s="23"/>
      <c r="BZ96" s="21" t="e">
        <f>((CA95+(Crescimento!#REF!-(CA95*0.64))/0.8)/1000)-Crescimento!#REF!</f>
        <v>#REF!</v>
      </c>
      <c r="CA96" s="22" t="e">
        <f>-53.07 + (304.89 * (BZ96)) + (90.79 *(Crescimento!#REF!-Crescimento!#REF!)) - (3.13 * (Crescimento!#REF!-Crescimento!#REF!)^2)</f>
        <v>#REF!</v>
      </c>
      <c r="CB96" s="23"/>
      <c r="CC96" s="21" t="e">
        <f>((CD95+(Crescimento!#REF!-(CD95*0.64))/0.8)/1000)-Crescimento!#REF!</f>
        <v>#REF!</v>
      </c>
      <c r="CD96" s="22" t="e">
        <f>-53.07 + (304.89 * (CC96)) + (90.79 *(Crescimento!#REF!-Crescimento!#REF!)) - (3.13 * (Crescimento!#REF!-Crescimento!#REF!)^2)</f>
        <v>#REF!</v>
      </c>
      <c r="CE96" s="23"/>
      <c r="CF96" s="21" t="e">
        <f>((CG95+(Crescimento!#REF!-(CG95*0.64))/0.8)/1000)-Crescimento!#REF!</f>
        <v>#REF!</v>
      </c>
      <c r="CG96" s="22" t="e">
        <f>-53.07 + (304.89 * (CF96)) + (90.79 *(Crescimento!#REF!-Crescimento!#REF!)) - (3.13 * (Crescimento!#REF!-Crescimento!#REF!)^2)</f>
        <v>#REF!</v>
      </c>
      <c r="CH96" s="23"/>
      <c r="CI96" s="21" t="e">
        <f>((CJ95+(Crescimento!#REF!-(CJ95*0.64))/0.8)/1000)-Crescimento!#REF!</f>
        <v>#REF!</v>
      </c>
      <c r="CJ96" s="22" t="e">
        <f>-53.07 + (304.89 * (CI96)) + (90.79 *(Crescimento!#REF!-Crescimento!#REF!)) - (3.13 * (Crescimento!#REF!-Crescimento!#REF!)^2)</f>
        <v>#REF!</v>
      </c>
      <c r="CK96" s="23"/>
      <c r="CL96" s="21" t="e">
        <f>((CM95+(Crescimento!#REF!-(CM95*0.64))/0.8)/1000)-Crescimento!#REF!</f>
        <v>#REF!</v>
      </c>
      <c r="CM96" s="22" t="e">
        <f>-53.07 + (304.89 * (CL96)) + (90.79 *(Crescimento!#REF!-Crescimento!#REF!)) - (3.13 * (Crescimento!#REF!-Crescimento!#REF!)^2)</f>
        <v>#REF!</v>
      </c>
      <c r="CN96" s="23"/>
      <c r="CO96" s="21" t="e">
        <f>((CP95+(Crescimento!#REF!-(CP95*0.64))/0.8)/1000)-Crescimento!#REF!</f>
        <v>#REF!</v>
      </c>
      <c r="CP96" s="22" t="e">
        <f>-53.07 + (304.89 * (CO96)) + (90.79 *(Crescimento!#REF!-Crescimento!#REF!)) - (3.13 * (Crescimento!#REF!-Crescimento!#REF!)^2)</f>
        <v>#REF!</v>
      </c>
      <c r="CQ96" s="23"/>
      <c r="CR96" s="21" t="e">
        <f>((CS95+(Crescimento!#REF!-(CS95*0.64))/0.8)/1000)-Crescimento!#REF!</f>
        <v>#REF!</v>
      </c>
      <c r="CS96" s="22" t="e">
        <f>-53.07 + (304.89 * (CR96)) + (90.79 *(Crescimento!#REF!-Crescimento!#REF!)) - (3.13 * (Crescimento!#REF!-Crescimento!#REF!)^2)</f>
        <v>#REF!</v>
      </c>
      <c r="CX96" s="16" t="e">
        <f>((CY95+(Crescimento!#REF!-(CY95*0.64))/0.8)/1000)-Crescimento!#REF!</f>
        <v>#REF!</v>
      </c>
      <c r="CY96" s="17" t="e">
        <f>-53.07 + (304.89 * (CX96)) + (90.79 *(Crescimento!#REF!-Crescimento!#REF!)) - (3.13 * (Crescimento!#REF!-Crescimento!#REF!)^2)</f>
        <v>#REF!</v>
      </c>
      <c r="DA96" s="16" t="e">
        <f>((DB95+(Crescimento!#REF!-(DB95*0.64))/0.8)/1000)-Crescimento!#REF!</f>
        <v>#REF!</v>
      </c>
      <c r="DB96" s="17" t="e">
        <f>-53.07 + (304.89 * (DA96)) + (90.79 *(Crescimento!#REF!-Crescimento!#REF!)) - (3.13 * (Crescimento!#REF!-Crescimento!#REF!)^2)</f>
        <v>#REF!</v>
      </c>
      <c r="DD96" s="16" t="e">
        <f>(DE95+(Crescimento!#REF!-(DE95*0.64))/0.8)/1000</f>
        <v>#REF!</v>
      </c>
      <c r="DE96" s="17" t="e">
        <f>-53.07 + (304.89 * (DD96)) + (90.79 *Crescimento!#REF!) - (3.13 * Crescimento!#REF!*Crescimento!#REF!)</f>
        <v>#REF!</v>
      </c>
      <c r="DG96" s="16" t="e">
        <f>((DH95+(Crescimento!#REF!-(DH95*0.64))/0.8)/1000)-Crescimento!#REF!</f>
        <v>#REF!</v>
      </c>
      <c r="DH96" s="17" t="e">
        <f>-53.07 + (304.89 * (DG96)) + (90.79 *(Crescimento!#REF!-Crescimento!#REF!)) - (3.13 * (Crescimento!#REF!-Crescimento!#REF!)^2)</f>
        <v>#REF!</v>
      </c>
      <c r="DJ96" s="16" t="e">
        <f>((DK95+(Crescimento!#REF!-(DK95*0.64))/0.8)/1000)-Crescimento!#REF!</f>
        <v>#REF!</v>
      </c>
      <c r="DK96" s="17" t="e">
        <f>-53.07 + (304.89 * (DJ96)) + (90.79 *(Crescimento!#REF!-Crescimento!#REF!)) - (3.13 * (Crescimento!#REF!-Crescimento!#REF!)^2)</f>
        <v>#REF!</v>
      </c>
      <c r="DM96" s="16" t="e">
        <f>((DN95+(Crescimento!#REF!-(DN95*0.64))/0.8)/1000)-Crescimento!#REF!</f>
        <v>#REF!</v>
      </c>
      <c r="DN96" s="17" t="e">
        <f>-53.07 + (304.89 * (DM96)) + (90.79 *(Crescimento!#REF!-Crescimento!#REF!)) - (3.13 * (Crescimento!#REF!-Crescimento!#REF!)^2)</f>
        <v>#REF!</v>
      </c>
      <c r="DP96" s="16" t="e">
        <f>(DQ95+(Crescimento!#REF!-(DQ95*0.64))/0.8)/1000</f>
        <v>#REF!</v>
      </c>
      <c r="DQ96" s="17" t="e">
        <f>-53.07 + (304.89 * (DP96)) + (90.79 *(Crescimento!#REF!-Crescimento!#REF!)) - (3.13 * (Crescimento!#REF!-Crescimento!#REF!)^2)</f>
        <v>#REF!</v>
      </c>
      <c r="DS96" s="16" t="e">
        <f>((DT95+(Crescimento!#REF!-(DT95*0.64))/0.8)/1000)-Crescimento!#REF!</f>
        <v>#REF!</v>
      </c>
      <c r="DT96" s="17" t="e">
        <f>-53.07 + (304.89 * (DS96)) + (90.79 *(Crescimento!#REF!-Crescimento!#REF!)) - (3.13 * (Crescimento!#REF!-Crescimento!#REF!)^2)</f>
        <v>#REF!</v>
      </c>
      <c r="DV96" s="16" t="e">
        <f>((DW95+(Crescimento!#REF!-(DW95*0.64))/0.8)/1000)-Crescimento!#REF!</f>
        <v>#REF!</v>
      </c>
      <c r="DW96" s="17" t="e">
        <f>-53.07 + (304.89 * (DV96)) + (90.79 *(Crescimento!#REF!-Crescimento!#REF!)) - (3.13 * (Crescimento!#REF!-Crescimento!#REF!)^2)</f>
        <v>#REF!</v>
      </c>
      <c r="DY96" s="16" t="e">
        <f>((DZ95+(Crescimento!#REF!-(DZ95*0.64))/0.8)/1000)-Crescimento!#REF!</f>
        <v>#REF!</v>
      </c>
      <c r="DZ96" s="17" t="e">
        <f>-53.07 + (304.89 * (DY96)) + (90.79 *(Crescimento!#REF!-Crescimento!#REF!)) - (3.13 * (Crescimento!#REF!-Crescimento!#REF!)^2)</f>
        <v>#REF!</v>
      </c>
      <c r="EB96" s="16" t="e">
        <f>((EC95+(Crescimento!#REF!-(EC95*0.64))/0.8)/1000)-Crescimento!#REF!</f>
        <v>#REF!</v>
      </c>
      <c r="EC96" s="17" t="e">
        <f>-53.07 + (304.89 * (EB96)) + (90.79 *(Crescimento!#REF!-Crescimento!#REF!)) - (3.13 * (Crescimento!#REF!-Crescimento!#REF!)^2)</f>
        <v>#REF!</v>
      </c>
      <c r="EE96" s="16" t="e">
        <f>((EF95+(Crescimento!#REF!-(EF95*0.64))/0.8)/1000)-Crescimento!#REF!</f>
        <v>#REF!</v>
      </c>
      <c r="EF96" s="17" t="e">
        <f>-53.07 + (304.89 * (EE96)) + (90.79 *(Crescimento!#REF!-Crescimento!#REF!)) - (3.13 * (Crescimento!#REF!-Crescimento!#REF!)^2)</f>
        <v>#REF!</v>
      </c>
      <c r="EH96" s="16" t="e">
        <f>((EI95+(Crescimento!#REF!-(EI95*0.64))/0.8)/1000)-Crescimento!#REF!</f>
        <v>#REF!</v>
      </c>
      <c r="EI96" s="17" t="e">
        <f>-53.07 + (304.89 * (EH96)) + (90.79 *(Crescimento!#REF!-Crescimento!#REF!)) - (3.13 * (Crescimento!#REF!-Crescimento!#REF!)^2)</f>
        <v>#REF!</v>
      </c>
      <c r="EK96" s="16" t="e">
        <f>((EL95+(Crescimento!#REF!-(EL95*0.64))/0.8)/1000)-Crescimento!#REF!</f>
        <v>#REF!</v>
      </c>
      <c r="EL96" s="17" t="e">
        <f>-53.07 + (304.89 * (EK96)) + (90.79 *(Crescimento!#REF!-Crescimento!#REF!)) - (3.13 * (Crescimento!#REF!-Crescimento!#REF!)^2)</f>
        <v>#REF!</v>
      </c>
      <c r="EN96" s="16" t="e">
        <f>((EO95+(Crescimento!#REF!-(EO95*0.64))/0.8)/1000)-Crescimento!#REF!</f>
        <v>#REF!</v>
      </c>
      <c r="EO96" s="17" t="e">
        <f>-53.07 + (304.89 * (EN96)) + (90.79 *(Crescimento!#REF!-Crescimento!#REF!)) - (3.13 * (Crescimento!#REF!-Crescimento!#REF!)^2)</f>
        <v>#REF!</v>
      </c>
      <c r="EQ96" s="16" t="e">
        <f>((ER95+(Crescimento!#REF!-(ER95*0.64))/0.8)/1000)-Crescimento!#REF!</f>
        <v>#REF!</v>
      </c>
      <c r="ER96" s="17" t="e">
        <f>-53.07 + (304.89 * (EQ96)) + (90.79 *(Crescimento!#REF!-Crescimento!#REF!)) - (3.13 * (Crescimento!#REF!-Crescimento!#REF!)^2)</f>
        <v>#REF!</v>
      </c>
      <c r="ET96" s="16" t="e">
        <f>((EU95+(Crescimento!#REF!-(EU95*0.64))/0.8)/1000)-Crescimento!#REF!</f>
        <v>#REF!</v>
      </c>
      <c r="EU96" s="17" t="e">
        <f>-53.07 + (304.89 * (ET96)) + (90.79 *(Crescimento!#REF!-Crescimento!#REF!)) - (3.13 * (Crescimento!#REF!-Crescimento!#REF!)^2)</f>
        <v>#REF!</v>
      </c>
      <c r="EW96" s="16" t="e">
        <f>((EX95+('Vacas e Bezerros'!#REF!-(EX95*0.64))/0.8)/1000)-'Vacas e Bezerros'!#REF!</f>
        <v>#REF!</v>
      </c>
      <c r="EX96" s="17" t="e">
        <f>-53.07 + (304.89 * (EW96)) + (90.79 *('Vacas e Bezerros'!#REF!-'Vacas e Bezerros'!#REF!)) - (3.13 * ('Vacas e Bezerros'!#REF!-'Vacas e Bezerros'!#REF!)^2)</f>
        <v>#REF!</v>
      </c>
      <c r="EZ96" s="16" t="e">
        <f>((FA95+('Vacas e Bezerros'!#REF!-(FA95*0.64))/0.8)/1000)-'Vacas e Bezerros'!#REF!</f>
        <v>#REF!</v>
      </c>
      <c r="FA96" s="17" t="e">
        <f>-53.07 + (304.89 * (EZ96)) + (90.79 *('Vacas e Bezerros'!#REF!-'Vacas e Bezerros'!#REF!)) - (3.13 * ('Vacas e Bezerros'!#REF!-'Vacas e Bezerros'!#REF!)^2)</f>
        <v>#REF!</v>
      </c>
      <c r="FC96" s="16" t="e">
        <f>((FD95+('Vacas e Bezerros'!#REF!-(FD95*0.64))/0.8)/1000)-'Vacas e Bezerros'!#REF!</f>
        <v>#REF!</v>
      </c>
      <c r="FD96" s="17" t="e">
        <f>-53.07 + (304.89 * (FC96)) + (90.79 *('Vacas e Bezerros'!#REF!-'Vacas e Bezerros'!#REF!)) - (3.13 * ('Vacas e Bezerros'!#REF!-'Vacas e Bezerros'!#REF!)^2)</f>
        <v>#REF!</v>
      </c>
      <c r="FF96" s="16" t="e">
        <f>((FG95+('Vacas e Bezerros'!#REF!-(FG95*0.64))/0.8)/1000)-'Vacas e Bezerros'!#REF!</f>
        <v>#REF!</v>
      </c>
      <c r="FG96" s="17" t="e">
        <f>-53.07 + (304.89 * (FF96)) + (90.79 *('Vacas e Bezerros'!#REF!-'Vacas e Bezerros'!#REF!)) - (3.13 * ('Vacas e Bezerros'!#REF!-'Vacas e Bezerros'!#REF!)^2)</f>
        <v>#REF!</v>
      </c>
      <c r="FI96" s="16" t="e">
        <f>((FJ95+('Vacas e Bezerros'!#REF!-(FJ95*0.64))/0.8)/1000)-'Vacas e Bezerros'!#REF!</f>
        <v>#REF!</v>
      </c>
      <c r="FJ96" s="17" t="e">
        <f>-53.07 + (304.89 * (FI96)) + (90.79 *('Vacas e Bezerros'!#REF!-'Vacas e Bezerros'!#REF!)) - (3.13 * ('Vacas e Bezerros'!#REF!-'Vacas e Bezerros'!#REF!)^2)</f>
        <v>#REF!</v>
      </c>
      <c r="FL96" s="16" t="e">
        <f>((FM95+('Vacas e Bezerros'!#REF!-(FM95*0.64))/0.8)/1000)-'Vacas e Bezerros'!#REF!</f>
        <v>#REF!</v>
      </c>
      <c r="FM96" s="17" t="e">
        <f>-53.07 + (304.89 * (FL96)) + (90.79 *('Vacas e Bezerros'!#REF!-'Vacas e Bezerros'!#REF!)) - (3.13 * ('Vacas e Bezerros'!#REF!-'Vacas e Bezerros'!#REF!)^2)</f>
        <v>#REF!</v>
      </c>
      <c r="FO96" s="16" t="e">
        <f>((FP95+('Vacas e Bezerros'!#REF!-(FP95*0.64))/0.8)/1000)-'Vacas e Bezerros'!#REF!</f>
        <v>#REF!</v>
      </c>
      <c r="FP96" s="17" t="e">
        <f>-53.07 + (304.89 * (FO96)) + (90.79 *('Vacas e Bezerros'!#REF!-'Vacas e Bezerros'!#REF!)) - (3.13 * ('Vacas e Bezerros'!#REF!-'Vacas e Bezerros'!#REF!)^2)</f>
        <v>#REF!</v>
      </c>
      <c r="FR96" s="16" t="e">
        <f>((FS95+('Vacas e Bezerros'!#REF!-(FS95*0.64))/0.8)/1000)-'Vacas e Bezerros'!#REF!</f>
        <v>#REF!</v>
      </c>
      <c r="FS96" s="17" t="e">
        <f>-53.07 + (304.89 * (FR96)) + (90.79 *('Vacas e Bezerros'!#REF!-'Vacas e Bezerros'!#REF!)) - (3.13 * ('Vacas e Bezerros'!#REF!-'Vacas e Bezerros'!#REF!)^2)</f>
        <v>#REF!</v>
      </c>
      <c r="FU96" s="16" t="e">
        <f>((FV95+('Vacas e Bezerros'!#REF!-(FV95*0.64))/0.8)/1000)-'Vacas e Bezerros'!#REF!</f>
        <v>#REF!</v>
      </c>
      <c r="FV96" s="17" t="e">
        <f>-53.07 + (304.89 * (FU96)) + (90.79 *('Vacas e Bezerros'!#REF!-'Vacas e Bezerros'!#REF!)) - (3.13 * ('Vacas e Bezerros'!#REF!-'Vacas e Bezerros'!#REF!)^2)</f>
        <v>#REF!</v>
      </c>
      <c r="FX96" s="16" t="e">
        <f>((FY95+('Vacas e Bezerros'!#REF!-(FY95*0.64))/0.8)/1000)-'Vacas e Bezerros'!#REF!</f>
        <v>#REF!</v>
      </c>
      <c r="FY96" s="17" t="e">
        <f>-53.07 + (304.89 * (FX96)) + (90.79 *('Vacas e Bezerros'!#REF!-'Vacas e Bezerros'!#REF!)) - (3.13 * ('Vacas e Bezerros'!#REF!-'Vacas e Bezerros'!#REF!)^2)</f>
        <v>#REF!</v>
      </c>
      <c r="GA96" s="16" t="e">
        <f>((GB95+('Vacas e Bezerros'!#REF!-(GB95*0.64))/0.8)/1000)-'Vacas e Bezerros'!#REF!</f>
        <v>#REF!</v>
      </c>
      <c r="GB96" s="17" t="e">
        <f>-53.07 + (304.89 * (GA96)) + (90.79 *('Vacas e Bezerros'!#REF!-'Vacas e Bezerros'!#REF!)) - (3.13 * ('Vacas e Bezerros'!#REF!-'Vacas e Bezerros'!#REF!)^2)</f>
        <v>#REF!</v>
      </c>
      <c r="GD96" s="16" t="e">
        <f>((GE95+('Vacas e Bezerros'!#REF!-(GE95*0.64))/0.8)/1000)-'Vacas e Bezerros'!#REF!</f>
        <v>#REF!</v>
      </c>
      <c r="GE96" s="17" t="e">
        <f>-53.07 + (304.89 * (GD96)) + (90.79 *('Vacas e Bezerros'!#REF!-'Vacas e Bezerros'!#REF!)) - (3.13 * ('Vacas e Bezerros'!#REF!-'Vacas e Bezerros'!#REF!)^2)</f>
        <v>#REF!</v>
      </c>
      <c r="GG96" s="16" t="e">
        <f>((GH95+('Vacas e Bezerros'!#REF!-(GH95*0.64))/0.8)/1000)-'Vacas e Bezerros'!#REF!</f>
        <v>#REF!</v>
      </c>
      <c r="GH96" s="17" t="e">
        <f>-53.07 + (304.89 * (GG96)) + (90.79 *('Vacas e Bezerros'!#REF!-'Vacas e Bezerros'!#REF!)) - (3.13 * ('Vacas e Bezerros'!#REF!-'Vacas e Bezerros'!#REF!)^2)</f>
        <v>#REF!</v>
      </c>
      <c r="GJ96" s="16" t="e">
        <f>((GK95+('Vacas e Bezerros'!#REF!-(GK95*0.64))/0.8)/1000)-'Vacas e Bezerros'!#REF!</f>
        <v>#REF!</v>
      </c>
      <c r="GK96" s="17" t="e">
        <f>-53.07 + (304.89 * (GJ96)) + (90.79 *('Vacas e Bezerros'!#REF!-'Vacas e Bezerros'!#REF!)) - (3.13 * ('Vacas e Bezerros'!#REF!-'Vacas e Bezerros'!#REF!)^2)</f>
        <v>#REF!</v>
      </c>
      <c r="GM96" s="16" t="e">
        <f>((GN95+('Vacas e Bezerros'!#REF!-(GN95*0.64))/0.8)/1000)-'Vacas e Bezerros'!#REF!</f>
        <v>#REF!</v>
      </c>
      <c r="GN96" s="17" t="e">
        <f>-53.07 + (304.89 * (GM96)) + (90.79 *('Vacas e Bezerros'!#REF!-'Vacas e Bezerros'!#REF!)) - (3.13 * ('Vacas e Bezerros'!#REF!-'Vacas e Bezerros'!#REF!)^2)</f>
        <v>#REF!</v>
      </c>
    </row>
    <row r="97" spans="3:196" x14ac:dyDescent="0.25">
      <c r="C97" s="16">
        <f>(D96+('Vacas e Bezerros'!$AA$28-(D96*0.64))/0.8)/1000</f>
        <v>0.35719668016155687</v>
      </c>
      <c r="D97" s="17">
        <f>-53.07 + (304.89 * (C97-'Vacas e Bezerros'!$C$206)) + (90.79 *('Vacas e Bezerros'!$AA$22)) - (3.13 *('Vacas e Bezerros'!$AA$22)^2)</f>
        <v>165.01876457544017</v>
      </c>
      <c r="F97" s="16" t="e">
        <f>(G96+(Crescimento!#REF!-(G96*0.64))/0.8)/1000</f>
        <v>#REF!</v>
      </c>
      <c r="G97" s="17" t="e">
        <f>-53.07 + (304.89 * (F97)) + (90.79 *Crescimento!#REF!) - (3.13 * Crescimento!#REF!*Crescimento!#REF!)</f>
        <v>#REF!</v>
      </c>
      <c r="H97" s="1"/>
      <c r="I97" s="16" t="e">
        <f>(J96+(Crescimento!#REF!-(J96*0.64))/0.8)/1000</f>
        <v>#REF!</v>
      </c>
      <c r="J97" s="17" t="e">
        <f>-53.07 + (304.89 * (I97)) + (90.79 *Crescimento!#REF!) - (3.13 * Crescimento!#REF!*Crescimento!#REF!)</f>
        <v>#REF!</v>
      </c>
      <c r="L97" s="16" t="e">
        <f>(M96+(Crescimento!#REF!-(M96*0.64))/0.8)/1000</f>
        <v>#REF!</v>
      </c>
      <c r="M97" s="17" t="e">
        <f>-53.07 + (304.89 * (L97)) + (90.79 *Crescimento!#REF!) - (3.13 * Crescimento!#REF!*Crescimento!#REF!)</f>
        <v>#REF!</v>
      </c>
      <c r="O97" s="16" t="e">
        <f>(P96+(Crescimento!#REF!-(P96*0.64))/0.8)/1000</f>
        <v>#REF!</v>
      </c>
      <c r="P97" s="17" t="e">
        <f>-53.07 + (304.89 * (O97)) + (90.79 *Crescimento!#REF!) - (3.13 * Crescimento!#REF!*Crescimento!#REF!)</f>
        <v>#REF!</v>
      </c>
      <c r="R97" s="16" t="e">
        <f>(S96+(Crescimento!#REF!-(S96*0.64))/0.8)/1000</f>
        <v>#REF!</v>
      </c>
      <c r="S97" s="17" t="e">
        <f>-53.07 + (304.89 * (R97)) + (90.79 *Crescimento!#REF!) - (3.13 * Crescimento!#REF!*Crescimento!#REF!)</f>
        <v>#REF!</v>
      </c>
      <c r="U97" s="16" t="e">
        <f>(V96+(Crescimento!#REF!-(V96*0.64))/0.8)/1000</f>
        <v>#REF!</v>
      </c>
      <c r="V97" s="17" t="e">
        <f>-53.07 + (304.89 * (U97)) + (90.79 *Crescimento!#REF!) - (3.13 * Crescimento!#REF!*Crescimento!#REF!)</f>
        <v>#REF!</v>
      </c>
      <c r="X97" s="16" t="e">
        <f>(Y96+(Crescimento!#REF!-(Y96*0.64))/0.8)/1000</f>
        <v>#REF!</v>
      </c>
      <c r="Y97" s="17" t="e">
        <f>-53.07 + (304.89 * (X97)) + (90.79 *Crescimento!#REF!) - (3.13 * Crescimento!#REF!*Crescimento!#REF!)</f>
        <v>#REF!</v>
      </c>
      <c r="Z97" s="6"/>
      <c r="AA97" s="16" t="e">
        <f>(AB96+(Crescimento!#REF!-(AB96*0.64))/0.8)/1000</f>
        <v>#REF!</v>
      </c>
      <c r="AB97" s="17" t="e">
        <f>-53.07 + (304.89 * (AA97)) + (90.79 *Crescimento!#REF!) - (3.13 * Crescimento!#REF!*Crescimento!#REF!)</f>
        <v>#REF!</v>
      </c>
      <c r="AC97" s="6"/>
      <c r="AD97" s="16" t="e">
        <f>(AE96+(Crescimento!#REF!-(AE96*0.64))/0.8)/1000</f>
        <v>#REF!</v>
      </c>
      <c r="AE97" s="17" t="e">
        <f>-53.07 + (304.89 * (AD97)) + (90.79 *Crescimento!#REF!) - (3.13 * Crescimento!#REF!*Crescimento!#REF!)</f>
        <v>#REF!</v>
      </c>
      <c r="AF97" s="17"/>
      <c r="AG97" s="16" t="e">
        <f>(AH96+(Crescimento!#REF!-(AH96*0.64))/0.8)/1000</f>
        <v>#REF!</v>
      </c>
      <c r="AH97" s="17" t="e">
        <f>-53.07 + (304.89 * (AG97)) + (90.79 *Crescimento!#REF!) - (3.13 * Crescimento!#REF!*Crescimento!#REF!)</f>
        <v>#REF!</v>
      </c>
      <c r="AJ97" s="16" t="e">
        <f>(AK96+(Crescimento!#REF!-(AK96*0.64))/0.8)/1000</f>
        <v>#REF!</v>
      </c>
      <c r="AK97" s="17" t="e">
        <f>-53.07 + (304.89 * (AJ97)) + (90.79 *Crescimento!#REF!) - (3.13 * Crescimento!#REF!*Crescimento!#REF!)</f>
        <v>#REF!</v>
      </c>
      <c r="AM97" s="16" t="e">
        <f>(AN96+(Crescimento!#REF!-(AN96*0.64))/0.8)/1000</f>
        <v>#REF!</v>
      </c>
      <c r="AN97" s="17" t="e">
        <f>-53.07 + (304.89 * (AM97)) + (90.79 *Crescimento!#REF!) - (3.13 * Crescimento!#REF!*Crescimento!#REF!)</f>
        <v>#REF!</v>
      </c>
      <c r="AP97" s="16" t="e">
        <f>(AQ96+(Crescimento!#REF!-(AQ96*0.64))/0.8)/1000</f>
        <v>#REF!</v>
      </c>
      <c r="AQ97" s="17" t="e">
        <f>-53.07 + (304.89 * (AP97)) + (90.79 *Crescimento!#REF!) - (3.13 * Crescimento!#REF!*Crescimento!#REF!)</f>
        <v>#REF!</v>
      </c>
      <c r="AS97" s="16" t="e">
        <f>(AT96+(Crescimento!#REF!-(AT96*0.64))/0.8)/1000</f>
        <v>#REF!</v>
      </c>
      <c r="AT97" s="17" t="e">
        <f>-53.07 + (304.89 * (AS97)) + (90.79 *Crescimento!#REF!) - (3.13 * Crescimento!#REF!*Crescimento!#REF!)</f>
        <v>#REF!</v>
      </c>
      <c r="AV97" s="16" t="e">
        <f>(AW96+(Crescimento!#REF!-(AW96*0.64))/0.8)/1000</f>
        <v>#REF!</v>
      </c>
      <c r="AW97" s="17" t="e">
        <f>-53.07 + (304.89 * (AV97)) + (90.79 *Crescimento!#REF!) - (3.13 * Crescimento!#REF!*Crescimento!#REF!)</f>
        <v>#REF!</v>
      </c>
      <c r="AY97" s="21" t="e">
        <f>((AZ96+(Crescimento!#REF!-(AZ96*0.64))/0.8)/1000)-Crescimento!#REF!</f>
        <v>#REF!</v>
      </c>
      <c r="AZ97" s="22" t="e">
        <f>-53.07 + (304.89 * (AY97)) + (90.79 *(Crescimento!#REF!-Crescimento!#REF!)) - (3.13 * (Crescimento!#REF!-Crescimento!#REF!)^2)</f>
        <v>#REF!</v>
      </c>
      <c r="BA97" s="23"/>
      <c r="BB97" s="21" t="e">
        <f>((BC96+(Crescimento!#REF!-(BC96*0.64))/0.8)/1000)-Crescimento!#REF!</f>
        <v>#REF!</v>
      </c>
      <c r="BC97" s="22" t="e">
        <f>-53.07 + (304.89 * (BB97)) + (90.79 *(Crescimento!#REF!-Crescimento!#REF!)) - (3.13 * (Crescimento!#REF!-Crescimento!#REF!)^2)</f>
        <v>#REF!</v>
      </c>
      <c r="BD97" s="23"/>
      <c r="BE97" s="21" t="e">
        <f>((BF96+(Crescimento!#REF!-(BF96*0.64))/0.8)/1000)-Crescimento!#REF!</f>
        <v>#REF!</v>
      </c>
      <c r="BF97" s="22" t="e">
        <f>-53.07 + (304.89 * (BE97)) + (90.79 *(Crescimento!#REF!-Crescimento!#REF!)) - (3.13 * (Crescimento!#REF!-Crescimento!#REF!)^2)</f>
        <v>#REF!</v>
      </c>
      <c r="BG97" s="23"/>
      <c r="BH97" s="21" t="e">
        <f>((BI96+(Crescimento!#REF!-(BI96*0.64))/0.8)/1000)-Crescimento!#REF!</f>
        <v>#REF!</v>
      </c>
      <c r="BI97" s="22" t="e">
        <f>-53.07 + (304.89 * (BH97)) + (90.79 *(Crescimento!#REF!-Crescimento!#REF!)) - (3.13 * (Crescimento!#REF!-Crescimento!#REF!)^2)</f>
        <v>#REF!</v>
      </c>
      <c r="BJ97" s="23"/>
      <c r="BK97" s="21" t="e">
        <f>((BL96+(Crescimento!#REF!-(BL96*0.64))/0.8)/1000)-Crescimento!#REF!</f>
        <v>#REF!</v>
      </c>
      <c r="BL97" s="22" t="e">
        <f>-53.07 + (304.89 * (BK97)) + (90.79 *(Crescimento!#REF!-Crescimento!#REF!)) - (3.13 * (Crescimento!#REF!-Crescimento!#REF!)^2)</f>
        <v>#REF!</v>
      </c>
      <c r="BM97" s="23"/>
      <c r="BN97" s="21" t="e">
        <f>((BO96+(Crescimento!#REF!-(BO96*0.64))/0.8)/1000)-Crescimento!#REF!</f>
        <v>#REF!</v>
      </c>
      <c r="BO97" s="22" t="e">
        <f>-53.07 + (304.89 * (BN97)) + (90.79 *(Crescimento!#REF!-Crescimento!#REF!)) - (3.13 * (Crescimento!#REF!-Crescimento!#REF!)^2)</f>
        <v>#REF!</v>
      </c>
      <c r="BP97" s="23"/>
      <c r="BQ97" s="21" t="e">
        <f>((BR96+(Crescimento!#REF!-(BR96*0.64))/0.8)/1000)-Crescimento!#REF!</f>
        <v>#REF!</v>
      </c>
      <c r="BR97" s="22" t="e">
        <f>-53.07 + (304.89 * (BQ97)) + (90.79 *(Crescimento!#REF!-Crescimento!#REF!)) - (3.13 * (Crescimento!#REF!-Crescimento!#REF!)^2)</f>
        <v>#REF!</v>
      </c>
      <c r="BS97" s="23"/>
      <c r="BT97" s="21" t="e">
        <f>((BU96+(Crescimento!#REF!-(BU96*0.64))/0.8)/1000)-Crescimento!#REF!</f>
        <v>#REF!</v>
      </c>
      <c r="BU97" s="22" t="e">
        <f>-53.07 + (304.89 * (BT97)) + (90.79 *(Crescimento!#REF!-Crescimento!#REF!)) - (3.13 * (Crescimento!#REF!-Crescimento!#REF!)^2)</f>
        <v>#REF!</v>
      </c>
      <c r="BV97" s="23"/>
      <c r="BW97" s="21" t="e">
        <f>((BX96+(Crescimento!#REF!-(BX96*0.64))/0.8)/1000)-Crescimento!#REF!</f>
        <v>#REF!</v>
      </c>
      <c r="BX97" s="22" t="e">
        <f>-53.07 + (304.89 * (BW97)) + (90.79 *(Crescimento!#REF!-Crescimento!#REF!)) - (3.13 * (Crescimento!#REF!-Crescimento!#REF!)^2)</f>
        <v>#REF!</v>
      </c>
      <c r="BY97" s="23"/>
      <c r="BZ97" s="21" t="e">
        <f>((CA96+(Crescimento!#REF!-(CA96*0.64))/0.8)/1000)-Crescimento!#REF!</f>
        <v>#REF!</v>
      </c>
      <c r="CA97" s="22" t="e">
        <f>-53.07 + (304.89 * (BZ97)) + (90.79 *(Crescimento!#REF!-Crescimento!#REF!)) - (3.13 * (Crescimento!#REF!-Crescimento!#REF!)^2)</f>
        <v>#REF!</v>
      </c>
      <c r="CB97" s="23"/>
      <c r="CC97" s="21" t="e">
        <f>((CD96+(Crescimento!#REF!-(CD96*0.64))/0.8)/1000)-Crescimento!#REF!</f>
        <v>#REF!</v>
      </c>
      <c r="CD97" s="22" t="e">
        <f>-53.07 + (304.89 * (CC97)) + (90.79 *(Crescimento!#REF!-Crescimento!#REF!)) - (3.13 * (Crescimento!#REF!-Crescimento!#REF!)^2)</f>
        <v>#REF!</v>
      </c>
      <c r="CE97" s="23"/>
      <c r="CF97" s="21" t="e">
        <f>((CG96+(Crescimento!#REF!-(CG96*0.64))/0.8)/1000)-Crescimento!#REF!</f>
        <v>#REF!</v>
      </c>
      <c r="CG97" s="22" t="e">
        <f>-53.07 + (304.89 * (CF97)) + (90.79 *(Crescimento!#REF!-Crescimento!#REF!)) - (3.13 * (Crescimento!#REF!-Crescimento!#REF!)^2)</f>
        <v>#REF!</v>
      </c>
      <c r="CH97" s="23"/>
      <c r="CI97" s="21" t="e">
        <f>((CJ96+(Crescimento!#REF!-(CJ96*0.64))/0.8)/1000)-Crescimento!#REF!</f>
        <v>#REF!</v>
      </c>
      <c r="CJ97" s="22" t="e">
        <f>-53.07 + (304.89 * (CI97)) + (90.79 *(Crescimento!#REF!-Crescimento!#REF!)) - (3.13 * (Crescimento!#REF!-Crescimento!#REF!)^2)</f>
        <v>#REF!</v>
      </c>
      <c r="CK97" s="23"/>
      <c r="CL97" s="21" t="e">
        <f>((CM96+(Crescimento!#REF!-(CM96*0.64))/0.8)/1000)-Crescimento!#REF!</f>
        <v>#REF!</v>
      </c>
      <c r="CM97" s="22" t="e">
        <f>-53.07 + (304.89 * (CL97)) + (90.79 *(Crescimento!#REF!-Crescimento!#REF!)) - (3.13 * (Crescimento!#REF!-Crescimento!#REF!)^2)</f>
        <v>#REF!</v>
      </c>
      <c r="CN97" s="23"/>
      <c r="CO97" s="21" t="e">
        <f>((CP96+(Crescimento!#REF!-(CP96*0.64))/0.8)/1000)-Crescimento!#REF!</f>
        <v>#REF!</v>
      </c>
      <c r="CP97" s="22" t="e">
        <f>-53.07 + (304.89 * (CO97)) + (90.79 *(Crescimento!#REF!-Crescimento!#REF!)) - (3.13 * (Crescimento!#REF!-Crescimento!#REF!)^2)</f>
        <v>#REF!</v>
      </c>
      <c r="CQ97" s="23"/>
      <c r="CR97" s="21" t="e">
        <f>((CS96+(Crescimento!#REF!-(CS96*0.64))/0.8)/1000)-Crescimento!#REF!</f>
        <v>#REF!</v>
      </c>
      <c r="CS97" s="22" t="e">
        <f>-53.07 + (304.89 * (CR97)) + (90.79 *(Crescimento!#REF!-Crescimento!#REF!)) - (3.13 * (Crescimento!#REF!-Crescimento!#REF!)^2)</f>
        <v>#REF!</v>
      </c>
      <c r="CX97" s="16" t="e">
        <f>((CY96+(Crescimento!#REF!-(CY96*0.64))/0.8)/1000)-Crescimento!#REF!</f>
        <v>#REF!</v>
      </c>
      <c r="CY97" s="17" t="e">
        <f>-53.07 + (304.89 * (CX97)) + (90.79 *(Crescimento!#REF!-Crescimento!#REF!)) - (3.13 * (Crescimento!#REF!-Crescimento!#REF!)^2)</f>
        <v>#REF!</v>
      </c>
      <c r="DA97" s="16" t="e">
        <f>((DB96+(Crescimento!#REF!-(DB96*0.64))/0.8)/1000)-Crescimento!#REF!</f>
        <v>#REF!</v>
      </c>
      <c r="DB97" s="17" t="e">
        <f>-53.07 + (304.89 * (DA97)) + (90.79 *(Crescimento!#REF!-Crescimento!#REF!)) - (3.13 * (Crescimento!#REF!-Crescimento!#REF!)^2)</f>
        <v>#REF!</v>
      </c>
      <c r="DD97" s="16" t="e">
        <f>(DE96+(Crescimento!#REF!-(DE96*0.64))/0.8)/1000</f>
        <v>#REF!</v>
      </c>
      <c r="DE97" s="17" t="e">
        <f>-53.07 + (304.89 * (DD97)) + (90.79 *Crescimento!#REF!) - (3.13 * Crescimento!#REF!*Crescimento!#REF!)</f>
        <v>#REF!</v>
      </c>
      <c r="DG97" s="16" t="e">
        <f>((DH96+(Crescimento!#REF!-(DH96*0.64))/0.8)/1000)-Crescimento!#REF!</f>
        <v>#REF!</v>
      </c>
      <c r="DH97" s="17" t="e">
        <f>-53.07 + (304.89 * (DG97)) + (90.79 *(Crescimento!#REF!-Crescimento!#REF!)) - (3.13 * (Crescimento!#REF!-Crescimento!#REF!)^2)</f>
        <v>#REF!</v>
      </c>
      <c r="DJ97" s="16" t="e">
        <f>((DK96+(Crescimento!#REF!-(DK96*0.64))/0.8)/1000)-Crescimento!#REF!</f>
        <v>#REF!</v>
      </c>
      <c r="DK97" s="17" t="e">
        <f>-53.07 + (304.89 * (DJ97)) + (90.79 *(Crescimento!#REF!-Crescimento!#REF!)) - (3.13 * (Crescimento!#REF!-Crescimento!#REF!)^2)</f>
        <v>#REF!</v>
      </c>
      <c r="DM97" s="16" t="e">
        <f>((DN96+(Crescimento!#REF!-(DN96*0.64))/0.8)/1000)-Crescimento!#REF!</f>
        <v>#REF!</v>
      </c>
      <c r="DN97" s="17" t="e">
        <f>-53.07 + (304.89 * (DM97)) + (90.79 *(Crescimento!#REF!-Crescimento!#REF!)) - (3.13 * (Crescimento!#REF!-Crescimento!#REF!)^2)</f>
        <v>#REF!</v>
      </c>
      <c r="DP97" s="16" t="e">
        <f>(DQ96+(Crescimento!#REF!-(DQ96*0.64))/0.8)/1000</f>
        <v>#REF!</v>
      </c>
      <c r="DQ97" s="17" t="e">
        <f>-53.07 + (304.89 * (DP97)) + (90.79 *(Crescimento!#REF!-Crescimento!#REF!)) - (3.13 * (Crescimento!#REF!-Crescimento!#REF!)^2)</f>
        <v>#REF!</v>
      </c>
      <c r="DS97" s="16" t="e">
        <f>((DT96+(Crescimento!#REF!-(DT96*0.64))/0.8)/1000)-Crescimento!#REF!</f>
        <v>#REF!</v>
      </c>
      <c r="DT97" s="17" t="e">
        <f>-53.07 + (304.89 * (DS97)) + (90.79 *(Crescimento!#REF!-Crescimento!#REF!)) - (3.13 * (Crescimento!#REF!-Crescimento!#REF!)^2)</f>
        <v>#REF!</v>
      </c>
      <c r="DV97" s="16" t="e">
        <f>((DW96+(Crescimento!#REF!-(DW96*0.64))/0.8)/1000)-Crescimento!#REF!</f>
        <v>#REF!</v>
      </c>
      <c r="DW97" s="17" t="e">
        <f>-53.07 + (304.89 * (DV97)) + (90.79 *(Crescimento!#REF!-Crescimento!#REF!)) - (3.13 * (Crescimento!#REF!-Crescimento!#REF!)^2)</f>
        <v>#REF!</v>
      </c>
      <c r="DY97" s="16" t="e">
        <f>((DZ96+(Crescimento!#REF!-(DZ96*0.64))/0.8)/1000)-Crescimento!#REF!</f>
        <v>#REF!</v>
      </c>
      <c r="DZ97" s="17" t="e">
        <f>-53.07 + (304.89 * (DY97)) + (90.79 *(Crescimento!#REF!-Crescimento!#REF!)) - (3.13 * (Crescimento!#REF!-Crescimento!#REF!)^2)</f>
        <v>#REF!</v>
      </c>
      <c r="EB97" s="16" t="e">
        <f>((EC96+(Crescimento!#REF!-(EC96*0.64))/0.8)/1000)-Crescimento!#REF!</f>
        <v>#REF!</v>
      </c>
      <c r="EC97" s="17" t="e">
        <f>-53.07 + (304.89 * (EB97)) + (90.79 *(Crescimento!#REF!-Crescimento!#REF!)) - (3.13 * (Crescimento!#REF!-Crescimento!#REF!)^2)</f>
        <v>#REF!</v>
      </c>
      <c r="EE97" s="16" t="e">
        <f>((EF96+(Crescimento!#REF!-(EF96*0.64))/0.8)/1000)-Crescimento!#REF!</f>
        <v>#REF!</v>
      </c>
      <c r="EF97" s="17" t="e">
        <f>-53.07 + (304.89 * (EE97)) + (90.79 *(Crescimento!#REF!-Crescimento!#REF!)) - (3.13 * (Crescimento!#REF!-Crescimento!#REF!)^2)</f>
        <v>#REF!</v>
      </c>
      <c r="EH97" s="16" t="e">
        <f>((EI96+(Crescimento!#REF!-(EI96*0.64))/0.8)/1000)-Crescimento!#REF!</f>
        <v>#REF!</v>
      </c>
      <c r="EI97" s="17" t="e">
        <f>-53.07 + (304.89 * (EH97)) + (90.79 *(Crescimento!#REF!-Crescimento!#REF!)) - (3.13 * (Crescimento!#REF!-Crescimento!#REF!)^2)</f>
        <v>#REF!</v>
      </c>
      <c r="EK97" s="16" t="e">
        <f>((EL96+(Crescimento!#REF!-(EL96*0.64))/0.8)/1000)-Crescimento!#REF!</f>
        <v>#REF!</v>
      </c>
      <c r="EL97" s="17" t="e">
        <f>-53.07 + (304.89 * (EK97)) + (90.79 *(Crescimento!#REF!-Crescimento!#REF!)) - (3.13 * (Crescimento!#REF!-Crescimento!#REF!)^2)</f>
        <v>#REF!</v>
      </c>
      <c r="EN97" s="16" t="e">
        <f>((EO96+(Crescimento!#REF!-(EO96*0.64))/0.8)/1000)-Crescimento!#REF!</f>
        <v>#REF!</v>
      </c>
      <c r="EO97" s="17" t="e">
        <f>-53.07 + (304.89 * (EN97)) + (90.79 *(Crescimento!#REF!-Crescimento!#REF!)) - (3.13 * (Crescimento!#REF!-Crescimento!#REF!)^2)</f>
        <v>#REF!</v>
      </c>
      <c r="EQ97" s="16" t="e">
        <f>((ER96+(Crescimento!#REF!-(ER96*0.64))/0.8)/1000)-Crescimento!#REF!</f>
        <v>#REF!</v>
      </c>
      <c r="ER97" s="17" t="e">
        <f>-53.07 + (304.89 * (EQ97)) + (90.79 *(Crescimento!#REF!-Crescimento!#REF!)) - (3.13 * (Crescimento!#REF!-Crescimento!#REF!)^2)</f>
        <v>#REF!</v>
      </c>
      <c r="ET97" s="16" t="e">
        <f>((EU96+(Crescimento!#REF!-(EU96*0.64))/0.8)/1000)-Crescimento!#REF!</f>
        <v>#REF!</v>
      </c>
      <c r="EU97" s="17" t="e">
        <f>-53.07 + (304.89 * (ET97)) + (90.79 *(Crescimento!#REF!-Crescimento!#REF!)) - (3.13 * (Crescimento!#REF!-Crescimento!#REF!)^2)</f>
        <v>#REF!</v>
      </c>
      <c r="EW97" s="16" t="e">
        <f>((EX96+('Vacas e Bezerros'!#REF!-(EX96*0.64))/0.8)/1000)-'Vacas e Bezerros'!#REF!</f>
        <v>#REF!</v>
      </c>
      <c r="EX97" s="17" t="e">
        <f>-53.07 + (304.89 * (EW97)) + (90.79 *('Vacas e Bezerros'!#REF!-'Vacas e Bezerros'!#REF!)) - (3.13 * ('Vacas e Bezerros'!#REF!-'Vacas e Bezerros'!#REF!)^2)</f>
        <v>#REF!</v>
      </c>
      <c r="EZ97" s="16" t="e">
        <f>((FA96+('Vacas e Bezerros'!#REF!-(FA96*0.64))/0.8)/1000)-'Vacas e Bezerros'!#REF!</f>
        <v>#REF!</v>
      </c>
      <c r="FA97" s="17" t="e">
        <f>-53.07 + (304.89 * (EZ97)) + (90.79 *('Vacas e Bezerros'!#REF!-'Vacas e Bezerros'!#REF!)) - (3.13 * ('Vacas e Bezerros'!#REF!-'Vacas e Bezerros'!#REF!)^2)</f>
        <v>#REF!</v>
      </c>
      <c r="FC97" s="16" t="e">
        <f>((FD96+('Vacas e Bezerros'!#REF!-(FD96*0.64))/0.8)/1000)-'Vacas e Bezerros'!#REF!</f>
        <v>#REF!</v>
      </c>
      <c r="FD97" s="17" t="e">
        <f>-53.07 + (304.89 * (FC97)) + (90.79 *('Vacas e Bezerros'!#REF!-'Vacas e Bezerros'!#REF!)) - (3.13 * ('Vacas e Bezerros'!#REF!-'Vacas e Bezerros'!#REF!)^2)</f>
        <v>#REF!</v>
      </c>
      <c r="FF97" s="16" t="e">
        <f>((FG96+('Vacas e Bezerros'!#REF!-(FG96*0.64))/0.8)/1000)-'Vacas e Bezerros'!#REF!</f>
        <v>#REF!</v>
      </c>
      <c r="FG97" s="17" t="e">
        <f>-53.07 + (304.89 * (FF97)) + (90.79 *('Vacas e Bezerros'!#REF!-'Vacas e Bezerros'!#REF!)) - (3.13 * ('Vacas e Bezerros'!#REF!-'Vacas e Bezerros'!#REF!)^2)</f>
        <v>#REF!</v>
      </c>
      <c r="FI97" s="16" t="e">
        <f>((FJ96+('Vacas e Bezerros'!#REF!-(FJ96*0.64))/0.8)/1000)-'Vacas e Bezerros'!#REF!</f>
        <v>#REF!</v>
      </c>
      <c r="FJ97" s="17" t="e">
        <f>-53.07 + (304.89 * (FI97)) + (90.79 *('Vacas e Bezerros'!#REF!-'Vacas e Bezerros'!#REF!)) - (3.13 * ('Vacas e Bezerros'!#REF!-'Vacas e Bezerros'!#REF!)^2)</f>
        <v>#REF!</v>
      </c>
      <c r="FL97" s="16" t="e">
        <f>((FM96+('Vacas e Bezerros'!#REF!-(FM96*0.64))/0.8)/1000)-'Vacas e Bezerros'!#REF!</f>
        <v>#REF!</v>
      </c>
      <c r="FM97" s="17" t="e">
        <f>-53.07 + (304.89 * (FL97)) + (90.79 *('Vacas e Bezerros'!#REF!-'Vacas e Bezerros'!#REF!)) - (3.13 * ('Vacas e Bezerros'!#REF!-'Vacas e Bezerros'!#REF!)^2)</f>
        <v>#REF!</v>
      </c>
      <c r="FO97" s="16" t="e">
        <f>((FP96+('Vacas e Bezerros'!#REF!-(FP96*0.64))/0.8)/1000)-'Vacas e Bezerros'!#REF!</f>
        <v>#REF!</v>
      </c>
      <c r="FP97" s="17" t="e">
        <f>-53.07 + (304.89 * (FO97)) + (90.79 *('Vacas e Bezerros'!#REF!-'Vacas e Bezerros'!#REF!)) - (3.13 * ('Vacas e Bezerros'!#REF!-'Vacas e Bezerros'!#REF!)^2)</f>
        <v>#REF!</v>
      </c>
      <c r="FR97" s="16" t="e">
        <f>((FS96+('Vacas e Bezerros'!#REF!-(FS96*0.64))/0.8)/1000)-'Vacas e Bezerros'!#REF!</f>
        <v>#REF!</v>
      </c>
      <c r="FS97" s="17" t="e">
        <f>-53.07 + (304.89 * (FR97)) + (90.79 *('Vacas e Bezerros'!#REF!-'Vacas e Bezerros'!#REF!)) - (3.13 * ('Vacas e Bezerros'!#REF!-'Vacas e Bezerros'!#REF!)^2)</f>
        <v>#REF!</v>
      </c>
      <c r="FU97" s="16" t="e">
        <f>((FV96+('Vacas e Bezerros'!#REF!-(FV96*0.64))/0.8)/1000)-'Vacas e Bezerros'!#REF!</f>
        <v>#REF!</v>
      </c>
      <c r="FV97" s="17" t="e">
        <f>-53.07 + (304.89 * (FU97)) + (90.79 *('Vacas e Bezerros'!#REF!-'Vacas e Bezerros'!#REF!)) - (3.13 * ('Vacas e Bezerros'!#REF!-'Vacas e Bezerros'!#REF!)^2)</f>
        <v>#REF!</v>
      </c>
      <c r="FX97" s="16" t="e">
        <f>((FY96+('Vacas e Bezerros'!#REF!-(FY96*0.64))/0.8)/1000)-'Vacas e Bezerros'!#REF!</f>
        <v>#REF!</v>
      </c>
      <c r="FY97" s="17" t="e">
        <f>-53.07 + (304.89 * (FX97)) + (90.79 *('Vacas e Bezerros'!#REF!-'Vacas e Bezerros'!#REF!)) - (3.13 * ('Vacas e Bezerros'!#REF!-'Vacas e Bezerros'!#REF!)^2)</f>
        <v>#REF!</v>
      </c>
      <c r="GA97" s="16" t="e">
        <f>((GB96+('Vacas e Bezerros'!#REF!-(GB96*0.64))/0.8)/1000)-'Vacas e Bezerros'!#REF!</f>
        <v>#REF!</v>
      </c>
      <c r="GB97" s="17" t="e">
        <f>-53.07 + (304.89 * (GA97)) + (90.79 *('Vacas e Bezerros'!#REF!-'Vacas e Bezerros'!#REF!)) - (3.13 * ('Vacas e Bezerros'!#REF!-'Vacas e Bezerros'!#REF!)^2)</f>
        <v>#REF!</v>
      </c>
      <c r="GD97" s="16" t="e">
        <f>((GE96+('Vacas e Bezerros'!#REF!-(GE96*0.64))/0.8)/1000)-'Vacas e Bezerros'!#REF!</f>
        <v>#REF!</v>
      </c>
      <c r="GE97" s="17" t="e">
        <f>-53.07 + (304.89 * (GD97)) + (90.79 *('Vacas e Bezerros'!#REF!-'Vacas e Bezerros'!#REF!)) - (3.13 * ('Vacas e Bezerros'!#REF!-'Vacas e Bezerros'!#REF!)^2)</f>
        <v>#REF!</v>
      </c>
      <c r="GG97" s="16" t="e">
        <f>((GH96+('Vacas e Bezerros'!#REF!-(GH96*0.64))/0.8)/1000)-'Vacas e Bezerros'!#REF!</f>
        <v>#REF!</v>
      </c>
      <c r="GH97" s="17" t="e">
        <f>-53.07 + (304.89 * (GG97)) + (90.79 *('Vacas e Bezerros'!#REF!-'Vacas e Bezerros'!#REF!)) - (3.13 * ('Vacas e Bezerros'!#REF!-'Vacas e Bezerros'!#REF!)^2)</f>
        <v>#REF!</v>
      </c>
      <c r="GJ97" s="16" t="e">
        <f>((GK96+('Vacas e Bezerros'!#REF!-(GK96*0.64))/0.8)/1000)-'Vacas e Bezerros'!#REF!</f>
        <v>#REF!</v>
      </c>
      <c r="GK97" s="17" t="e">
        <f>-53.07 + (304.89 * (GJ97)) + (90.79 *('Vacas e Bezerros'!#REF!-'Vacas e Bezerros'!#REF!)) - (3.13 * ('Vacas e Bezerros'!#REF!-'Vacas e Bezerros'!#REF!)^2)</f>
        <v>#REF!</v>
      </c>
      <c r="GM97" s="16" t="e">
        <f>((GN96+('Vacas e Bezerros'!#REF!-(GN96*0.64))/0.8)/1000)-'Vacas e Bezerros'!#REF!</f>
        <v>#REF!</v>
      </c>
      <c r="GN97" s="17" t="e">
        <f>-53.07 + (304.89 * (GM97)) + (90.79 *('Vacas e Bezerros'!#REF!-'Vacas e Bezerros'!#REF!)) - (3.13 * ('Vacas e Bezerros'!#REF!-'Vacas e Bezerros'!#REF!)^2)</f>
        <v>#REF!</v>
      </c>
    </row>
    <row r="98" spans="3:196" x14ac:dyDescent="0.25">
      <c r="C98" s="16">
        <f>(D97+('Vacas e Bezerros'!$AA$28-(D97*0.64))/0.8)/1000</f>
        <v>0.35719668016155687</v>
      </c>
      <c r="D98" s="17">
        <f>-53.07 + (304.89 * (C98-'Vacas e Bezerros'!$C$206)) + (90.79 *('Vacas e Bezerros'!$AA$22)) - (3.13 *('Vacas e Bezerros'!$AA$22)^2)</f>
        <v>165.01876457544017</v>
      </c>
      <c r="F98" s="16" t="e">
        <f>(G97+(Crescimento!#REF!-(G97*0.64))/0.8)/1000</f>
        <v>#REF!</v>
      </c>
      <c r="G98" s="17" t="e">
        <f>-53.07 + (304.89 * (F98)) + (90.79 *Crescimento!#REF!) - (3.13 * Crescimento!#REF!*Crescimento!#REF!)</f>
        <v>#REF!</v>
      </c>
      <c r="H98" s="1"/>
      <c r="I98" s="16" t="e">
        <f>(J97+(Crescimento!#REF!-(J97*0.64))/0.8)/1000</f>
        <v>#REF!</v>
      </c>
      <c r="J98" s="17" t="e">
        <f>-53.07 + (304.89 * (I98)) + (90.79 *Crescimento!#REF!) - (3.13 * Crescimento!#REF!*Crescimento!#REF!)</f>
        <v>#REF!</v>
      </c>
      <c r="L98" s="16" t="e">
        <f>(M97+(Crescimento!#REF!-(M97*0.64))/0.8)/1000</f>
        <v>#REF!</v>
      </c>
      <c r="M98" s="17" t="e">
        <f>-53.07 + (304.89 * (L98)) + (90.79 *Crescimento!#REF!) - (3.13 * Crescimento!#REF!*Crescimento!#REF!)</f>
        <v>#REF!</v>
      </c>
      <c r="O98" s="16" t="e">
        <f>(P97+(Crescimento!#REF!-(P97*0.64))/0.8)/1000</f>
        <v>#REF!</v>
      </c>
      <c r="P98" s="17" t="e">
        <f>-53.07 + (304.89 * (O98)) + (90.79 *Crescimento!#REF!) - (3.13 * Crescimento!#REF!*Crescimento!#REF!)</f>
        <v>#REF!</v>
      </c>
      <c r="R98" s="16" t="e">
        <f>(S97+(Crescimento!#REF!-(S97*0.64))/0.8)/1000</f>
        <v>#REF!</v>
      </c>
      <c r="S98" s="17" t="e">
        <f>-53.07 + (304.89 * (R98)) + (90.79 *Crescimento!#REF!) - (3.13 * Crescimento!#REF!*Crescimento!#REF!)</f>
        <v>#REF!</v>
      </c>
      <c r="U98" s="16" t="e">
        <f>(V97+(Crescimento!#REF!-(V97*0.64))/0.8)/1000</f>
        <v>#REF!</v>
      </c>
      <c r="V98" s="17" t="e">
        <f>-53.07 + (304.89 * (U98)) + (90.79 *Crescimento!#REF!) - (3.13 * Crescimento!#REF!*Crescimento!#REF!)</f>
        <v>#REF!</v>
      </c>
      <c r="X98" s="16" t="e">
        <f>(Y97+(Crescimento!#REF!-(Y97*0.64))/0.8)/1000</f>
        <v>#REF!</v>
      </c>
      <c r="Y98" s="17" t="e">
        <f>-53.07 + (304.89 * (X98)) + (90.79 *Crescimento!#REF!) - (3.13 * Crescimento!#REF!*Crescimento!#REF!)</f>
        <v>#REF!</v>
      </c>
      <c r="Z98" s="6"/>
      <c r="AA98" s="16" t="e">
        <f>(AB97+(Crescimento!#REF!-(AB97*0.64))/0.8)/1000</f>
        <v>#REF!</v>
      </c>
      <c r="AB98" s="17" t="e">
        <f>-53.07 + (304.89 * (AA98)) + (90.79 *Crescimento!#REF!) - (3.13 * Crescimento!#REF!*Crescimento!#REF!)</f>
        <v>#REF!</v>
      </c>
      <c r="AC98" s="6"/>
      <c r="AD98" s="16" t="e">
        <f>(AE97+(Crescimento!#REF!-(AE97*0.64))/0.8)/1000</f>
        <v>#REF!</v>
      </c>
      <c r="AE98" s="17" t="e">
        <f>-53.07 + (304.89 * (AD98)) + (90.79 *Crescimento!#REF!) - (3.13 * Crescimento!#REF!*Crescimento!#REF!)</f>
        <v>#REF!</v>
      </c>
      <c r="AF98" s="17"/>
      <c r="AG98" s="16" t="e">
        <f>(AH97+(Crescimento!#REF!-(AH97*0.64))/0.8)/1000</f>
        <v>#REF!</v>
      </c>
      <c r="AH98" s="17" t="e">
        <f>-53.07 + (304.89 * (AG98)) + (90.79 *Crescimento!#REF!) - (3.13 * Crescimento!#REF!*Crescimento!#REF!)</f>
        <v>#REF!</v>
      </c>
      <c r="AJ98" s="16" t="e">
        <f>(AK97+(Crescimento!#REF!-(AK97*0.64))/0.8)/1000</f>
        <v>#REF!</v>
      </c>
      <c r="AK98" s="17" t="e">
        <f>-53.07 + (304.89 * (AJ98)) + (90.79 *Crescimento!#REF!) - (3.13 * Crescimento!#REF!*Crescimento!#REF!)</f>
        <v>#REF!</v>
      </c>
      <c r="AM98" s="16" t="e">
        <f>(AN97+(Crescimento!#REF!-(AN97*0.64))/0.8)/1000</f>
        <v>#REF!</v>
      </c>
      <c r="AN98" s="17" t="e">
        <f>-53.07 + (304.89 * (AM98)) + (90.79 *Crescimento!#REF!) - (3.13 * Crescimento!#REF!*Crescimento!#REF!)</f>
        <v>#REF!</v>
      </c>
      <c r="AP98" s="16" t="e">
        <f>(AQ97+(Crescimento!#REF!-(AQ97*0.64))/0.8)/1000</f>
        <v>#REF!</v>
      </c>
      <c r="AQ98" s="17" t="e">
        <f>-53.07 + (304.89 * (AP98)) + (90.79 *Crescimento!#REF!) - (3.13 * Crescimento!#REF!*Crescimento!#REF!)</f>
        <v>#REF!</v>
      </c>
      <c r="AS98" s="16" t="e">
        <f>(AT97+(Crescimento!#REF!-(AT97*0.64))/0.8)/1000</f>
        <v>#REF!</v>
      </c>
      <c r="AT98" s="17" t="e">
        <f>-53.07 + (304.89 * (AS98)) + (90.79 *Crescimento!#REF!) - (3.13 * Crescimento!#REF!*Crescimento!#REF!)</f>
        <v>#REF!</v>
      </c>
      <c r="AV98" s="16" t="e">
        <f>(AW97+(Crescimento!#REF!-(AW97*0.64))/0.8)/1000</f>
        <v>#REF!</v>
      </c>
      <c r="AW98" s="17" t="e">
        <f>-53.07 + (304.89 * (AV98)) + (90.79 *Crescimento!#REF!) - (3.13 * Crescimento!#REF!*Crescimento!#REF!)</f>
        <v>#REF!</v>
      </c>
      <c r="AY98" s="21" t="e">
        <f>((AZ97+(Crescimento!#REF!-(AZ97*0.64))/0.8)/1000)-Crescimento!#REF!</f>
        <v>#REF!</v>
      </c>
      <c r="AZ98" s="22" t="e">
        <f>-53.07 + (304.89 * (AY98)) + (90.79 *(Crescimento!#REF!-Crescimento!#REF!)) - (3.13 * (Crescimento!#REF!-Crescimento!#REF!)^2)</f>
        <v>#REF!</v>
      </c>
      <c r="BA98" s="23"/>
      <c r="BB98" s="21" t="e">
        <f>((BC97+(Crescimento!#REF!-(BC97*0.64))/0.8)/1000)-Crescimento!#REF!</f>
        <v>#REF!</v>
      </c>
      <c r="BC98" s="22" t="e">
        <f>-53.07 + (304.89 * (BB98)) + (90.79 *(Crescimento!#REF!-Crescimento!#REF!)) - (3.13 * (Crescimento!#REF!-Crescimento!#REF!)^2)</f>
        <v>#REF!</v>
      </c>
      <c r="BD98" s="23"/>
      <c r="BE98" s="21" t="e">
        <f>((BF97+(Crescimento!#REF!-(BF97*0.64))/0.8)/1000)-Crescimento!#REF!</f>
        <v>#REF!</v>
      </c>
      <c r="BF98" s="22" t="e">
        <f>-53.07 + (304.89 * (BE98)) + (90.79 *(Crescimento!#REF!-Crescimento!#REF!)) - (3.13 * (Crescimento!#REF!-Crescimento!#REF!)^2)</f>
        <v>#REF!</v>
      </c>
      <c r="BG98" s="23"/>
      <c r="BH98" s="21" t="e">
        <f>((BI97+(Crescimento!#REF!-(BI97*0.64))/0.8)/1000)-Crescimento!#REF!</f>
        <v>#REF!</v>
      </c>
      <c r="BI98" s="22" t="e">
        <f>-53.07 + (304.89 * (BH98)) + (90.79 *(Crescimento!#REF!-Crescimento!#REF!)) - (3.13 * (Crescimento!#REF!-Crescimento!#REF!)^2)</f>
        <v>#REF!</v>
      </c>
      <c r="BJ98" s="23"/>
      <c r="BK98" s="21" t="e">
        <f>((BL97+(Crescimento!#REF!-(BL97*0.64))/0.8)/1000)-Crescimento!#REF!</f>
        <v>#REF!</v>
      </c>
      <c r="BL98" s="22" t="e">
        <f>-53.07 + (304.89 * (BK98)) + (90.79 *(Crescimento!#REF!-Crescimento!#REF!)) - (3.13 * (Crescimento!#REF!-Crescimento!#REF!)^2)</f>
        <v>#REF!</v>
      </c>
      <c r="BM98" s="23"/>
      <c r="BN98" s="21" t="e">
        <f>((BO97+(Crescimento!#REF!-(BO97*0.64))/0.8)/1000)-Crescimento!#REF!</f>
        <v>#REF!</v>
      </c>
      <c r="BO98" s="22" t="e">
        <f>-53.07 + (304.89 * (BN98)) + (90.79 *(Crescimento!#REF!-Crescimento!#REF!)) - (3.13 * (Crescimento!#REF!-Crescimento!#REF!)^2)</f>
        <v>#REF!</v>
      </c>
      <c r="BP98" s="23"/>
      <c r="BQ98" s="21" t="e">
        <f>((BR97+(Crescimento!#REF!-(BR97*0.64))/0.8)/1000)-Crescimento!#REF!</f>
        <v>#REF!</v>
      </c>
      <c r="BR98" s="22" t="e">
        <f>-53.07 + (304.89 * (BQ98)) + (90.79 *(Crescimento!#REF!-Crescimento!#REF!)) - (3.13 * (Crescimento!#REF!-Crescimento!#REF!)^2)</f>
        <v>#REF!</v>
      </c>
      <c r="BS98" s="23"/>
      <c r="BT98" s="21" t="e">
        <f>((BU97+(Crescimento!#REF!-(BU97*0.64))/0.8)/1000)-Crescimento!#REF!</f>
        <v>#REF!</v>
      </c>
      <c r="BU98" s="22" t="e">
        <f>-53.07 + (304.89 * (BT98)) + (90.79 *(Crescimento!#REF!-Crescimento!#REF!)) - (3.13 * (Crescimento!#REF!-Crescimento!#REF!)^2)</f>
        <v>#REF!</v>
      </c>
      <c r="BV98" s="23"/>
      <c r="BW98" s="21" t="e">
        <f>((BX97+(Crescimento!#REF!-(BX97*0.64))/0.8)/1000)-Crescimento!#REF!</f>
        <v>#REF!</v>
      </c>
      <c r="BX98" s="22" t="e">
        <f>-53.07 + (304.89 * (BW98)) + (90.79 *(Crescimento!#REF!-Crescimento!#REF!)) - (3.13 * (Crescimento!#REF!-Crescimento!#REF!)^2)</f>
        <v>#REF!</v>
      </c>
      <c r="BY98" s="23"/>
      <c r="BZ98" s="21" t="e">
        <f>((CA97+(Crescimento!#REF!-(CA97*0.64))/0.8)/1000)-Crescimento!#REF!</f>
        <v>#REF!</v>
      </c>
      <c r="CA98" s="22" t="e">
        <f>-53.07 + (304.89 * (BZ98)) + (90.79 *(Crescimento!#REF!-Crescimento!#REF!)) - (3.13 * (Crescimento!#REF!-Crescimento!#REF!)^2)</f>
        <v>#REF!</v>
      </c>
      <c r="CB98" s="23"/>
      <c r="CC98" s="21" t="e">
        <f>((CD97+(Crescimento!#REF!-(CD97*0.64))/0.8)/1000)-Crescimento!#REF!</f>
        <v>#REF!</v>
      </c>
      <c r="CD98" s="22" t="e">
        <f>-53.07 + (304.89 * (CC98)) + (90.79 *(Crescimento!#REF!-Crescimento!#REF!)) - (3.13 * (Crescimento!#REF!-Crescimento!#REF!)^2)</f>
        <v>#REF!</v>
      </c>
      <c r="CE98" s="23"/>
      <c r="CF98" s="21" t="e">
        <f>((CG97+(Crescimento!#REF!-(CG97*0.64))/0.8)/1000)-Crescimento!#REF!</f>
        <v>#REF!</v>
      </c>
      <c r="CG98" s="22" t="e">
        <f>-53.07 + (304.89 * (CF98)) + (90.79 *(Crescimento!#REF!-Crescimento!#REF!)) - (3.13 * (Crescimento!#REF!-Crescimento!#REF!)^2)</f>
        <v>#REF!</v>
      </c>
      <c r="CH98" s="23"/>
      <c r="CI98" s="21" t="e">
        <f>((CJ97+(Crescimento!#REF!-(CJ97*0.64))/0.8)/1000)-Crescimento!#REF!</f>
        <v>#REF!</v>
      </c>
      <c r="CJ98" s="22" t="e">
        <f>-53.07 + (304.89 * (CI98)) + (90.79 *(Crescimento!#REF!-Crescimento!#REF!)) - (3.13 * (Crescimento!#REF!-Crescimento!#REF!)^2)</f>
        <v>#REF!</v>
      </c>
      <c r="CK98" s="23"/>
      <c r="CL98" s="21" t="e">
        <f>((CM97+(Crescimento!#REF!-(CM97*0.64))/0.8)/1000)-Crescimento!#REF!</f>
        <v>#REF!</v>
      </c>
      <c r="CM98" s="22" t="e">
        <f>-53.07 + (304.89 * (CL98)) + (90.79 *(Crescimento!#REF!-Crescimento!#REF!)) - (3.13 * (Crescimento!#REF!-Crescimento!#REF!)^2)</f>
        <v>#REF!</v>
      </c>
      <c r="CN98" s="23"/>
      <c r="CO98" s="21" t="e">
        <f>((CP97+(Crescimento!#REF!-(CP97*0.64))/0.8)/1000)-Crescimento!#REF!</f>
        <v>#REF!</v>
      </c>
      <c r="CP98" s="22" t="e">
        <f>-53.07 + (304.89 * (CO98)) + (90.79 *(Crescimento!#REF!-Crescimento!#REF!)) - (3.13 * (Crescimento!#REF!-Crescimento!#REF!)^2)</f>
        <v>#REF!</v>
      </c>
      <c r="CQ98" s="23"/>
      <c r="CR98" s="21" t="e">
        <f>((CS97+(Crescimento!#REF!-(CS97*0.64))/0.8)/1000)-Crescimento!#REF!</f>
        <v>#REF!</v>
      </c>
      <c r="CS98" s="22" t="e">
        <f>-53.07 + (304.89 * (CR98)) + (90.79 *(Crescimento!#REF!-Crescimento!#REF!)) - (3.13 * (Crescimento!#REF!-Crescimento!#REF!)^2)</f>
        <v>#REF!</v>
      </c>
      <c r="CX98" s="16" t="e">
        <f>((CY97+(Crescimento!#REF!-(CY97*0.64))/0.8)/1000)-Crescimento!#REF!</f>
        <v>#REF!</v>
      </c>
      <c r="CY98" s="17" t="e">
        <f>-53.07 + (304.89 * (CX98)) + (90.79 *(Crescimento!#REF!-Crescimento!#REF!)) - (3.13 * (Crescimento!#REF!-Crescimento!#REF!)^2)</f>
        <v>#REF!</v>
      </c>
      <c r="DA98" s="16" t="e">
        <f>((DB97+(Crescimento!#REF!-(DB97*0.64))/0.8)/1000)-Crescimento!#REF!</f>
        <v>#REF!</v>
      </c>
      <c r="DB98" s="17" t="e">
        <f>-53.07 + (304.89 * (DA98)) + (90.79 *(Crescimento!#REF!-Crescimento!#REF!)) - (3.13 * (Crescimento!#REF!-Crescimento!#REF!)^2)</f>
        <v>#REF!</v>
      </c>
      <c r="DD98" s="16" t="e">
        <f>(DE97+(Crescimento!#REF!-(DE97*0.64))/0.8)/1000</f>
        <v>#REF!</v>
      </c>
      <c r="DE98" s="17" t="e">
        <f>-53.07 + (304.89 * (DD98)) + (90.79 *Crescimento!#REF!) - (3.13 * Crescimento!#REF!*Crescimento!#REF!)</f>
        <v>#REF!</v>
      </c>
      <c r="DG98" s="16" t="e">
        <f>((DH97+(Crescimento!#REF!-(DH97*0.64))/0.8)/1000)-Crescimento!#REF!</f>
        <v>#REF!</v>
      </c>
      <c r="DH98" s="17" t="e">
        <f>-53.07 + (304.89 * (DG98)) + (90.79 *(Crescimento!#REF!-Crescimento!#REF!)) - (3.13 * (Crescimento!#REF!-Crescimento!#REF!)^2)</f>
        <v>#REF!</v>
      </c>
      <c r="DJ98" s="16" t="e">
        <f>((DK97+(Crescimento!#REF!-(DK97*0.64))/0.8)/1000)-Crescimento!#REF!</f>
        <v>#REF!</v>
      </c>
      <c r="DK98" s="17" t="e">
        <f>-53.07 + (304.89 * (DJ98)) + (90.79 *(Crescimento!#REF!-Crescimento!#REF!)) - (3.13 * (Crescimento!#REF!-Crescimento!#REF!)^2)</f>
        <v>#REF!</v>
      </c>
      <c r="DM98" s="16" t="e">
        <f>((DN97+(Crescimento!#REF!-(DN97*0.64))/0.8)/1000)-Crescimento!#REF!</f>
        <v>#REF!</v>
      </c>
      <c r="DN98" s="17" t="e">
        <f>-53.07 + (304.89 * (DM98)) + (90.79 *(Crescimento!#REF!-Crescimento!#REF!)) - (3.13 * (Crescimento!#REF!-Crescimento!#REF!)^2)</f>
        <v>#REF!</v>
      </c>
      <c r="DP98" s="16" t="e">
        <f>(DQ97+(Crescimento!#REF!-(DQ97*0.64))/0.8)/1000</f>
        <v>#REF!</v>
      </c>
      <c r="DQ98" s="17" t="e">
        <f>-53.07 + (304.89 * (DP98)) + (90.79 *(Crescimento!#REF!-Crescimento!#REF!)) - (3.13 * (Crescimento!#REF!-Crescimento!#REF!)^2)</f>
        <v>#REF!</v>
      </c>
      <c r="DS98" s="16" t="e">
        <f>((DT97+(Crescimento!#REF!-(DT97*0.64))/0.8)/1000)-Crescimento!#REF!</f>
        <v>#REF!</v>
      </c>
      <c r="DT98" s="17" t="e">
        <f>-53.07 + (304.89 * (DS98)) + (90.79 *(Crescimento!#REF!-Crescimento!#REF!)) - (3.13 * (Crescimento!#REF!-Crescimento!#REF!)^2)</f>
        <v>#REF!</v>
      </c>
      <c r="DV98" s="16" t="e">
        <f>((DW97+(Crescimento!#REF!-(DW97*0.64))/0.8)/1000)-Crescimento!#REF!</f>
        <v>#REF!</v>
      </c>
      <c r="DW98" s="17" t="e">
        <f>-53.07 + (304.89 * (DV98)) + (90.79 *(Crescimento!#REF!-Crescimento!#REF!)) - (3.13 * (Crescimento!#REF!-Crescimento!#REF!)^2)</f>
        <v>#REF!</v>
      </c>
      <c r="DY98" s="16" t="e">
        <f>((DZ97+(Crescimento!#REF!-(DZ97*0.64))/0.8)/1000)-Crescimento!#REF!</f>
        <v>#REF!</v>
      </c>
      <c r="DZ98" s="17" t="e">
        <f>-53.07 + (304.89 * (DY98)) + (90.79 *(Crescimento!#REF!-Crescimento!#REF!)) - (3.13 * (Crescimento!#REF!-Crescimento!#REF!)^2)</f>
        <v>#REF!</v>
      </c>
      <c r="EB98" s="16" t="e">
        <f>((EC97+(Crescimento!#REF!-(EC97*0.64))/0.8)/1000)-Crescimento!#REF!</f>
        <v>#REF!</v>
      </c>
      <c r="EC98" s="17" t="e">
        <f>-53.07 + (304.89 * (EB98)) + (90.79 *(Crescimento!#REF!-Crescimento!#REF!)) - (3.13 * (Crescimento!#REF!-Crescimento!#REF!)^2)</f>
        <v>#REF!</v>
      </c>
      <c r="EE98" s="16" t="e">
        <f>((EF97+(Crescimento!#REF!-(EF97*0.64))/0.8)/1000)-Crescimento!#REF!</f>
        <v>#REF!</v>
      </c>
      <c r="EF98" s="17" t="e">
        <f>-53.07 + (304.89 * (EE98)) + (90.79 *(Crescimento!#REF!-Crescimento!#REF!)) - (3.13 * (Crescimento!#REF!-Crescimento!#REF!)^2)</f>
        <v>#REF!</v>
      </c>
      <c r="EH98" s="16" t="e">
        <f>((EI97+(Crescimento!#REF!-(EI97*0.64))/0.8)/1000)-Crescimento!#REF!</f>
        <v>#REF!</v>
      </c>
      <c r="EI98" s="17" t="e">
        <f>-53.07 + (304.89 * (EH98)) + (90.79 *(Crescimento!#REF!-Crescimento!#REF!)) - (3.13 * (Crescimento!#REF!-Crescimento!#REF!)^2)</f>
        <v>#REF!</v>
      </c>
      <c r="EK98" s="16" t="e">
        <f>((EL97+(Crescimento!#REF!-(EL97*0.64))/0.8)/1000)-Crescimento!#REF!</f>
        <v>#REF!</v>
      </c>
      <c r="EL98" s="17" t="e">
        <f>-53.07 + (304.89 * (EK98)) + (90.79 *(Crescimento!#REF!-Crescimento!#REF!)) - (3.13 * (Crescimento!#REF!-Crescimento!#REF!)^2)</f>
        <v>#REF!</v>
      </c>
      <c r="EN98" s="16" t="e">
        <f>((EO97+(Crescimento!#REF!-(EO97*0.64))/0.8)/1000)-Crescimento!#REF!</f>
        <v>#REF!</v>
      </c>
      <c r="EO98" s="17" t="e">
        <f>-53.07 + (304.89 * (EN98)) + (90.79 *(Crescimento!#REF!-Crescimento!#REF!)) - (3.13 * (Crescimento!#REF!-Crescimento!#REF!)^2)</f>
        <v>#REF!</v>
      </c>
      <c r="EQ98" s="16" t="e">
        <f>((ER97+(Crescimento!#REF!-(ER97*0.64))/0.8)/1000)-Crescimento!#REF!</f>
        <v>#REF!</v>
      </c>
      <c r="ER98" s="17" t="e">
        <f>-53.07 + (304.89 * (EQ98)) + (90.79 *(Crescimento!#REF!-Crescimento!#REF!)) - (3.13 * (Crescimento!#REF!-Crescimento!#REF!)^2)</f>
        <v>#REF!</v>
      </c>
      <c r="ET98" s="16" t="e">
        <f>((EU97+(Crescimento!#REF!-(EU97*0.64))/0.8)/1000)-Crescimento!#REF!</f>
        <v>#REF!</v>
      </c>
      <c r="EU98" s="17" t="e">
        <f>-53.07 + (304.89 * (ET98)) + (90.79 *(Crescimento!#REF!-Crescimento!#REF!)) - (3.13 * (Crescimento!#REF!-Crescimento!#REF!)^2)</f>
        <v>#REF!</v>
      </c>
      <c r="EW98" s="16" t="e">
        <f>((EX97+('Vacas e Bezerros'!#REF!-(EX97*0.64))/0.8)/1000)-'Vacas e Bezerros'!#REF!</f>
        <v>#REF!</v>
      </c>
      <c r="EX98" s="17" t="e">
        <f>-53.07 + (304.89 * (EW98)) + (90.79 *('Vacas e Bezerros'!#REF!-'Vacas e Bezerros'!#REF!)) - (3.13 * ('Vacas e Bezerros'!#REF!-'Vacas e Bezerros'!#REF!)^2)</f>
        <v>#REF!</v>
      </c>
      <c r="EZ98" s="16" t="e">
        <f>((FA97+('Vacas e Bezerros'!#REF!-(FA97*0.64))/0.8)/1000)-'Vacas e Bezerros'!#REF!</f>
        <v>#REF!</v>
      </c>
      <c r="FA98" s="17" t="e">
        <f>-53.07 + (304.89 * (EZ98)) + (90.79 *('Vacas e Bezerros'!#REF!-'Vacas e Bezerros'!#REF!)) - (3.13 * ('Vacas e Bezerros'!#REF!-'Vacas e Bezerros'!#REF!)^2)</f>
        <v>#REF!</v>
      </c>
      <c r="FC98" s="16" t="e">
        <f>((FD97+('Vacas e Bezerros'!#REF!-(FD97*0.64))/0.8)/1000)-'Vacas e Bezerros'!#REF!</f>
        <v>#REF!</v>
      </c>
      <c r="FD98" s="17" t="e">
        <f>-53.07 + (304.89 * (FC98)) + (90.79 *('Vacas e Bezerros'!#REF!-'Vacas e Bezerros'!#REF!)) - (3.13 * ('Vacas e Bezerros'!#REF!-'Vacas e Bezerros'!#REF!)^2)</f>
        <v>#REF!</v>
      </c>
      <c r="FF98" s="16" t="e">
        <f>((FG97+('Vacas e Bezerros'!#REF!-(FG97*0.64))/0.8)/1000)-'Vacas e Bezerros'!#REF!</f>
        <v>#REF!</v>
      </c>
      <c r="FG98" s="17" t="e">
        <f>-53.07 + (304.89 * (FF98)) + (90.79 *('Vacas e Bezerros'!#REF!-'Vacas e Bezerros'!#REF!)) - (3.13 * ('Vacas e Bezerros'!#REF!-'Vacas e Bezerros'!#REF!)^2)</f>
        <v>#REF!</v>
      </c>
      <c r="FI98" s="16" t="e">
        <f>((FJ97+('Vacas e Bezerros'!#REF!-(FJ97*0.64))/0.8)/1000)-'Vacas e Bezerros'!#REF!</f>
        <v>#REF!</v>
      </c>
      <c r="FJ98" s="17" t="e">
        <f>-53.07 + (304.89 * (FI98)) + (90.79 *('Vacas e Bezerros'!#REF!-'Vacas e Bezerros'!#REF!)) - (3.13 * ('Vacas e Bezerros'!#REF!-'Vacas e Bezerros'!#REF!)^2)</f>
        <v>#REF!</v>
      </c>
      <c r="FL98" s="16" t="e">
        <f>((FM97+('Vacas e Bezerros'!#REF!-(FM97*0.64))/0.8)/1000)-'Vacas e Bezerros'!#REF!</f>
        <v>#REF!</v>
      </c>
      <c r="FM98" s="17" t="e">
        <f>-53.07 + (304.89 * (FL98)) + (90.79 *('Vacas e Bezerros'!#REF!-'Vacas e Bezerros'!#REF!)) - (3.13 * ('Vacas e Bezerros'!#REF!-'Vacas e Bezerros'!#REF!)^2)</f>
        <v>#REF!</v>
      </c>
      <c r="FO98" s="16" t="e">
        <f>((FP97+('Vacas e Bezerros'!#REF!-(FP97*0.64))/0.8)/1000)-'Vacas e Bezerros'!#REF!</f>
        <v>#REF!</v>
      </c>
      <c r="FP98" s="17" t="e">
        <f>-53.07 + (304.89 * (FO98)) + (90.79 *('Vacas e Bezerros'!#REF!-'Vacas e Bezerros'!#REF!)) - (3.13 * ('Vacas e Bezerros'!#REF!-'Vacas e Bezerros'!#REF!)^2)</f>
        <v>#REF!</v>
      </c>
      <c r="FR98" s="16" t="e">
        <f>((FS97+('Vacas e Bezerros'!#REF!-(FS97*0.64))/0.8)/1000)-'Vacas e Bezerros'!#REF!</f>
        <v>#REF!</v>
      </c>
      <c r="FS98" s="17" t="e">
        <f>-53.07 + (304.89 * (FR98)) + (90.79 *('Vacas e Bezerros'!#REF!-'Vacas e Bezerros'!#REF!)) - (3.13 * ('Vacas e Bezerros'!#REF!-'Vacas e Bezerros'!#REF!)^2)</f>
        <v>#REF!</v>
      </c>
      <c r="FU98" s="16" t="e">
        <f>((FV97+('Vacas e Bezerros'!#REF!-(FV97*0.64))/0.8)/1000)-'Vacas e Bezerros'!#REF!</f>
        <v>#REF!</v>
      </c>
      <c r="FV98" s="17" t="e">
        <f>-53.07 + (304.89 * (FU98)) + (90.79 *('Vacas e Bezerros'!#REF!-'Vacas e Bezerros'!#REF!)) - (3.13 * ('Vacas e Bezerros'!#REF!-'Vacas e Bezerros'!#REF!)^2)</f>
        <v>#REF!</v>
      </c>
      <c r="FX98" s="16" t="e">
        <f>((FY97+('Vacas e Bezerros'!#REF!-(FY97*0.64))/0.8)/1000)-'Vacas e Bezerros'!#REF!</f>
        <v>#REF!</v>
      </c>
      <c r="FY98" s="17" t="e">
        <f>-53.07 + (304.89 * (FX98)) + (90.79 *('Vacas e Bezerros'!#REF!-'Vacas e Bezerros'!#REF!)) - (3.13 * ('Vacas e Bezerros'!#REF!-'Vacas e Bezerros'!#REF!)^2)</f>
        <v>#REF!</v>
      </c>
      <c r="GA98" s="16" t="e">
        <f>((GB97+('Vacas e Bezerros'!#REF!-(GB97*0.64))/0.8)/1000)-'Vacas e Bezerros'!#REF!</f>
        <v>#REF!</v>
      </c>
      <c r="GB98" s="17" t="e">
        <f>-53.07 + (304.89 * (GA98)) + (90.79 *('Vacas e Bezerros'!#REF!-'Vacas e Bezerros'!#REF!)) - (3.13 * ('Vacas e Bezerros'!#REF!-'Vacas e Bezerros'!#REF!)^2)</f>
        <v>#REF!</v>
      </c>
      <c r="GD98" s="16" t="e">
        <f>((GE97+('Vacas e Bezerros'!#REF!-(GE97*0.64))/0.8)/1000)-'Vacas e Bezerros'!#REF!</f>
        <v>#REF!</v>
      </c>
      <c r="GE98" s="17" t="e">
        <f>-53.07 + (304.89 * (GD98)) + (90.79 *('Vacas e Bezerros'!#REF!-'Vacas e Bezerros'!#REF!)) - (3.13 * ('Vacas e Bezerros'!#REF!-'Vacas e Bezerros'!#REF!)^2)</f>
        <v>#REF!</v>
      </c>
      <c r="GG98" s="16" t="e">
        <f>((GH97+('Vacas e Bezerros'!#REF!-(GH97*0.64))/0.8)/1000)-'Vacas e Bezerros'!#REF!</f>
        <v>#REF!</v>
      </c>
      <c r="GH98" s="17" t="e">
        <f>-53.07 + (304.89 * (GG98)) + (90.79 *('Vacas e Bezerros'!#REF!-'Vacas e Bezerros'!#REF!)) - (3.13 * ('Vacas e Bezerros'!#REF!-'Vacas e Bezerros'!#REF!)^2)</f>
        <v>#REF!</v>
      </c>
      <c r="GJ98" s="16" t="e">
        <f>((GK97+('Vacas e Bezerros'!#REF!-(GK97*0.64))/0.8)/1000)-'Vacas e Bezerros'!#REF!</f>
        <v>#REF!</v>
      </c>
      <c r="GK98" s="17" t="e">
        <f>-53.07 + (304.89 * (GJ98)) + (90.79 *('Vacas e Bezerros'!#REF!-'Vacas e Bezerros'!#REF!)) - (3.13 * ('Vacas e Bezerros'!#REF!-'Vacas e Bezerros'!#REF!)^2)</f>
        <v>#REF!</v>
      </c>
      <c r="GM98" s="16" t="e">
        <f>((GN97+('Vacas e Bezerros'!#REF!-(GN97*0.64))/0.8)/1000)-'Vacas e Bezerros'!#REF!</f>
        <v>#REF!</v>
      </c>
      <c r="GN98" s="17" t="e">
        <f>-53.07 + (304.89 * (GM98)) + (90.79 *('Vacas e Bezerros'!#REF!-'Vacas e Bezerros'!#REF!)) - (3.13 * ('Vacas e Bezerros'!#REF!-'Vacas e Bezerros'!#REF!)^2)</f>
        <v>#REF!</v>
      </c>
    </row>
    <row r="99" spans="3:196" x14ac:dyDescent="0.25">
      <c r="C99" s="16">
        <f>(D98+('Vacas e Bezerros'!$AA$28-(D98*0.64))/0.8)/1000</f>
        <v>0.35719668016155687</v>
      </c>
      <c r="D99" s="17">
        <f>-53.07 + (304.89 * (C99-'Vacas e Bezerros'!$C$206)) + (90.79 *('Vacas e Bezerros'!$AA$22)) - (3.13 *('Vacas e Bezerros'!$AA$22)^2)</f>
        <v>165.01876457544017</v>
      </c>
      <c r="F99" s="16" t="e">
        <f>(G98+(Crescimento!#REF!-(G98*0.64))/0.8)/1000</f>
        <v>#REF!</v>
      </c>
      <c r="G99" s="17" t="e">
        <f>-53.07 + (304.89 * (F99)) + (90.79 *Crescimento!#REF!) - (3.13 * Crescimento!#REF!*Crescimento!#REF!)</f>
        <v>#REF!</v>
      </c>
      <c r="H99" s="1"/>
      <c r="I99" s="16" t="e">
        <f>(J98+(Crescimento!#REF!-(J98*0.64))/0.8)/1000</f>
        <v>#REF!</v>
      </c>
      <c r="J99" s="17" t="e">
        <f>-53.07 + (304.89 * (I99)) + (90.79 *Crescimento!#REF!) - (3.13 * Crescimento!#REF!*Crescimento!#REF!)</f>
        <v>#REF!</v>
      </c>
      <c r="L99" s="16" t="e">
        <f>(M98+(Crescimento!#REF!-(M98*0.64))/0.8)/1000</f>
        <v>#REF!</v>
      </c>
      <c r="M99" s="17" t="e">
        <f>-53.07 + (304.89 * (L99)) + (90.79 *Crescimento!#REF!) - (3.13 * Crescimento!#REF!*Crescimento!#REF!)</f>
        <v>#REF!</v>
      </c>
      <c r="O99" s="16" t="e">
        <f>(P98+(Crescimento!#REF!-(P98*0.64))/0.8)/1000</f>
        <v>#REF!</v>
      </c>
      <c r="P99" s="17" t="e">
        <f>-53.07 + (304.89 * (O99)) + (90.79 *Crescimento!#REF!) - (3.13 * Crescimento!#REF!*Crescimento!#REF!)</f>
        <v>#REF!</v>
      </c>
      <c r="R99" s="16" t="e">
        <f>(S98+(Crescimento!#REF!-(S98*0.64))/0.8)/1000</f>
        <v>#REF!</v>
      </c>
      <c r="S99" s="17" t="e">
        <f>-53.07 + (304.89 * (R99)) + (90.79 *Crescimento!#REF!) - (3.13 * Crescimento!#REF!*Crescimento!#REF!)</f>
        <v>#REF!</v>
      </c>
      <c r="U99" s="16" t="e">
        <f>(V98+(Crescimento!#REF!-(V98*0.64))/0.8)/1000</f>
        <v>#REF!</v>
      </c>
      <c r="V99" s="17" t="e">
        <f>-53.07 + (304.89 * (U99)) + (90.79 *Crescimento!#REF!) - (3.13 * Crescimento!#REF!*Crescimento!#REF!)</f>
        <v>#REF!</v>
      </c>
      <c r="X99" s="16" t="e">
        <f>(Y98+(Crescimento!#REF!-(Y98*0.64))/0.8)/1000</f>
        <v>#REF!</v>
      </c>
      <c r="Y99" s="17" t="e">
        <f>-53.07 + (304.89 * (X99)) + (90.79 *Crescimento!#REF!) - (3.13 * Crescimento!#REF!*Crescimento!#REF!)</f>
        <v>#REF!</v>
      </c>
      <c r="Z99" s="6"/>
      <c r="AA99" s="16" t="e">
        <f>(AB98+(Crescimento!#REF!-(AB98*0.64))/0.8)/1000</f>
        <v>#REF!</v>
      </c>
      <c r="AB99" s="17" t="e">
        <f>-53.07 + (304.89 * (AA99)) + (90.79 *Crescimento!#REF!) - (3.13 * Crescimento!#REF!*Crescimento!#REF!)</f>
        <v>#REF!</v>
      </c>
      <c r="AC99" s="6"/>
      <c r="AD99" s="16" t="e">
        <f>(AE98+(Crescimento!#REF!-(AE98*0.64))/0.8)/1000</f>
        <v>#REF!</v>
      </c>
      <c r="AE99" s="17" t="e">
        <f>-53.07 + (304.89 * (AD99)) + (90.79 *Crescimento!#REF!) - (3.13 * Crescimento!#REF!*Crescimento!#REF!)</f>
        <v>#REF!</v>
      </c>
      <c r="AF99" s="17"/>
      <c r="AG99" s="16" t="e">
        <f>(AH98+(Crescimento!#REF!-(AH98*0.64))/0.8)/1000</f>
        <v>#REF!</v>
      </c>
      <c r="AH99" s="17" t="e">
        <f>-53.07 + (304.89 * (AG99)) + (90.79 *Crescimento!#REF!) - (3.13 * Crescimento!#REF!*Crescimento!#REF!)</f>
        <v>#REF!</v>
      </c>
      <c r="AJ99" s="16" t="e">
        <f>(AK98+(Crescimento!#REF!-(AK98*0.64))/0.8)/1000</f>
        <v>#REF!</v>
      </c>
      <c r="AK99" s="17" t="e">
        <f>-53.07 + (304.89 * (AJ99)) + (90.79 *Crescimento!#REF!) - (3.13 * Crescimento!#REF!*Crescimento!#REF!)</f>
        <v>#REF!</v>
      </c>
      <c r="AM99" s="16" t="e">
        <f>(AN98+(Crescimento!#REF!-(AN98*0.64))/0.8)/1000</f>
        <v>#REF!</v>
      </c>
      <c r="AN99" s="17" t="e">
        <f>-53.07 + (304.89 * (AM99)) + (90.79 *Crescimento!#REF!) - (3.13 * Crescimento!#REF!*Crescimento!#REF!)</f>
        <v>#REF!</v>
      </c>
      <c r="AP99" s="16" t="e">
        <f>(AQ98+(Crescimento!#REF!-(AQ98*0.64))/0.8)/1000</f>
        <v>#REF!</v>
      </c>
      <c r="AQ99" s="17" t="e">
        <f>-53.07 + (304.89 * (AP99)) + (90.79 *Crescimento!#REF!) - (3.13 * Crescimento!#REF!*Crescimento!#REF!)</f>
        <v>#REF!</v>
      </c>
      <c r="AS99" s="16" t="e">
        <f>(AT98+(Crescimento!#REF!-(AT98*0.64))/0.8)/1000</f>
        <v>#REF!</v>
      </c>
      <c r="AT99" s="17" t="e">
        <f>-53.07 + (304.89 * (AS99)) + (90.79 *Crescimento!#REF!) - (3.13 * Crescimento!#REF!*Crescimento!#REF!)</f>
        <v>#REF!</v>
      </c>
      <c r="AV99" s="16" t="e">
        <f>(AW98+(Crescimento!#REF!-(AW98*0.64))/0.8)/1000</f>
        <v>#REF!</v>
      </c>
      <c r="AW99" s="17" t="e">
        <f>-53.07 + (304.89 * (AV99)) + (90.79 *Crescimento!#REF!) - (3.13 * Crescimento!#REF!*Crescimento!#REF!)</f>
        <v>#REF!</v>
      </c>
      <c r="AY99" s="21" t="e">
        <f>((AZ98+(Crescimento!#REF!-(AZ98*0.64))/0.8)/1000)-Crescimento!#REF!</f>
        <v>#REF!</v>
      </c>
      <c r="AZ99" s="22" t="e">
        <f>-53.07 + (304.89 * (AY99)) + (90.79 *(Crescimento!#REF!-Crescimento!#REF!)) - (3.13 * (Crescimento!#REF!-Crescimento!#REF!)^2)</f>
        <v>#REF!</v>
      </c>
      <c r="BA99" s="23"/>
      <c r="BB99" s="21" t="e">
        <f>((BC98+(Crescimento!#REF!-(BC98*0.64))/0.8)/1000)-Crescimento!#REF!</f>
        <v>#REF!</v>
      </c>
      <c r="BC99" s="22" t="e">
        <f>-53.07 + (304.89 * (BB99)) + (90.79 *(Crescimento!#REF!-Crescimento!#REF!)) - (3.13 * (Crescimento!#REF!-Crescimento!#REF!)^2)</f>
        <v>#REF!</v>
      </c>
      <c r="BD99" s="23"/>
      <c r="BE99" s="21" t="e">
        <f>((BF98+(Crescimento!#REF!-(BF98*0.64))/0.8)/1000)-Crescimento!#REF!</f>
        <v>#REF!</v>
      </c>
      <c r="BF99" s="22" t="e">
        <f>-53.07 + (304.89 * (BE99)) + (90.79 *(Crescimento!#REF!-Crescimento!#REF!)) - (3.13 * (Crescimento!#REF!-Crescimento!#REF!)^2)</f>
        <v>#REF!</v>
      </c>
      <c r="BG99" s="23"/>
      <c r="BH99" s="21" t="e">
        <f>((BI98+(Crescimento!#REF!-(BI98*0.64))/0.8)/1000)-Crescimento!#REF!</f>
        <v>#REF!</v>
      </c>
      <c r="BI99" s="22" t="e">
        <f>-53.07 + (304.89 * (BH99)) + (90.79 *(Crescimento!#REF!-Crescimento!#REF!)) - (3.13 * (Crescimento!#REF!-Crescimento!#REF!)^2)</f>
        <v>#REF!</v>
      </c>
      <c r="BJ99" s="23"/>
      <c r="BK99" s="21" t="e">
        <f>((BL98+(Crescimento!#REF!-(BL98*0.64))/0.8)/1000)-Crescimento!#REF!</f>
        <v>#REF!</v>
      </c>
      <c r="BL99" s="22" t="e">
        <f>-53.07 + (304.89 * (BK99)) + (90.79 *(Crescimento!#REF!-Crescimento!#REF!)) - (3.13 * (Crescimento!#REF!-Crescimento!#REF!)^2)</f>
        <v>#REF!</v>
      </c>
      <c r="BM99" s="23"/>
      <c r="BN99" s="21" t="e">
        <f>((BO98+(Crescimento!#REF!-(BO98*0.64))/0.8)/1000)-Crescimento!#REF!</f>
        <v>#REF!</v>
      </c>
      <c r="BO99" s="22" t="e">
        <f>-53.07 + (304.89 * (BN99)) + (90.79 *(Crescimento!#REF!-Crescimento!#REF!)) - (3.13 * (Crescimento!#REF!-Crescimento!#REF!)^2)</f>
        <v>#REF!</v>
      </c>
      <c r="BP99" s="23"/>
      <c r="BQ99" s="21" t="e">
        <f>((BR98+(Crescimento!#REF!-(BR98*0.64))/0.8)/1000)-Crescimento!#REF!</f>
        <v>#REF!</v>
      </c>
      <c r="BR99" s="22" t="e">
        <f>-53.07 + (304.89 * (BQ99)) + (90.79 *(Crescimento!#REF!-Crescimento!#REF!)) - (3.13 * (Crescimento!#REF!-Crescimento!#REF!)^2)</f>
        <v>#REF!</v>
      </c>
      <c r="BS99" s="23"/>
      <c r="BT99" s="21" t="e">
        <f>((BU98+(Crescimento!#REF!-(BU98*0.64))/0.8)/1000)-Crescimento!#REF!</f>
        <v>#REF!</v>
      </c>
      <c r="BU99" s="22" t="e">
        <f>-53.07 + (304.89 * (BT99)) + (90.79 *(Crescimento!#REF!-Crescimento!#REF!)) - (3.13 * (Crescimento!#REF!-Crescimento!#REF!)^2)</f>
        <v>#REF!</v>
      </c>
      <c r="BV99" s="23"/>
      <c r="BW99" s="21" t="e">
        <f>((BX98+(Crescimento!#REF!-(BX98*0.64))/0.8)/1000)-Crescimento!#REF!</f>
        <v>#REF!</v>
      </c>
      <c r="BX99" s="22" t="e">
        <f>-53.07 + (304.89 * (BW99)) + (90.79 *(Crescimento!#REF!-Crescimento!#REF!)) - (3.13 * (Crescimento!#REF!-Crescimento!#REF!)^2)</f>
        <v>#REF!</v>
      </c>
      <c r="BY99" s="23"/>
      <c r="BZ99" s="21" t="e">
        <f>((CA98+(Crescimento!#REF!-(CA98*0.64))/0.8)/1000)-Crescimento!#REF!</f>
        <v>#REF!</v>
      </c>
      <c r="CA99" s="22" t="e">
        <f>-53.07 + (304.89 * (BZ99)) + (90.79 *(Crescimento!#REF!-Crescimento!#REF!)) - (3.13 * (Crescimento!#REF!-Crescimento!#REF!)^2)</f>
        <v>#REF!</v>
      </c>
      <c r="CB99" s="23"/>
      <c r="CC99" s="21" t="e">
        <f>((CD98+(Crescimento!#REF!-(CD98*0.64))/0.8)/1000)-Crescimento!#REF!</f>
        <v>#REF!</v>
      </c>
      <c r="CD99" s="22" t="e">
        <f>-53.07 + (304.89 * (CC99)) + (90.79 *(Crescimento!#REF!-Crescimento!#REF!)) - (3.13 * (Crescimento!#REF!-Crescimento!#REF!)^2)</f>
        <v>#REF!</v>
      </c>
      <c r="CE99" s="23"/>
      <c r="CF99" s="21" t="e">
        <f>((CG98+(Crescimento!#REF!-(CG98*0.64))/0.8)/1000)-Crescimento!#REF!</f>
        <v>#REF!</v>
      </c>
      <c r="CG99" s="22" t="e">
        <f>-53.07 + (304.89 * (CF99)) + (90.79 *(Crescimento!#REF!-Crescimento!#REF!)) - (3.13 * (Crescimento!#REF!-Crescimento!#REF!)^2)</f>
        <v>#REF!</v>
      </c>
      <c r="CH99" s="23"/>
      <c r="CI99" s="21" t="e">
        <f>((CJ98+(Crescimento!#REF!-(CJ98*0.64))/0.8)/1000)-Crescimento!#REF!</f>
        <v>#REF!</v>
      </c>
      <c r="CJ99" s="22" t="e">
        <f>-53.07 + (304.89 * (CI99)) + (90.79 *(Crescimento!#REF!-Crescimento!#REF!)) - (3.13 * (Crescimento!#REF!-Crescimento!#REF!)^2)</f>
        <v>#REF!</v>
      </c>
      <c r="CK99" s="23"/>
      <c r="CL99" s="21" t="e">
        <f>((CM98+(Crescimento!#REF!-(CM98*0.64))/0.8)/1000)-Crescimento!#REF!</f>
        <v>#REF!</v>
      </c>
      <c r="CM99" s="22" t="e">
        <f>-53.07 + (304.89 * (CL99)) + (90.79 *(Crescimento!#REF!-Crescimento!#REF!)) - (3.13 * (Crescimento!#REF!-Crescimento!#REF!)^2)</f>
        <v>#REF!</v>
      </c>
      <c r="CN99" s="23"/>
      <c r="CO99" s="21" t="e">
        <f>((CP98+(Crescimento!#REF!-(CP98*0.64))/0.8)/1000)-Crescimento!#REF!</f>
        <v>#REF!</v>
      </c>
      <c r="CP99" s="22" t="e">
        <f>-53.07 + (304.89 * (CO99)) + (90.79 *(Crescimento!#REF!-Crescimento!#REF!)) - (3.13 * (Crescimento!#REF!-Crescimento!#REF!)^2)</f>
        <v>#REF!</v>
      </c>
      <c r="CQ99" s="23"/>
      <c r="CR99" s="21" t="e">
        <f>((CS98+(Crescimento!#REF!-(CS98*0.64))/0.8)/1000)-Crescimento!#REF!</f>
        <v>#REF!</v>
      </c>
      <c r="CS99" s="22" t="e">
        <f>-53.07 + (304.89 * (CR99)) + (90.79 *(Crescimento!#REF!-Crescimento!#REF!)) - (3.13 * (Crescimento!#REF!-Crescimento!#REF!)^2)</f>
        <v>#REF!</v>
      </c>
      <c r="CX99" s="16" t="e">
        <f>((CY98+(Crescimento!#REF!-(CY98*0.64))/0.8)/1000)-Crescimento!#REF!</f>
        <v>#REF!</v>
      </c>
      <c r="CY99" s="17" t="e">
        <f>-53.07 + (304.89 * (CX99)) + (90.79 *(Crescimento!#REF!-Crescimento!#REF!)) - (3.13 * (Crescimento!#REF!-Crescimento!#REF!)^2)</f>
        <v>#REF!</v>
      </c>
      <c r="DA99" s="16" t="e">
        <f>((DB98+(Crescimento!#REF!-(DB98*0.64))/0.8)/1000)-Crescimento!#REF!</f>
        <v>#REF!</v>
      </c>
      <c r="DB99" s="17" t="e">
        <f>-53.07 + (304.89 * (DA99)) + (90.79 *(Crescimento!#REF!-Crescimento!#REF!)) - (3.13 * (Crescimento!#REF!-Crescimento!#REF!)^2)</f>
        <v>#REF!</v>
      </c>
      <c r="DD99" s="16" t="e">
        <f>(DE98+(Crescimento!#REF!-(DE98*0.64))/0.8)/1000</f>
        <v>#REF!</v>
      </c>
      <c r="DE99" s="17" t="e">
        <f>-53.07 + (304.89 * (DD99)) + (90.79 *Crescimento!#REF!) - (3.13 * Crescimento!#REF!*Crescimento!#REF!)</f>
        <v>#REF!</v>
      </c>
      <c r="DG99" s="16" t="e">
        <f>((DH98+(Crescimento!#REF!-(DH98*0.64))/0.8)/1000)-Crescimento!#REF!</f>
        <v>#REF!</v>
      </c>
      <c r="DH99" s="17" t="e">
        <f>-53.07 + (304.89 * (DG99)) + (90.79 *(Crescimento!#REF!-Crescimento!#REF!)) - (3.13 * (Crescimento!#REF!-Crescimento!#REF!)^2)</f>
        <v>#REF!</v>
      </c>
      <c r="DJ99" s="16" t="e">
        <f>((DK98+(Crescimento!#REF!-(DK98*0.64))/0.8)/1000)-Crescimento!#REF!</f>
        <v>#REF!</v>
      </c>
      <c r="DK99" s="17" t="e">
        <f>-53.07 + (304.89 * (DJ99)) + (90.79 *(Crescimento!#REF!-Crescimento!#REF!)) - (3.13 * (Crescimento!#REF!-Crescimento!#REF!)^2)</f>
        <v>#REF!</v>
      </c>
      <c r="DM99" s="16" t="e">
        <f>((DN98+(Crescimento!#REF!-(DN98*0.64))/0.8)/1000)-Crescimento!#REF!</f>
        <v>#REF!</v>
      </c>
      <c r="DN99" s="17" t="e">
        <f>-53.07 + (304.89 * (DM99)) + (90.79 *(Crescimento!#REF!-Crescimento!#REF!)) - (3.13 * (Crescimento!#REF!-Crescimento!#REF!)^2)</f>
        <v>#REF!</v>
      </c>
      <c r="DP99" s="16" t="e">
        <f>(DQ98+(Crescimento!#REF!-(DQ98*0.64))/0.8)/1000</f>
        <v>#REF!</v>
      </c>
      <c r="DQ99" s="17" t="e">
        <f>-53.07 + (304.89 * (DP99)) + (90.79 *(Crescimento!#REF!-Crescimento!#REF!)) - (3.13 * (Crescimento!#REF!-Crescimento!#REF!)^2)</f>
        <v>#REF!</v>
      </c>
      <c r="DS99" s="16" t="e">
        <f>((DT98+(Crescimento!#REF!-(DT98*0.64))/0.8)/1000)-Crescimento!#REF!</f>
        <v>#REF!</v>
      </c>
      <c r="DT99" s="17" t="e">
        <f>-53.07 + (304.89 * (DS99)) + (90.79 *(Crescimento!#REF!-Crescimento!#REF!)) - (3.13 * (Crescimento!#REF!-Crescimento!#REF!)^2)</f>
        <v>#REF!</v>
      </c>
      <c r="DV99" s="16" t="e">
        <f>((DW98+(Crescimento!#REF!-(DW98*0.64))/0.8)/1000)-Crescimento!#REF!</f>
        <v>#REF!</v>
      </c>
      <c r="DW99" s="17" t="e">
        <f>-53.07 + (304.89 * (DV99)) + (90.79 *(Crescimento!#REF!-Crescimento!#REF!)) - (3.13 * (Crescimento!#REF!-Crescimento!#REF!)^2)</f>
        <v>#REF!</v>
      </c>
      <c r="DY99" s="16" t="e">
        <f>((DZ98+(Crescimento!#REF!-(DZ98*0.64))/0.8)/1000)-Crescimento!#REF!</f>
        <v>#REF!</v>
      </c>
      <c r="DZ99" s="17" t="e">
        <f>-53.07 + (304.89 * (DY99)) + (90.79 *(Crescimento!#REF!-Crescimento!#REF!)) - (3.13 * (Crescimento!#REF!-Crescimento!#REF!)^2)</f>
        <v>#REF!</v>
      </c>
      <c r="EB99" s="16" t="e">
        <f>((EC98+(Crescimento!#REF!-(EC98*0.64))/0.8)/1000)-Crescimento!#REF!</f>
        <v>#REF!</v>
      </c>
      <c r="EC99" s="17" t="e">
        <f>-53.07 + (304.89 * (EB99)) + (90.79 *(Crescimento!#REF!-Crescimento!#REF!)) - (3.13 * (Crescimento!#REF!-Crescimento!#REF!)^2)</f>
        <v>#REF!</v>
      </c>
      <c r="EE99" s="16" t="e">
        <f>((EF98+(Crescimento!#REF!-(EF98*0.64))/0.8)/1000)-Crescimento!#REF!</f>
        <v>#REF!</v>
      </c>
      <c r="EF99" s="17" t="e">
        <f>-53.07 + (304.89 * (EE99)) + (90.79 *(Crescimento!#REF!-Crescimento!#REF!)) - (3.13 * (Crescimento!#REF!-Crescimento!#REF!)^2)</f>
        <v>#REF!</v>
      </c>
      <c r="EH99" s="16" t="e">
        <f>((EI98+(Crescimento!#REF!-(EI98*0.64))/0.8)/1000)-Crescimento!#REF!</f>
        <v>#REF!</v>
      </c>
      <c r="EI99" s="17" t="e">
        <f>-53.07 + (304.89 * (EH99)) + (90.79 *(Crescimento!#REF!-Crescimento!#REF!)) - (3.13 * (Crescimento!#REF!-Crescimento!#REF!)^2)</f>
        <v>#REF!</v>
      </c>
      <c r="EK99" s="16" t="e">
        <f>((EL98+(Crescimento!#REF!-(EL98*0.64))/0.8)/1000)-Crescimento!#REF!</f>
        <v>#REF!</v>
      </c>
      <c r="EL99" s="17" t="e">
        <f>-53.07 + (304.89 * (EK99)) + (90.79 *(Crescimento!#REF!-Crescimento!#REF!)) - (3.13 * (Crescimento!#REF!-Crescimento!#REF!)^2)</f>
        <v>#REF!</v>
      </c>
      <c r="EN99" s="16" t="e">
        <f>((EO98+(Crescimento!#REF!-(EO98*0.64))/0.8)/1000)-Crescimento!#REF!</f>
        <v>#REF!</v>
      </c>
      <c r="EO99" s="17" t="e">
        <f>-53.07 + (304.89 * (EN99)) + (90.79 *(Crescimento!#REF!-Crescimento!#REF!)) - (3.13 * (Crescimento!#REF!-Crescimento!#REF!)^2)</f>
        <v>#REF!</v>
      </c>
      <c r="EQ99" s="16" t="e">
        <f>((ER98+(Crescimento!#REF!-(ER98*0.64))/0.8)/1000)-Crescimento!#REF!</f>
        <v>#REF!</v>
      </c>
      <c r="ER99" s="17" t="e">
        <f>-53.07 + (304.89 * (EQ99)) + (90.79 *(Crescimento!#REF!-Crescimento!#REF!)) - (3.13 * (Crescimento!#REF!-Crescimento!#REF!)^2)</f>
        <v>#REF!</v>
      </c>
      <c r="ET99" s="16" t="e">
        <f>((EU98+(Crescimento!#REF!-(EU98*0.64))/0.8)/1000)-Crescimento!#REF!</f>
        <v>#REF!</v>
      </c>
      <c r="EU99" s="17" t="e">
        <f>-53.07 + (304.89 * (ET99)) + (90.79 *(Crescimento!#REF!-Crescimento!#REF!)) - (3.13 * (Crescimento!#REF!-Crescimento!#REF!)^2)</f>
        <v>#REF!</v>
      </c>
      <c r="EW99" s="16" t="e">
        <f>((EX98+('Vacas e Bezerros'!#REF!-(EX98*0.64))/0.8)/1000)-'Vacas e Bezerros'!#REF!</f>
        <v>#REF!</v>
      </c>
      <c r="EX99" s="17" t="e">
        <f>-53.07 + (304.89 * (EW99)) + (90.79 *('Vacas e Bezerros'!#REF!-'Vacas e Bezerros'!#REF!)) - (3.13 * ('Vacas e Bezerros'!#REF!-'Vacas e Bezerros'!#REF!)^2)</f>
        <v>#REF!</v>
      </c>
      <c r="EZ99" s="16" t="e">
        <f>((FA98+('Vacas e Bezerros'!#REF!-(FA98*0.64))/0.8)/1000)-'Vacas e Bezerros'!#REF!</f>
        <v>#REF!</v>
      </c>
      <c r="FA99" s="17" t="e">
        <f>-53.07 + (304.89 * (EZ99)) + (90.79 *('Vacas e Bezerros'!#REF!-'Vacas e Bezerros'!#REF!)) - (3.13 * ('Vacas e Bezerros'!#REF!-'Vacas e Bezerros'!#REF!)^2)</f>
        <v>#REF!</v>
      </c>
      <c r="FC99" s="16" t="e">
        <f>((FD98+('Vacas e Bezerros'!#REF!-(FD98*0.64))/0.8)/1000)-'Vacas e Bezerros'!#REF!</f>
        <v>#REF!</v>
      </c>
      <c r="FD99" s="17" t="e">
        <f>-53.07 + (304.89 * (FC99)) + (90.79 *('Vacas e Bezerros'!#REF!-'Vacas e Bezerros'!#REF!)) - (3.13 * ('Vacas e Bezerros'!#REF!-'Vacas e Bezerros'!#REF!)^2)</f>
        <v>#REF!</v>
      </c>
      <c r="FF99" s="16" t="e">
        <f>((FG98+('Vacas e Bezerros'!#REF!-(FG98*0.64))/0.8)/1000)-'Vacas e Bezerros'!#REF!</f>
        <v>#REF!</v>
      </c>
      <c r="FG99" s="17" t="e">
        <f>-53.07 + (304.89 * (FF99)) + (90.79 *('Vacas e Bezerros'!#REF!-'Vacas e Bezerros'!#REF!)) - (3.13 * ('Vacas e Bezerros'!#REF!-'Vacas e Bezerros'!#REF!)^2)</f>
        <v>#REF!</v>
      </c>
      <c r="FI99" s="16" t="e">
        <f>((FJ98+('Vacas e Bezerros'!#REF!-(FJ98*0.64))/0.8)/1000)-'Vacas e Bezerros'!#REF!</f>
        <v>#REF!</v>
      </c>
      <c r="FJ99" s="17" t="e">
        <f>-53.07 + (304.89 * (FI99)) + (90.79 *('Vacas e Bezerros'!#REF!-'Vacas e Bezerros'!#REF!)) - (3.13 * ('Vacas e Bezerros'!#REF!-'Vacas e Bezerros'!#REF!)^2)</f>
        <v>#REF!</v>
      </c>
      <c r="FL99" s="16" t="e">
        <f>((FM98+('Vacas e Bezerros'!#REF!-(FM98*0.64))/0.8)/1000)-'Vacas e Bezerros'!#REF!</f>
        <v>#REF!</v>
      </c>
      <c r="FM99" s="17" t="e">
        <f>-53.07 + (304.89 * (FL99)) + (90.79 *('Vacas e Bezerros'!#REF!-'Vacas e Bezerros'!#REF!)) - (3.13 * ('Vacas e Bezerros'!#REF!-'Vacas e Bezerros'!#REF!)^2)</f>
        <v>#REF!</v>
      </c>
      <c r="FO99" s="16" t="e">
        <f>((FP98+('Vacas e Bezerros'!#REF!-(FP98*0.64))/0.8)/1000)-'Vacas e Bezerros'!#REF!</f>
        <v>#REF!</v>
      </c>
      <c r="FP99" s="17" t="e">
        <f>-53.07 + (304.89 * (FO99)) + (90.79 *('Vacas e Bezerros'!#REF!-'Vacas e Bezerros'!#REF!)) - (3.13 * ('Vacas e Bezerros'!#REF!-'Vacas e Bezerros'!#REF!)^2)</f>
        <v>#REF!</v>
      </c>
      <c r="FR99" s="16" t="e">
        <f>((FS98+('Vacas e Bezerros'!#REF!-(FS98*0.64))/0.8)/1000)-'Vacas e Bezerros'!#REF!</f>
        <v>#REF!</v>
      </c>
      <c r="FS99" s="17" t="e">
        <f>-53.07 + (304.89 * (FR99)) + (90.79 *('Vacas e Bezerros'!#REF!-'Vacas e Bezerros'!#REF!)) - (3.13 * ('Vacas e Bezerros'!#REF!-'Vacas e Bezerros'!#REF!)^2)</f>
        <v>#REF!</v>
      </c>
      <c r="FU99" s="16" t="e">
        <f>((FV98+('Vacas e Bezerros'!#REF!-(FV98*0.64))/0.8)/1000)-'Vacas e Bezerros'!#REF!</f>
        <v>#REF!</v>
      </c>
      <c r="FV99" s="17" t="e">
        <f>-53.07 + (304.89 * (FU99)) + (90.79 *('Vacas e Bezerros'!#REF!-'Vacas e Bezerros'!#REF!)) - (3.13 * ('Vacas e Bezerros'!#REF!-'Vacas e Bezerros'!#REF!)^2)</f>
        <v>#REF!</v>
      </c>
      <c r="FX99" s="16" t="e">
        <f>((FY98+('Vacas e Bezerros'!#REF!-(FY98*0.64))/0.8)/1000)-'Vacas e Bezerros'!#REF!</f>
        <v>#REF!</v>
      </c>
      <c r="FY99" s="17" t="e">
        <f>-53.07 + (304.89 * (FX99)) + (90.79 *('Vacas e Bezerros'!#REF!-'Vacas e Bezerros'!#REF!)) - (3.13 * ('Vacas e Bezerros'!#REF!-'Vacas e Bezerros'!#REF!)^2)</f>
        <v>#REF!</v>
      </c>
      <c r="GA99" s="16" t="e">
        <f>((GB98+('Vacas e Bezerros'!#REF!-(GB98*0.64))/0.8)/1000)-'Vacas e Bezerros'!#REF!</f>
        <v>#REF!</v>
      </c>
      <c r="GB99" s="17" t="e">
        <f>-53.07 + (304.89 * (GA99)) + (90.79 *('Vacas e Bezerros'!#REF!-'Vacas e Bezerros'!#REF!)) - (3.13 * ('Vacas e Bezerros'!#REF!-'Vacas e Bezerros'!#REF!)^2)</f>
        <v>#REF!</v>
      </c>
      <c r="GD99" s="16" t="e">
        <f>((GE98+('Vacas e Bezerros'!#REF!-(GE98*0.64))/0.8)/1000)-'Vacas e Bezerros'!#REF!</f>
        <v>#REF!</v>
      </c>
      <c r="GE99" s="17" t="e">
        <f>-53.07 + (304.89 * (GD99)) + (90.79 *('Vacas e Bezerros'!#REF!-'Vacas e Bezerros'!#REF!)) - (3.13 * ('Vacas e Bezerros'!#REF!-'Vacas e Bezerros'!#REF!)^2)</f>
        <v>#REF!</v>
      </c>
      <c r="GG99" s="16" t="e">
        <f>((GH98+('Vacas e Bezerros'!#REF!-(GH98*0.64))/0.8)/1000)-'Vacas e Bezerros'!#REF!</f>
        <v>#REF!</v>
      </c>
      <c r="GH99" s="17" t="e">
        <f>-53.07 + (304.89 * (GG99)) + (90.79 *('Vacas e Bezerros'!#REF!-'Vacas e Bezerros'!#REF!)) - (3.13 * ('Vacas e Bezerros'!#REF!-'Vacas e Bezerros'!#REF!)^2)</f>
        <v>#REF!</v>
      </c>
      <c r="GJ99" s="16" t="e">
        <f>((GK98+('Vacas e Bezerros'!#REF!-(GK98*0.64))/0.8)/1000)-'Vacas e Bezerros'!#REF!</f>
        <v>#REF!</v>
      </c>
      <c r="GK99" s="17" t="e">
        <f>-53.07 + (304.89 * (GJ99)) + (90.79 *('Vacas e Bezerros'!#REF!-'Vacas e Bezerros'!#REF!)) - (3.13 * ('Vacas e Bezerros'!#REF!-'Vacas e Bezerros'!#REF!)^2)</f>
        <v>#REF!</v>
      </c>
      <c r="GM99" s="16" t="e">
        <f>((GN98+('Vacas e Bezerros'!#REF!-(GN98*0.64))/0.8)/1000)-'Vacas e Bezerros'!#REF!</f>
        <v>#REF!</v>
      </c>
      <c r="GN99" s="17" t="e">
        <f>-53.07 + (304.89 * (GM99)) + (90.79 *('Vacas e Bezerros'!#REF!-'Vacas e Bezerros'!#REF!)) - (3.13 * ('Vacas e Bezerros'!#REF!-'Vacas e Bezerros'!#REF!)^2)</f>
        <v>#REF!</v>
      </c>
    </row>
    <row r="100" spans="3:196" x14ac:dyDescent="0.25">
      <c r="C100" s="16">
        <f>(D99+('Vacas e Bezerros'!$AA$28-(D99*0.64))/0.8)/1000</f>
        <v>0.35719668016155687</v>
      </c>
      <c r="D100" s="17">
        <f>-53.07 + (304.89 * (C100-'Vacas e Bezerros'!$C$206)) + (90.79 *('Vacas e Bezerros'!$AA$22)) - (3.13 *('Vacas e Bezerros'!$AA$22)^2)</f>
        <v>165.01876457544017</v>
      </c>
      <c r="F100" s="16" t="e">
        <f>(G99+(Crescimento!#REF!-(G99*0.64))/0.8)/1000</f>
        <v>#REF!</v>
      </c>
      <c r="G100" s="17" t="e">
        <f>-53.07 + (304.89 * (F100)) + (90.79 *Crescimento!#REF!) - (3.13 * Crescimento!#REF!*Crescimento!#REF!)</f>
        <v>#REF!</v>
      </c>
      <c r="H100" s="1"/>
      <c r="I100" s="16" t="e">
        <f>(J99+(Crescimento!#REF!-(J99*0.64))/0.8)/1000</f>
        <v>#REF!</v>
      </c>
      <c r="J100" s="17" t="e">
        <f>-53.07 + (304.89 * (I100)) + (90.79 *Crescimento!#REF!) - (3.13 * Crescimento!#REF!*Crescimento!#REF!)</f>
        <v>#REF!</v>
      </c>
      <c r="L100" s="16" t="e">
        <f>(M99+(Crescimento!#REF!-(M99*0.64))/0.8)/1000</f>
        <v>#REF!</v>
      </c>
      <c r="M100" s="17" t="e">
        <f>-53.07 + (304.89 * (L100)) + (90.79 *Crescimento!#REF!) - (3.13 * Crescimento!#REF!*Crescimento!#REF!)</f>
        <v>#REF!</v>
      </c>
      <c r="O100" s="16" t="e">
        <f>(P99+(Crescimento!#REF!-(P99*0.64))/0.8)/1000</f>
        <v>#REF!</v>
      </c>
      <c r="P100" s="17" t="e">
        <f>-53.07 + (304.89 * (O100)) + (90.79 *Crescimento!#REF!) - (3.13 * Crescimento!#REF!*Crescimento!#REF!)</f>
        <v>#REF!</v>
      </c>
      <c r="R100" s="16" t="e">
        <f>(S99+(Crescimento!#REF!-(S99*0.64))/0.8)/1000</f>
        <v>#REF!</v>
      </c>
      <c r="S100" s="17" t="e">
        <f>-53.07 + (304.89 * (R100)) + (90.79 *Crescimento!#REF!) - (3.13 * Crescimento!#REF!*Crescimento!#REF!)</f>
        <v>#REF!</v>
      </c>
      <c r="U100" s="16" t="e">
        <f>(V99+(Crescimento!#REF!-(V99*0.64))/0.8)/1000</f>
        <v>#REF!</v>
      </c>
      <c r="V100" s="17" t="e">
        <f>-53.07 + (304.89 * (U100)) + (90.79 *Crescimento!#REF!) - (3.13 * Crescimento!#REF!*Crescimento!#REF!)</f>
        <v>#REF!</v>
      </c>
      <c r="X100" s="16" t="e">
        <f>(Y99+(Crescimento!#REF!-(Y99*0.64))/0.8)/1000</f>
        <v>#REF!</v>
      </c>
      <c r="Y100" s="17" t="e">
        <f>-53.07 + (304.89 * (X100)) + (90.79 *Crescimento!#REF!) - (3.13 * Crescimento!#REF!*Crescimento!#REF!)</f>
        <v>#REF!</v>
      </c>
      <c r="Z100" s="6"/>
      <c r="AA100" s="16" t="e">
        <f>(AB99+(Crescimento!#REF!-(AB99*0.64))/0.8)/1000</f>
        <v>#REF!</v>
      </c>
      <c r="AB100" s="17" t="e">
        <f>-53.07 + (304.89 * (AA100)) + (90.79 *Crescimento!#REF!) - (3.13 * Crescimento!#REF!*Crescimento!#REF!)</f>
        <v>#REF!</v>
      </c>
      <c r="AC100" s="6"/>
      <c r="AD100" s="16" t="e">
        <f>(AE99+(Crescimento!#REF!-(AE99*0.64))/0.8)/1000</f>
        <v>#REF!</v>
      </c>
      <c r="AE100" s="17" t="e">
        <f>-53.07 + (304.89 * (AD100)) + (90.79 *Crescimento!#REF!) - (3.13 * Crescimento!#REF!*Crescimento!#REF!)</f>
        <v>#REF!</v>
      </c>
      <c r="AF100" s="17"/>
      <c r="AG100" s="16" t="e">
        <f>(AH99+(Crescimento!#REF!-(AH99*0.64))/0.8)/1000</f>
        <v>#REF!</v>
      </c>
      <c r="AH100" s="17" t="e">
        <f>-53.07 + (304.89 * (AG100)) + (90.79 *Crescimento!#REF!) - (3.13 * Crescimento!#REF!*Crescimento!#REF!)</f>
        <v>#REF!</v>
      </c>
      <c r="AJ100" s="16" t="e">
        <f>(AK99+(Crescimento!#REF!-(AK99*0.64))/0.8)/1000</f>
        <v>#REF!</v>
      </c>
      <c r="AK100" s="17" t="e">
        <f>-53.07 + (304.89 * (AJ100)) + (90.79 *Crescimento!#REF!) - (3.13 * Crescimento!#REF!*Crescimento!#REF!)</f>
        <v>#REF!</v>
      </c>
      <c r="AM100" s="16" t="e">
        <f>(AN99+(Crescimento!#REF!-(AN99*0.64))/0.8)/1000</f>
        <v>#REF!</v>
      </c>
      <c r="AN100" s="17" t="e">
        <f>-53.07 + (304.89 * (AM100)) + (90.79 *Crescimento!#REF!) - (3.13 * Crescimento!#REF!*Crescimento!#REF!)</f>
        <v>#REF!</v>
      </c>
      <c r="AP100" s="16" t="e">
        <f>(AQ99+(Crescimento!#REF!-(AQ99*0.64))/0.8)/1000</f>
        <v>#REF!</v>
      </c>
      <c r="AQ100" s="17" t="e">
        <f>-53.07 + (304.89 * (AP100)) + (90.79 *Crescimento!#REF!) - (3.13 * Crescimento!#REF!*Crescimento!#REF!)</f>
        <v>#REF!</v>
      </c>
      <c r="AS100" s="16" t="e">
        <f>(AT99+(Crescimento!#REF!-(AT99*0.64))/0.8)/1000</f>
        <v>#REF!</v>
      </c>
      <c r="AT100" s="17" t="e">
        <f>-53.07 + (304.89 * (AS100)) + (90.79 *Crescimento!#REF!) - (3.13 * Crescimento!#REF!*Crescimento!#REF!)</f>
        <v>#REF!</v>
      </c>
      <c r="AV100" s="16" t="e">
        <f>(AW99+(Crescimento!#REF!-(AW99*0.64))/0.8)/1000</f>
        <v>#REF!</v>
      </c>
      <c r="AW100" s="17" t="e">
        <f>-53.07 + (304.89 * (AV100)) + (90.79 *Crescimento!#REF!) - (3.13 * Crescimento!#REF!*Crescimento!#REF!)</f>
        <v>#REF!</v>
      </c>
      <c r="AY100" s="21" t="e">
        <f>((AZ99+(Crescimento!#REF!-(AZ99*0.64))/0.8)/1000)-Crescimento!#REF!</f>
        <v>#REF!</v>
      </c>
      <c r="AZ100" s="22" t="e">
        <f>-53.07 + (304.89 * (AY100)) + (90.79 *(Crescimento!#REF!-Crescimento!#REF!)) - (3.13 * (Crescimento!#REF!-Crescimento!#REF!)^2)</f>
        <v>#REF!</v>
      </c>
      <c r="BA100" s="23"/>
      <c r="BB100" s="21" t="e">
        <f>((BC99+(Crescimento!#REF!-(BC99*0.64))/0.8)/1000)-Crescimento!#REF!</f>
        <v>#REF!</v>
      </c>
      <c r="BC100" s="22" t="e">
        <f>-53.07 + (304.89 * (BB100)) + (90.79 *(Crescimento!#REF!-Crescimento!#REF!)) - (3.13 * (Crescimento!#REF!-Crescimento!#REF!)^2)</f>
        <v>#REF!</v>
      </c>
      <c r="BD100" s="23"/>
      <c r="BE100" s="21" t="e">
        <f>((BF99+(Crescimento!#REF!-(BF99*0.64))/0.8)/1000)-Crescimento!#REF!</f>
        <v>#REF!</v>
      </c>
      <c r="BF100" s="22" t="e">
        <f>-53.07 + (304.89 * (BE100)) + (90.79 *(Crescimento!#REF!-Crescimento!#REF!)) - (3.13 * (Crescimento!#REF!-Crescimento!#REF!)^2)</f>
        <v>#REF!</v>
      </c>
      <c r="BG100" s="23"/>
      <c r="BH100" s="21" t="e">
        <f>((BI99+(Crescimento!#REF!-(BI99*0.64))/0.8)/1000)-Crescimento!#REF!</f>
        <v>#REF!</v>
      </c>
      <c r="BI100" s="22" t="e">
        <f>-53.07 + (304.89 * (BH100)) + (90.79 *(Crescimento!#REF!-Crescimento!#REF!)) - (3.13 * (Crescimento!#REF!-Crescimento!#REF!)^2)</f>
        <v>#REF!</v>
      </c>
      <c r="BJ100" s="23"/>
      <c r="BK100" s="21" t="e">
        <f>((BL99+(Crescimento!#REF!-(BL99*0.64))/0.8)/1000)-Crescimento!#REF!</f>
        <v>#REF!</v>
      </c>
      <c r="BL100" s="22" t="e">
        <f>-53.07 + (304.89 * (BK100)) + (90.79 *(Crescimento!#REF!-Crescimento!#REF!)) - (3.13 * (Crescimento!#REF!-Crescimento!#REF!)^2)</f>
        <v>#REF!</v>
      </c>
      <c r="BM100" s="23"/>
      <c r="BN100" s="21" t="e">
        <f>((BO99+(Crescimento!#REF!-(BO99*0.64))/0.8)/1000)-Crescimento!#REF!</f>
        <v>#REF!</v>
      </c>
      <c r="BO100" s="22" t="e">
        <f>-53.07 + (304.89 * (BN100)) + (90.79 *(Crescimento!#REF!-Crescimento!#REF!)) - (3.13 * (Crescimento!#REF!-Crescimento!#REF!)^2)</f>
        <v>#REF!</v>
      </c>
      <c r="BP100" s="23"/>
      <c r="BQ100" s="21" t="e">
        <f>((BR99+(Crescimento!#REF!-(BR99*0.64))/0.8)/1000)-Crescimento!#REF!</f>
        <v>#REF!</v>
      </c>
      <c r="BR100" s="22" t="e">
        <f>-53.07 + (304.89 * (BQ100)) + (90.79 *(Crescimento!#REF!-Crescimento!#REF!)) - (3.13 * (Crescimento!#REF!-Crescimento!#REF!)^2)</f>
        <v>#REF!</v>
      </c>
      <c r="BS100" s="23"/>
      <c r="BT100" s="21" t="e">
        <f>((BU99+(Crescimento!#REF!-(BU99*0.64))/0.8)/1000)-Crescimento!#REF!</f>
        <v>#REF!</v>
      </c>
      <c r="BU100" s="22" t="e">
        <f>-53.07 + (304.89 * (BT100)) + (90.79 *(Crescimento!#REF!-Crescimento!#REF!)) - (3.13 * (Crescimento!#REF!-Crescimento!#REF!)^2)</f>
        <v>#REF!</v>
      </c>
      <c r="BV100" s="23"/>
      <c r="BW100" s="21" t="e">
        <f>((BX99+(Crescimento!#REF!-(BX99*0.64))/0.8)/1000)-Crescimento!#REF!</f>
        <v>#REF!</v>
      </c>
      <c r="BX100" s="22" t="e">
        <f>-53.07 + (304.89 * (BW100)) + (90.79 *(Crescimento!#REF!-Crescimento!#REF!)) - (3.13 * (Crescimento!#REF!-Crescimento!#REF!)^2)</f>
        <v>#REF!</v>
      </c>
      <c r="BY100" s="23"/>
      <c r="BZ100" s="21" t="e">
        <f>((CA99+(Crescimento!#REF!-(CA99*0.64))/0.8)/1000)-Crescimento!#REF!</f>
        <v>#REF!</v>
      </c>
      <c r="CA100" s="22" t="e">
        <f>-53.07 + (304.89 * (BZ100)) + (90.79 *(Crescimento!#REF!-Crescimento!#REF!)) - (3.13 * (Crescimento!#REF!-Crescimento!#REF!)^2)</f>
        <v>#REF!</v>
      </c>
      <c r="CB100" s="23"/>
      <c r="CC100" s="21" t="e">
        <f>((CD99+(Crescimento!#REF!-(CD99*0.64))/0.8)/1000)-Crescimento!#REF!</f>
        <v>#REF!</v>
      </c>
      <c r="CD100" s="22" t="e">
        <f>-53.07 + (304.89 * (CC100)) + (90.79 *(Crescimento!#REF!-Crescimento!#REF!)) - (3.13 * (Crescimento!#REF!-Crescimento!#REF!)^2)</f>
        <v>#REF!</v>
      </c>
      <c r="CE100" s="23"/>
      <c r="CF100" s="21" t="e">
        <f>((CG99+(Crescimento!#REF!-(CG99*0.64))/0.8)/1000)-Crescimento!#REF!</f>
        <v>#REF!</v>
      </c>
      <c r="CG100" s="22" t="e">
        <f>-53.07 + (304.89 * (CF100)) + (90.79 *(Crescimento!#REF!-Crescimento!#REF!)) - (3.13 * (Crescimento!#REF!-Crescimento!#REF!)^2)</f>
        <v>#REF!</v>
      </c>
      <c r="CH100" s="23"/>
      <c r="CI100" s="21" t="e">
        <f>((CJ99+(Crescimento!#REF!-(CJ99*0.64))/0.8)/1000)-Crescimento!#REF!</f>
        <v>#REF!</v>
      </c>
      <c r="CJ100" s="22" t="e">
        <f>-53.07 + (304.89 * (CI100)) + (90.79 *(Crescimento!#REF!-Crescimento!#REF!)) - (3.13 * (Crescimento!#REF!-Crescimento!#REF!)^2)</f>
        <v>#REF!</v>
      </c>
      <c r="CK100" s="23"/>
      <c r="CL100" s="21" t="e">
        <f>((CM99+(Crescimento!#REF!-(CM99*0.64))/0.8)/1000)-Crescimento!#REF!</f>
        <v>#REF!</v>
      </c>
      <c r="CM100" s="22" t="e">
        <f>-53.07 + (304.89 * (CL100)) + (90.79 *(Crescimento!#REF!-Crescimento!#REF!)) - (3.13 * (Crescimento!#REF!-Crescimento!#REF!)^2)</f>
        <v>#REF!</v>
      </c>
      <c r="CN100" s="23"/>
      <c r="CO100" s="21" t="e">
        <f>((CP99+(Crescimento!#REF!-(CP99*0.64))/0.8)/1000)-Crescimento!#REF!</f>
        <v>#REF!</v>
      </c>
      <c r="CP100" s="22" t="e">
        <f>-53.07 + (304.89 * (CO100)) + (90.79 *(Crescimento!#REF!-Crescimento!#REF!)) - (3.13 * (Crescimento!#REF!-Crescimento!#REF!)^2)</f>
        <v>#REF!</v>
      </c>
      <c r="CQ100" s="23"/>
      <c r="CR100" s="21" t="e">
        <f>((CS99+(Crescimento!#REF!-(CS99*0.64))/0.8)/1000)-Crescimento!#REF!</f>
        <v>#REF!</v>
      </c>
      <c r="CS100" s="22" t="e">
        <f>-53.07 + (304.89 * (CR100)) + (90.79 *(Crescimento!#REF!-Crescimento!#REF!)) - (3.13 * (Crescimento!#REF!-Crescimento!#REF!)^2)</f>
        <v>#REF!</v>
      </c>
      <c r="CX100" s="16" t="e">
        <f>((CY99+(Crescimento!#REF!-(CY99*0.64))/0.8)/1000)-Crescimento!#REF!</f>
        <v>#REF!</v>
      </c>
      <c r="CY100" s="17" t="e">
        <f>-53.07 + (304.89 * (CX100)) + (90.79 *(Crescimento!#REF!-Crescimento!#REF!)) - (3.13 * (Crescimento!#REF!-Crescimento!#REF!)^2)</f>
        <v>#REF!</v>
      </c>
      <c r="DA100" s="16" t="e">
        <f>((DB99+(Crescimento!#REF!-(DB99*0.64))/0.8)/1000)-Crescimento!#REF!</f>
        <v>#REF!</v>
      </c>
      <c r="DB100" s="17" t="e">
        <f>-53.07 + (304.89 * (DA100)) + (90.79 *(Crescimento!#REF!-Crescimento!#REF!)) - (3.13 * (Crescimento!#REF!-Crescimento!#REF!)^2)</f>
        <v>#REF!</v>
      </c>
      <c r="DD100" s="16" t="e">
        <f>(DE99+(Crescimento!#REF!-(DE99*0.64))/0.8)/1000</f>
        <v>#REF!</v>
      </c>
      <c r="DE100" s="17" t="e">
        <f>-53.07 + (304.89 * (DD100)) + (90.79 *Crescimento!#REF!) - (3.13 * Crescimento!#REF!*Crescimento!#REF!)</f>
        <v>#REF!</v>
      </c>
      <c r="DG100" s="16" t="e">
        <f>((DH99+(Crescimento!#REF!-(DH99*0.64))/0.8)/1000)-Crescimento!#REF!</f>
        <v>#REF!</v>
      </c>
      <c r="DH100" s="17" t="e">
        <f>-53.07 + (304.89 * (DG100)) + (90.79 *(Crescimento!#REF!-Crescimento!#REF!)) - (3.13 * (Crescimento!#REF!-Crescimento!#REF!)^2)</f>
        <v>#REF!</v>
      </c>
      <c r="DJ100" s="16" t="e">
        <f>((DK99+(Crescimento!#REF!-(DK99*0.64))/0.8)/1000)-Crescimento!#REF!</f>
        <v>#REF!</v>
      </c>
      <c r="DK100" s="17" t="e">
        <f>-53.07 + (304.89 * (DJ100)) + (90.79 *(Crescimento!#REF!-Crescimento!#REF!)) - (3.13 * (Crescimento!#REF!-Crescimento!#REF!)^2)</f>
        <v>#REF!</v>
      </c>
      <c r="DM100" s="16" t="e">
        <f>((DN99+(Crescimento!#REF!-(DN99*0.64))/0.8)/1000)-Crescimento!#REF!</f>
        <v>#REF!</v>
      </c>
      <c r="DN100" s="17" t="e">
        <f>-53.07 + (304.89 * (DM100)) + (90.79 *(Crescimento!#REF!-Crescimento!#REF!)) - (3.13 * (Crescimento!#REF!-Crescimento!#REF!)^2)</f>
        <v>#REF!</v>
      </c>
      <c r="DP100" s="16" t="e">
        <f>(DQ99+(Crescimento!#REF!-(DQ99*0.64))/0.8)/1000</f>
        <v>#REF!</v>
      </c>
      <c r="DQ100" s="17" t="e">
        <f>-53.07 + (304.89 * (DP100)) + (90.79 *(Crescimento!#REF!-Crescimento!#REF!)) - (3.13 * (Crescimento!#REF!-Crescimento!#REF!)^2)</f>
        <v>#REF!</v>
      </c>
      <c r="DS100" s="16" t="e">
        <f>((DT99+(Crescimento!#REF!-(DT99*0.64))/0.8)/1000)-Crescimento!#REF!</f>
        <v>#REF!</v>
      </c>
      <c r="DT100" s="17" t="e">
        <f>-53.07 + (304.89 * (DS100)) + (90.79 *(Crescimento!#REF!-Crescimento!#REF!)) - (3.13 * (Crescimento!#REF!-Crescimento!#REF!)^2)</f>
        <v>#REF!</v>
      </c>
      <c r="DV100" s="16" t="e">
        <f>((DW99+(Crescimento!#REF!-(DW99*0.64))/0.8)/1000)-Crescimento!#REF!</f>
        <v>#REF!</v>
      </c>
      <c r="DW100" s="17" t="e">
        <f>-53.07 + (304.89 * (DV100)) + (90.79 *(Crescimento!#REF!-Crescimento!#REF!)) - (3.13 * (Crescimento!#REF!-Crescimento!#REF!)^2)</f>
        <v>#REF!</v>
      </c>
      <c r="DY100" s="16" t="e">
        <f>((DZ99+(Crescimento!#REF!-(DZ99*0.64))/0.8)/1000)-Crescimento!#REF!</f>
        <v>#REF!</v>
      </c>
      <c r="DZ100" s="17" t="e">
        <f>-53.07 + (304.89 * (DY100)) + (90.79 *(Crescimento!#REF!-Crescimento!#REF!)) - (3.13 * (Crescimento!#REF!-Crescimento!#REF!)^2)</f>
        <v>#REF!</v>
      </c>
      <c r="EB100" s="16" t="e">
        <f>((EC99+(Crescimento!#REF!-(EC99*0.64))/0.8)/1000)-Crescimento!#REF!</f>
        <v>#REF!</v>
      </c>
      <c r="EC100" s="17" t="e">
        <f>-53.07 + (304.89 * (EB100)) + (90.79 *(Crescimento!#REF!-Crescimento!#REF!)) - (3.13 * (Crescimento!#REF!-Crescimento!#REF!)^2)</f>
        <v>#REF!</v>
      </c>
      <c r="EE100" s="16" t="e">
        <f>((EF99+(Crescimento!#REF!-(EF99*0.64))/0.8)/1000)-Crescimento!#REF!</f>
        <v>#REF!</v>
      </c>
      <c r="EF100" s="17" t="e">
        <f>-53.07 + (304.89 * (EE100)) + (90.79 *(Crescimento!#REF!-Crescimento!#REF!)) - (3.13 * (Crescimento!#REF!-Crescimento!#REF!)^2)</f>
        <v>#REF!</v>
      </c>
      <c r="EH100" s="16" t="e">
        <f>((EI99+(Crescimento!#REF!-(EI99*0.64))/0.8)/1000)-Crescimento!#REF!</f>
        <v>#REF!</v>
      </c>
      <c r="EI100" s="17" t="e">
        <f>-53.07 + (304.89 * (EH100)) + (90.79 *(Crescimento!#REF!-Crescimento!#REF!)) - (3.13 * (Crescimento!#REF!-Crescimento!#REF!)^2)</f>
        <v>#REF!</v>
      </c>
      <c r="EK100" s="16" t="e">
        <f>((EL99+(Crescimento!#REF!-(EL99*0.64))/0.8)/1000)-Crescimento!#REF!</f>
        <v>#REF!</v>
      </c>
      <c r="EL100" s="17" t="e">
        <f>-53.07 + (304.89 * (EK100)) + (90.79 *(Crescimento!#REF!-Crescimento!#REF!)) - (3.13 * (Crescimento!#REF!-Crescimento!#REF!)^2)</f>
        <v>#REF!</v>
      </c>
      <c r="EN100" s="16" t="e">
        <f>((EO99+(Crescimento!#REF!-(EO99*0.64))/0.8)/1000)-Crescimento!#REF!</f>
        <v>#REF!</v>
      </c>
      <c r="EO100" s="17" t="e">
        <f>-53.07 + (304.89 * (EN100)) + (90.79 *(Crescimento!#REF!-Crescimento!#REF!)) - (3.13 * (Crescimento!#REF!-Crescimento!#REF!)^2)</f>
        <v>#REF!</v>
      </c>
      <c r="EQ100" s="16" t="e">
        <f>((ER99+(Crescimento!#REF!-(ER99*0.64))/0.8)/1000)-Crescimento!#REF!</f>
        <v>#REF!</v>
      </c>
      <c r="ER100" s="17" t="e">
        <f>-53.07 + (304.89 * (EQ100)) + (90.79 *(Crescimento!#REF!-Crescimento!#REF!)) - (3.13 * (Crescimento!#REF!-Crescimento!#REF!)^2)</f>
        <v>#REF!</v>
      </c>
      <c r="ET100" s="16" t="e">
        <f>((EU99+(Crescimento!#REF!-(EU99*0.64))/0.8)/1000)-Crescimento!#REF!</f>
        <v>#REF!</v>
      </c>
      <c r="EU100" s="17" t="e">
        <f>-53.07 + (304.89 * (ET100)) + (90.79 *(Crescimento!#REF!-Crescimento!#REF!)) - (3.13 * (Crescimento!#REF!-Crescimento!#REF!)^2)</f>
        <v>#REF!</v>
      </c>
      <c r="EW100" s="16" t="e">
        <f>((EX99+('Vacas e Bezerros'!#REF!-(EX99*0.64))/0.8)/1000)-'Vacas e Bezerros'!#REF!</f>
        <v>#REF!</v>
      </c>
      <c r="EX100" s="17" t="e">
        <f>-53.07 + (304.89 * (EW100)) + (90.79 *('Vacas e Bezerros'!#REF!-'Vacas e Bezerros'!#REF!)) - (3.13 * ('Vacas e Bezerros'!#REF!-'Vacas e Bezerros'!#REF!)^2)</f>
        <v>#REF!</v>
      </c>
      <c r="EZ100" s="16" t="e">
        <f>((FA99+('Vacas e Bezerros'!#REF!-(FA99*0.64))/0.8)/1000)-'Vacas e Bezerros'!#REF!</f>
        <v>#REF!</v>
      </c>
      <c r="FA100" s="17" t="e">
        <f>-53.07 + (304.89 * (EZ100)) + (90.79 *('Vacas e Bezerros'!#REF!-'Vacas e Bezerros'!#REF!)) - (3.13 * ('Vacas e Bezerros'!#REF!-'Vacas e Bezerros'!#REF!)^2)</f>
        <v>#REF!</v>
      </c>
      <c r="FC100" s="16" t="e">
        <f>((FD99+('Vacas e Bezerros'!#REF!-(FD99*0.64))/0.8)/1000)-'Vacas e Bezerros'!#REF!</f>
        <v>#REF!</v>
      </c>
      <c r="FD100" s="17" t="e">
        <f>-53.07 + (304.89 * (FC100)) + (90.79 *('Vacas e Bezerros'!#REF!-'Vacas e Bezerros'!#REF!)) - (3.13 * ('Vacas e Bezerros'!#REF!-'Vacas e Bezerros'!#REF!)^2)</f>
        <v>#REF!</v>
      </c>
      <c r="FF100" s="16" t="e">
        <f>((FG99+('Vacas e Bezerros'!#REF!-(FG99*0.64))/0.8)/1000)-'Vacas e Bezerros'!#REF!</f>
        <v>#REF!</v>
      </c>
      <c r="FG100" s="17" t="e">
        <f>-53.07 + (304.89 * (FF100)) + (90.79 *('Vacas e Bezerros'!#REF!-'Vacas e Bezerros'!#REF!)) - (3.13 * ('Vacas e Bezerros'!#REF!-'Vacas e Bezerros'!#REF!)^2)</f>
        <v>#REF!</v>
      </c>
      <c r="FI100" s="16" t="e">
        <f>((FJ99+('Vacas e Bezerros'!#REF!-(FJ99*0.64))/0.8)/1000)-'Vacas e Bezerros'!#REF!</f>
        <v>#REF!</v>
      </c>
      <c r="FJ100" s="17" t="e">
        <f>-53.07 + (304.89 * (FI100)) + (90.79 *('Vacas e Bezerros'!#REF!-'Vacas e Bezerros'!#REF!)) - (3.13 * ('Vacas e Bezerros'!#REF!-'Vacas e Bezerros'!#REF!)^2)</f>
        <v>#REF!</v>
      </c>
      <c r="FL100" s="16" t="e">
        <f>((FM99+('Vacas e Bezerros'!#REF!-(FM99*0.64))/0.8)/1000)-'Vacas e Bezerros'!#REF!</f>
        <v>#REF!</v>
      </c>
      <c r="FM100" s="17" t="e">
        <f>-53.07 + (304.89 * (FL100)) + (90.79 *('Vacas e Bezerros'!#REF!-'Vacas e Bezerros'!#REF!)) - (3.13 * ('Vacas e Bezerros'!#REF!-'Vacas e Bezerros'!#REF!)^2)</f>
        <v>#REF!</v>
      </c>
      <c r="FO100" s="16" t="e">
        <f>((FP99+('Vacas e Bezerros'!#REF!-(FP99*0.64))/0.8)/1000)-'Vacas e Bezerros'!#REF!</f>
        <v>#REF!</v>
      </c>
      <c r="FP100" s="17" t="e">
        <f>-53.07 + (304.89 * (FO100)) + (90.79 *('Vacas e Bezerros'!#REF!-'Vacas e Bezerros'!#REF!)) - (3.13 * ('Vacas e Bezerros'!#REF!-'Vacas e Bezerros'!#REF!)^2)</f>
        <v>#REF!</v>
      </c>
      <c r="FR100" s="16" t="e">
        <f>((FS99+('Vacas e Bezerros'!#REF!-(FS99*0.64))/0.8)/1000)-'Vacas e Bezerros'!#REF!</f>
        <v>#REF!</v>
      </c>
      <c r="FS100" s="17" t="e">
        <f>-53.07 + (304.89 * (FR100)) + (90.79 *('Vacas e Bezerros'!#REF!-'Vacas e Bezerros'!#REF!)) - (3.13 * ('Vacas e Bezerros'!#REF!-'Vacas e Bezerros'!#REF!)^2)</f>
        <v>#REF!</v>
      </c>
      <c r="FU100" s="16" t="e">
        <f>((FV99+('Vacas e Bezerros'!#REF!-(FV99*0.64))/0.8)/1000)-'Vacas e Bezerros'!#REF!</f>
        <v>#REF!</v>
      </c>
      <c r="FV100" s="17" t="e">
        <f>-53.07 + (304.89 * (FU100)) + (90.79 *('Vacas e Bezerros'!#REF!-'Vacas e Bezerros'!#REF!)) - (3.13 * ('Vacas e Bezerros'!#REF!-'Vacas e Bezerros'!#REF!)^2)</f>
        <v>#REF!</v>
      </c>
      <c r="FX100" s="16" t="e">
        <f>((FY99+('Vacas e Bezerros'!#REF!-(FY99*0.64))/0.8)/1000)-'Vacas e Bezerros'!#REF!</f>
        <v>#REF!</v>
      </c>
      <c r="FY100" s="17" t="e">
        <f>-53.07 + (304.89 * (FX100)) + (90.79 *('Vacas e Bezerros'!#REF!-'Vacas e Bezerros'!#REF!)) - (3.13 * ('Vacas e Bezerros'!#REF!-'Vacas e Bezerros'!#REF!)^2)</f>
        <v>#REF!</v>
      </c>
      <c r="GA100" s="16" t="e">
        <f>((GB99+('Vacas e Bezerros'!#REF!-(GB99*0.64))/0.8)/1000)-'Vacas e Bezerros'!#REF!</f>
        <v>#REF!</v>
      </c>
      <c r="GB100" s="17" t="e">
        <f>-53.07 + (304.89 * (GA100)) + (90.79 *('Vacas e Bezerros'!#REF!-'Vacas e Bezerros'!#REF!)) - (3.13 * ('Vacas e Bezerros'!#REF!-'Vacas e Bezerros'!#REF!)^2)</f>
        <v>#REF!</v>
      </c>
      <c r="GD100" s="16" t="e">
        <f>((GE99+('Vacas e Bezerros'!#REF!-(GE99*0.64))/0.8)/1000)-'Vacas e Bezerros'!#REF!</f>
        <v>#REF!</v>
      </c>
      <c r="GE100" s="17" t="e">
        <f>-53.07 + (304.89 * (GD100)) + (90.79 *('Vacas e Bezerros'!#REF!-'Vacas e Bezerros'!#REF!)) - (3.13 * ('Vacas e Bezerros'!#REF!-'Vacas e Bezerros'!#REF!)^2)</f>
        <v>#REF!</v>
      </c>
      <c r="GG100" s="16" t="e">
        <f>((GH99+('Vacas e Bezerros'!#REF!-(GH99*0.64))/0.8)/1000)-'Vacas e Bezerros'!#REF!</f>
        <v>#REF!</v>
      </c>
      <c r="GH100" s="17" t="e">
        <f>-53.07 + (304.89 * (GG100)) + (90.79 *('Vacas e Bezerros'!#REF!-'Vacas e Bezerros'!#REF!)) - (3.13 * ('Vacas e Bezerros'!#REF!-'Vacas e Bezerros'!#REF!)^2)</f>
        <v>#REF!</v>
      </c>
      <c r="GJ100" s="16" t="e">
        <f>((GK99+('Vacas e Bezerros'!#REF!-(GK99*0.64))/0.8)/1000)-'Vacas e Bezerros'!#REF!</f>
        <v>#REF!</v>
      </c>
      <c r="GK100" s="17" t="e">
        <f>-53.07 + (304.89 * (GJ100)) + (90.79 *('Vacas e Bezerros'!#REF!-'Vacas e Bezerros'!#REF!)) - (3.13 * ('Vacas e Bezerros'!#REF!-'Vacas e Bezerros'!#REF!)^2)</f>
        <v>#REF!</v>
      </c>
      <c r="GM100" s="16" t="e">
        <f>((GN99+('Vacas e Bezerros'!#REF!-(GN99*0.64))/0.8)/1000)-'Vacas e Bezerros'!#REF!</f>
        <v>#REF!</v>
      </c>
      <c r="GN100" s="17" t="e">
        <f>-53.07 + (304.89 * (GM100)) + (90.79 *('Vacas e Bezerros'!#REF!-'Vacas e Bezerros'!#REF!)) - (3.13 * ('Vacas e Bezerros'!#REF!-'Vacas e Bezerros'!#REF!)^2)</f>
        <v>#REF!</v>
      </c>
    </row>
    <row r="101" spans="3:196" x14ac:dyDescent="0.25">
      <c r="C101" s="16">
        <f>(D100+('Vacas e Bezerros'!$AA$28-(D100*0.64))/0.8)/1000</f>
        <v>0.35719668016155687</v>
      </c>
      <c r="D101" s="17">
        <f>-53.07 + (304.89 * (C101-'Vacas e Bezerros'!$C$206)) + (90.79 *('Vacas e Bezerros'!$AA$22)) - (3.13 *('Vacas e Bezerros'!$AA$22)^2)</f>
        <v>165.01876457544017</v>
      </c>
      <c r="F101" s="16" t="e">
        <f>(G100+(Crescimento!#REF!-(G100*0.64))/0.8)/1000</f>
        <v>#REF!</v>
      </c>
      <c r="G101" s="17" t="e">
        <f>-53.07 + (304.89 * (F101)) + (90.79 *Crescimento!#REF!) - (3.13 * Crescimento!#REF!*Crescimento!#REF!)</f>
        <v>#REF!</v>
      </c>
      <c r="H101" s="1"/>
      <c r="I101" s="16" t="e">
        <f>(J100+(Crescimento!#REF!-(J100*0.64))/0.8)/1000</f>
        <v>#REF!</v>
      </c>
      <c r="J101" s="17" t="e">
        <f>-53.07 + (304.89 * (I101)) + (90.79 *Crescimento!#REF!) - (3.13 * Crescimento!#REF!*Crescimento!#REF!)</f>
        <v>#REF!</v>
      </c>
      <c r="L101" s="16" t="e">
        <f>(M100+(Crescimento!#REF!-(M100*0.64))/0.8)/1000</f>
        <v>#REF!</v>
      </c>
      <c r="M101" s="17" t="e">
        <f>-53.07 + (304.89 * (L101)) + (90.79 *Crescimento!#REF!) - (3.13 * Crescimento!#REF!*Crescimento!#REF!)</f>
        <v>#REF!</v>
      </c>
      <c r="O101" s="16" t="e">
        <f>(P100+(Crescimento!#REF!-(P100*0.64))/0.8)/1000</f>
        <v>#REF!</v>
      </c>
      <c r="P101" s="17" t="e">
        <f>-53.07 + (304.89 * (O101)) + (90.79 *Crescimento!#REF!) - (3.13 * Crescimento!#REF!*Crescimento!#REF!)</f>
        <v>#REF!</v>
      </c>
      <c r="R101" s="16" t="e">
        <f>(S100+(Crescimento!#REF!-(S100*0.64))/0.8)/1000</f>
        <v>#REF!</v>
      </c>
      <c r="S101" s="17" t="e">
        <f>-53.07 + (304.89 * (R101)) + (90.79 *Crescimento!#REF!) - (3.13 * Crescimento!#REF!*Crescimento!#REF!)</f>
        <v>#REF!</v>
      </c>
      <c r="U101" s="16" t="e">
        <f>(V100+(Crescimento!#REF!-(V100*0.64))/0.8)/1000</f>
        <v>#REF!</v>
      </c>
      <c r="V101" s="17" t="e">
        <f>-53.07 + (304.89 * (U101)) + (90.79 *Crescimento!#REF!) - (3.13 * Crescimento!#REF!*Crescimento!#REF!)</f>
        <v>#REF!</v>
      </c>
      <c r="X101" s="16" t="e">
        <f>(Y100+(Crescimento!#REF!-(Y100*0.64))/0.8)/1000</f>
        <v>#REF!</v>
      </c>
      <c r="Y101" s="17" t="e">
        <f>-53.07 + (304.89 * (X101)) + (90.79 *Crescimento!#REF!) - (3.13 * Crescimento!#REF!*Crescimento!#REF!)</f>
        <v>#REF!</v>
      </c>
      <c r="Z101" s="6"/>
      <c r="AA101" s="16" t="e">
        <f>(AB100+(Crescimento!#REF!-(AB100*0.64))/0.8)/1000</f>
        <v>#REF!</v>
      </c>
      <c r="AB101" s="17" t="e">
        <f>-53.07 + (304.89 * (AA101)) + (90.79 *Crescimento!#REF!) - (3.13 * Crescimento!#REF!*Crescimento!#REF!)</f>
        <v>#REF!</v>
      </c>
      <c r="AC101" s="6"/>
      <c r="AD101" s="16" t="e">
        <f>(AE100+(Crescimento!#REF!-(AE100*0.64))/0.8)/1000</f>
        <v>#REF!</v>
      </c>
      <c r="AE101" s="17" t="e">
        <f>-53.07 + (304.89 * (AD101)) + (90.79 *Crescimento!#REF!) - (3.13 * Crescimento!#REF!*Crescimento!#REF!)</f>
        <v>#REF!</v>
      </c>
      <c r="AF101" s="17"/>
      <c r="AG101" s="16" t="e">
        <f>(AH100+(Crescimento!#REF!-(AH100*0.64))/0.8)/1000</f>
        <v>#REF!</v>
      </c>
      <c r="AH101" s="17" t="e">
        <f>-53.07 + (304.89 * (AG101)) + (90.79 *Crescimento!#REF!) - (3.13 * Crescimento!#REF!*Crescimento!#REF!)</f>
        <v>#REF!</v>
      </c>
      <c r="AJ101" s="16" t="e">
        <f>(AK100+(Crescimento!#REF!-(AK100*0.64))/0.8)/1000</f>
        <v>#REF!</v>
      </c>
      <c r="AK101" s="17" t="e">
        <f>-53.07 + (304.89 * (AJ101)) + (90.79 *Crescimento!#REF!) - (3.13 * Crescimento!#REF!*Crescimento!#REF!)</f>
        <v>#REF!</v>
      </c>
      <c r="AM101" s="16" t="e">
        <f>(AN100+(Crescimento!#REF!-(AN100*0.64))/0.8)/1000</f>
        <v>#REF!</v>
      </c>
      <c r="AN101" s="17" t="e">
        <f>-53.07 + (304.89 * (AM101)) + (90.79 *Crescimento!#REF!) - (3.13 * Crescimento!#REF!*Crescimento!#REF!)</f>
        <v>#REF!</v>
      </c>
      <c r="AP101" s="16" t="e">
        <f>(AQ100+(Crescimento!#REF!-(AQ100*0.64))/0.8)/1000</f>
        <v>#REF!</v>
      </c>
      <c r="AQ101" s="17" t="e">
        <f>-53.07 + (304.89 * (AP101)) + (90.79 *Crescimento!#REF!) - (3.13 * Crescimento!#REF!*Crescimento!#REF!)</f>
        <v>#REF!</v>
      </c>
      <c r="AS101" s="16" t="e">
        <f>(AT100+(Crescimento!#REF!-(AT100*0.64))/0.8)/1000</f>
        <v>#REF!</v>
      </c>
      <c r="AT101" s="17" t="e">
        <f>-53.07 + (304.89 * (AS101)) + (90.79 *Crescimento!#REF!) - (3.13 * Crescimento!#REF!*Crescimento!#REF!)</f>
        <v>#REF!</v>
      </c>
      <c r="AV101" s="16" t="e">
        <f>(AW100+(Crescimento!#REF!-(AW100*0.64))/0.8)/1000</f>
        <v>#REF!</v>
      </c>
      <c r="AW101" s="17" t="e">
        <f>-53.07 + (304.89 * (AV101)) + (90.79 *Crescimento!#REF!) - (3.13 * Crescimento!#REF!*Crescimento!#REF!)</f>
        <v>#REF!</v>
      </c>
      <c r="AY101" s="21" t="e">
        <f>((AZ100+(Crescimento!#REF!-(AZ100*0.64))/0.8)/1000)-Crescimento!#REF!</f>
        <v>#REF!</v>
      </c>
      <c r="AZ101" s="22" t="e">
        <f>-53.07 + (304.89 * (AY101)) + (90.79 *(Crescimento!#REF!-Crescimento!#REF!)) - (3.13 * (Crescimento!#REF!-Crescimento!#REF!)^2)</f>
        <v>#REF!</v>
      </c>
      <c r="BA101" s="23"/>
      <c r="BB101" s="21" t="e">
        <f>((BC100+(Crescimento!#REF!-(BC100*0.64))/0.8)/1000)-Crescimento!#REF!</f>
        <v>#REF!</v>
      </c>
      <c r="BC101" s="22" t="e">
        <f>-53.07 + (304.89 * (BB101)) + (90.79 *(Crescimento!#REF!-Crescimento!#REF!)) - (3.13 * (Crescimento!#REF!-Crescimento!#REF!)^2)</f>
        <v>#REF!</v>
      </c>
      <c r="BD101" s="23"/>
      <c r="BE101" s="21" t="e">
        <f>((BF100+(Crescimento!#REF!-(BF100*0.64))/0.8)/1000)-Crescimento!#REF!</f>
        <v>#REF!</v>
      </c>
      <c r="BF101" s="22" t="e">
        <f>-53.07 + (304.89 * (BE101)) + (90.79 *(Crescimento!#REF!-Crescimento!#REF!)) - (3.13 * (Crescimento!#REF!-Crescimento!#REF!)^2)</f>
        <v>#REF!</v>
      </c>
      <c r="BG101" s="23"/>
      <c r="BH101" s="21" t="e">
        <f>((BI100+(Crescimento!#REF!-(BI100*0.64))/0.8)/1000)-Crescimento!#REF!</f>
        <v>#REF!</v>
      </c>
      <c r="BI101" s="22" t="e">
        <f>-53.07 + (304.89 * (BH101)) + (90.79 *(Crescimento!#REF!-Crescimento!#REF!)) - (3.13 * (Crescimento!#REF!-Crescimento!#REF!)^2)</f>
        <v>#REF!</v>
      </c>
      <c r="BJ101" s="23"/>
      <c r="BK101" s="21" t="e">
        <f>((BL100+(Crescimento!#REF!-(BL100*0.64))/0.8)/1000)-Crescimento!#REF!</f>
        <v>#REF!</v>
      </c>
      <c r="BL101" s="22" t="e">
        <f>-53.07 + (304.89 * (BK101)) + (90.79 *(Crescimento!#REF!-Crescimento!#REF!)) - (3.13 * (Crescimento!#REF!-Crescimento!#REF!)^2)</f>
        <v>#REF!</v>
      </c>
      <c r="BM101" s="23"/>
      <c r="BN101" s="21" t="e">
        <f>((BO100+(Crescimento!#REF!-(BO100*0.64))/0.8)/1000)-Crescimento!#REF!</f>
        <v>#REF!</v>
      </c>
      <c r="BO101" s="22" t="e">
        <f>-53.07 + (304.89 * (BN101)) + (90.79 *(Crescimento!#REF!-Crescimento!#REF!)) - (3.13 * (Crescimento!#REF!-Crescimento!#REF!)^2)</f>
        <v>#REF!</v>
      </c>
      <c r="BP101" s="23"/>
      <c r="BQ101" s="21" t="e">
        <f>((BR100+(Crescimento!#REF!-(BR100*0.64))/0.8)/1000)-Crescimento!#REF!</f>
        <v>#REF!</v>
      </c>
      <c r="BR101" s="22" t="e">
        <f>-53.07 + (304.89 * (BQ101)) + (90.79 *(Crescimento!#REF!-Crescimento!#REF!)) - (3.13 * (Crescimento!#REF!-Crescimento!#REF!)^2)</f>
        <v>#REF!</v>
      </c>
      <c r="BS101" s="23"/>
      <c r="BT101" s="21" t="e">
        <f>((BU100+(Crescimento!#REF!-(BU100*0.64))/0.8)/1000)-Crescimento!#REF!</f>
        <v>#REF!</v>
      </c>
      <c r="BU101" s="22" t="e">
        <f>-53.07 + (304.89 * (BT101)) + (90.79 *(Crescimento!#REF!-Crescimento!#REF!)) - (3.13 * (Crescimento!#REF!-Crescimento!#REF!)^2)</f>
        <v>#REF!</v>
      </c>
      <c r="BV101" s="23"/>
      <c r="BW101" s="21" t="e">
        <f>((BX100+(Crescimento!#REF!-(BX100*0.64))/0.8)/1000)-Crescimento!#REF!</f>
        <v>#REF!</v>
      </c>
      <c r="BX101" s="22" t="e">
        <f>-53.07 + (304.89 * (BW101)) + (90.79 *(Crescimento!#REF!-Crescimento!#REF!)) - (3.13 * (Crescimento!#REF!-Crescimento!#REF!)^2)</f>
        <v>#REF!</v>
      </c>
      <c r="BY101" s="23"/>
      <c r="BZ101" s="21" t="e">
        <f>((CA100+(Crescimento!#REF!-(CA100*0.64))/0.8)/1000)-Crescimento!#REF!</f>
        <v>#REF!</v>
      </c>
      <c r="CA101" s="22" t="e">
        <f>-53.07 + (304.89 * (BZ101)) + (90.79 *(Crescimento!#REF!-Crescimento!#REF!)) - (3.13 * (Crescimento!#REF!-Crescimento!#REF!)^2)</f>
        <v>#REF!</v>
      </c>
      <c r="CB101" s="23"/>
      <c r="CC101" s="21" t="e">
        <f>((CD100+(Crescimento!#REF!-(CD100*0.64))/0.8)/1000)-Crescimento!#REF!</f>
        <v>#REF!</v>
      </c>
      <c r="CD101" s="22" t="e">
        <f>-53.07 + (304.89 * (CC101)) + (90.79 *(Crescimento!#REF!-Crescimento!#REF!)) - (3.13 * (Crescimento!#REF!-Crescimento!#REF!)^2)</f>
        <v>#REF!</v>
      </c>
      <c r="CE101" s="23"/>
      <c r="CF101" s="21" t="e">
        <f>((CG100+(Crescimento!#REF!-(CG100*0.64))/0.8)/1000)-Crescimento!#REF!</f>
        <v>#REF!</v>
      </c>
      <c r="CG101" s="22" t="e">
        <f>-53.07 + (304.89 * (CF101)) + (90.79 *(Crescimento!#REF!-Crescimento!#REF!)) - (3.13 * (Crescimento!#REF!-Crescimento!#REF!)^2)</f>
        <v>#REF!</v>
      </c>
      <c r="CH101" s="23"/>
      <c r="CI101" s="21" t="e">
        <f>((CJ100+(Crescimento!#REF!-(CJ100*0.64))/0.8)/1000)-Crescimento!#REF!</f>
        <v>#REF!</v>
      </c>
      <c r="CJ101" s="22" t="e">
        <f>-53.07 + (304.89 * (CI101)) + (90.79 *(Crescimento!#REF!-Crescimento!#REF!)) - (3.13 * (Crescimento!#REF!-Crescimento!#REF!)^2)</f>
        <v>#REF!</v>
      </c>
      <c r="CK101" s="23"/>
      <c r="CL101" s="21" t="e">
        <f>((CM100+(Crescimento!#REF!-(CM100*0.64))/0.8)/1000)-Crescimento!#REF!</f>
        <v>#REF!</v>
      </c>
      <c r="CM101" s="22" t="e">
        <f>-53.07 + (304.89 * (CL101)) + (90.79 *(Crescimento!#REF!-Crescimento!#REF!)) - (3.13 * (Crescimento!#REF!-Crescimento!#REF!)^2)</f>
        <v>#REF!</v>
      </c>
      <c r="CN101" s="23"/>
      <c r="CO101" s="21" t="e">
        <f>((CP100+(Crescimento!#REF!-(CP100*0.64))/0.8)/1000)-Crescimento!#REF!</f>
        <v>#REF!</v>
      </c>
      <c r="CP101" s="22" t="e">
        <f>-53.07 + (304.89 * (CO101)) + (90.79 *(Crescimento!#REF!-Crescimento!#REF!)) - (3.13 * (Crescimento!#REF!-Crescimento!#REF!)^2)</f>
        <v>#REF!</v>
      </c>
      <c r="CQ101" s="23"/>
      <c r="CR101" s="21" t="e">
        <f>((CS100+(Crescimento!#REF!-(CS100*0.64))/0.8)/1000)-Crescimento!#REF!</f>
        <v>#REF!</v>
      </c>
      <c r="CS101" s="22" t="e">
        <f>-53.07 + (304.89 * (CR101)) + (90.79 *(Crescimento!#REF!-Crescimento!#REF!)) - (3.13 * (Crescimento!#REF!-Crescimento!#REF!)^2)</f>
        <v>#REF!</v>
      </c>
      <c r="CX101" s="16" t="e">
        <f>((CY100+(Crescimento!#REF!-(CY100*0.64))/0.8)/1000)-Crescimento!#REF!</f>
        <v>#REF!</v>
      </c>
      <c r="CY101" s="17" t="e">
        <f>-53.07 + (304.89 * (CX101)) + (90.79 *(Crescimento!#REF!-Crescimento!#REF!)) - (3.13 * (Crescimento!#REF!-Crescimento!#REF!)^2)</f>
        <v>#REF!</v>
      </c>
      <c r="DA101" s="16" t="e">
        <f>((DB100+(Crescimento!#REF!-(DB100*0.64))/0.8)/1000)-Crescimento!#REF!</f>
        <v>#REF!</v>
      </c>
      <c r="DB101" s="17" t="e">
        <f>-53.07 + (304.89 * (DA101)) + (90.79 *(Crescimento!#REF!-Crescimento!#REF!)) - (3.13 * (Crescimento!#REF!-Crescimento!#REF!)^2)</f>
        <v>#REF!</v>
      </c>
      <c r="DD101" s="16" t="e">
        <f>(DE100+(Crescimento!#REF!-(DE100*0.64))/0.8)/1000</f>
        <v>#REF!</v>
      </c>
      <c r="DE101" s="17" t="e">
        <f>-53.07 + (304.89 * (DD101)) + (90.79 *Crescimento!#REF!) - (3.13 * Crescimento!#REF!*Crescimento!#REF!)</f>
        <v>#REF!</v>
      </c>
      <c r="DG101" s="16" t="e">
        <f>((DH100+(Crescimento!#REF!-(DH100*0.64))/0.8)/1000)-Crescimento!#REF!</f>
        <v>#REF!</v>
      </c>
      <c r="DH101" s="17" t="e">
        <f>-53.07 + (304.89 * (DG101)) + (90.79 *(Crescimento!#REF!-Crescimento!#REF!)) - (3.13 * (Crescimento!#REF!-Crescimento!#REF!)^2)</f>
        <v>#REF!</v>
      </c>
      <c r="DJ101" s="16" t="e">
        <f>((DK100+(Crescimento!#REF!-(DK100*0.64))/0.8)/1000)-Crescimento!#REF!</f>
        <v>#REF!</v>
      </c>
      <c r="DK101" s="17" t="e">
        <f>-53.07 + (304.89 * (DJ101)) + (90.79 *(Crescimento!#REF!-Crescimento!#REF!)) - (3.13 * (Crescimento!#REF!-Crescimento!#REF!)^2)</f>
        <v>#REF!</v>
      </c>
      <c r="DM101" s="16" t="e">
        <f>((DN100+(Crescimento!#REF!-(DN100*0.64))/0.8)/1000)-Crescimento!#REF!</f>
        <v>#REF!</v>
      </c>
      <c r="DN101" s="17" t="e">
        <f>-53.07 + (304.89 * (DM101)) + (90.79 *(Crescimento!#REF!-Crescimento!#REF!)) - (3.13 * (Crescimento!#REF!-Crescimento!#REF!)^2)</f>
        <v>#REF!</v>
      </c>
      <c r="DP101" s="16" t="e">
        <f>(DQ100+(Crescimento!#REF!-(DQ100*0.64))/0.8)/1000</f>
        <v>#REF!</v>
      </c>
      <c r="DQ101" s="17" t="e">
        <f>-53.07 + (304.89 * (DP101)) + (90.79 *(Crescimento!#REF!-Crescimento!#REF!)) - (3.13 * (Crescimento!#REF!-Crescimento!#REF!)^2)</f>
        <v>#REF!</v>
      </c>
      <c r="DS101" s="16" t="e">
        <f>((DT100+(Crescimento!#REF!-(DT100*0.64))/0.8)/1000)-Crescimento!#REF!</f>
        <v>#REF!</v>
      </c>
      <c r="DT101" s="17" t="e">
        <f>-53.07 + (304.89 * (DS101)) + (90.79 *(Crescimento!#REF!-Crescimento!#REF!)) - (3.13 * (Crescimento!#REF!-Crescimento!#REF!)^2)</f>
        <v>#REF!</v>
      </c>
      <c r="DV101" s="16" t="e">
        <f>((DW100+(Crescimento!#REF!-(DW100*0.64))/0.8)/1000)-Crescimento!#REF!</f>
        <v>#REF!</v>
      </c>
      <c r="DW101" s="17" t="e">
        <f>-53.07 + (304.89 * (DV101)) + (90.79 *(Crescimento!#REF!-Crescimento!#REF!)) - (3.13 * (Crescimento!#REF!-Crescimento!#REF!)^2)</f>
        <v>#REF!</v>
      </c>
      <c r="DY101" s="16" t="e">
        <f>((DZ100+(Crescimento!#REF!-(DZ100*0.64))/0.8)/1000)-Crescimento!#REF!</f>
        <v>#REF!</v>
      </c>
      <c r="DZ101" s="17" t="e">
        <f>-53.07 + (304.89 * (DY101)) + (90.79 *(Crescimento!#REF!-Crescimento!#REF!)) - (3.13 * (Crescimento!#REF!-Crescimento!#REF!)^2)</f>
        <v>#REF!</v>
      </c>
      <c r="EB101" s="16" t="e">
        <f>((EC100+(Crescimento!#REF!-(EC100*0.64))/0.8)/1000)-Crescimento!#REF!</f>
        <v>#REF!</v>
      </c>
      <c r="EC101" s="17" t="e">
        <f>-53.07 + (304.89 * (EB101)) + (90.79 *(Crescimento!#REF!-Crescimento!#REF!)) - (3.13 * (Crescimento!#REF!-Crescimento!#REF!)^2)</f>
        <v>#REF!</v>
      </c>
      <c r="EE101" s="16" t="e">
        <f>((EF100+(Crescimento!#REF!-(EF100*0.64))/0.8)/1000)-Crescimento!#REF!</f>
        <v>#REF!</v>
      </c>
      <c r="EF101" s="17" t="e">
        <f>-53.07 + (304.89 * (EE101)) + (90.79 *(Crescimento!#REF!-Crescimento!#REF!)) - (3.13 * (Crescimento!#REF!-Crescimento!#REF!)^2)</f>
        <v>#REF!</v>
      </c>
      <c r="EH101" s="16" t="e">
        <f>((EI100+(Crescimento!#REF!-(EI100*0.64))/0.8)/1000)-Crescimento!#REF!</f>
        <v>#REF!</v>
      </c>
      <c r="EI101" s="17" t="e">
        <f>-53.07 + (304.89 * (EH101)) + (90.79 *(Crescimento!#REF!-Crescimento!#REF!)) - (3.13 * (Crescimento!#REF!-Crescimento!#REF!)^2)</f>
        <v>#REF!</v>
      </c>
      <c r="EK101" s="16" t="e">
        <f>((EL100+(Crescimento!#REF!-(EL100*0.64))/0.8)/1000)-Crescimento!#REF!</f>
        <v>#REF!</v>
      </c>
      <c r="EL101" s="17" t="e">
        <f>-53.07 + (304.89 * (EK101)) + (90.79 *(Crescimento!#REF!-Crescimento!#REF!)) - (3.13 * (Crescimento!#REF!-Crescimento!#REF!)^2)</f>
        <v>#REF!</v>
      </c>
      <c r="EN101" s="16" t="e">
        <f>((EO100+(Crescimento!#REF!-(EO100*0.64))/0.8)/1000)-Crescimento!#REF!</f>
        <v>#REF!</v>
      </c>
      <c r="EO101" s="17" t="e">
        <f>-53.07 + (304.89 * (EN101)) + (90.79 *(Crescimento!#REF!-Crescimento!#REF!)) - (3.13 * (Crescimento!#REF!-Crescimento!#REF!)^2)</f>
        <v>#REF!</v>
      </c>
      <c r="EQ101" s="16" t="e">
        <f>((ER100+(Crescimento!#REF!-(ER100*0.64))/0.8)/1000)-Crescimento!#REF!</f>
        <v>#REF!</v>
      </c>
      <c r="ER101" s="17" t="e">
        <f>-53.07 + (304.89 * (EQ101)) + (90.79 *(Crescimento!#REF!-Crescimento!#REF!)) - (3.13 * (Crescimento!#REF!-Crescimento!#REF!)^2)</f>
        <v>#REF!</v>
      </c>
      <c r="ET101" s="16" t="e">
        <f>((EU100+(Crescimento!#REF!-(EU100*0.64))/0.8)/1000)-Crescimento!#REF!</f>
        <v>#REF!</v>
      </c>
      <c r="EU101" s="17" t="e">
        <f>-53.07 + (304.89 * (ET101)) + (90.79 *(Crescimento!#REF!-Crescimento!#REF!)) - (3.13 * (Crescimento!#REF!-Crescimento!#REF!)^2)</f>
        <v>#REF!</v>
      </c>
      <c r="EW101" s="16" t="e">
        <f>((EX100+('Vacas e Bezerros'!#REF!-(EX100*0.64))/0.8)/1000)-'Vacas e Bezerros'!#REF!</f>
        <v>#REF!</v>
      </c>
      <c r="EX101" s="17" t="e">
        <f>-53.07 + (304.89 * (EW101)) + (90.79 *('Vacas e Bezerros'!#REF!-'Vacas e Bezerros'!#REF!)) - (3.13 * ('Vacas e Bezerros'!#REF!-'Vacas e Bezerros'!#REF!)^2)</f>
        <v>#REF!</v>
      </c>
      <c r="EZ101" s="16" t="e">
        <f>((FA100+('Vacas e Bezerros'!#REF!-(FA100*0.64))/0.8)/1000)-'Vacas e Bezerros'!#REF!</f>
        <v>#REF!</v>
      </c>
      <c r="FA101" s="17" t="e">
        <f>-53.07 + (304.89 * (EZ101)) + (90.79 *('Vacas e Bezerros'!#REF!-'Vacas e Bezerros'!#REF!)) - (3.13 * ('Vacas e Bezerros'!#REF!-'Vacas e Bezerros'!#REF!)^2)</f>
        <v>#REF!</v>
      </c>
      <c r="FC101" s="16" t="e">
        <f>((FD100+('Vacas e Bezerros'!#REF!-(FD100*0.64))/0.8)/1000)-'Vacas e Bezerros'!#REF!</f>
        <v>#REF!</v>
      </c>
      <c r="FD101" s="17" t="e">
        <f>-53.07 + (304.89 * (FC101)) + (90.79 *('Vacas e Bezerros'!#REF!-'Vacas e Bezerros'!#REF!)) - (3.13 * ('Vacas e Bezerros'!#REF!-'Vacas e Bezerros'!#REF!)^2)</f>
        <v>#REF!</v>
      </c>
      <c r="FF101" s="16" t="e">
        <f>((FG100+('Vacas e Bezerros'!#REF!-(FG100*0.64))/0.8)/1000)-'Vacas e Bezerros'!#REF!</f>
        <v>#REF!</v>
      </c>
      <c r="FG101" s="17" t="e">
        <f>-53.07 + (304.89 * (FF101)) + (90.79 *('Vacas e Bezerros'!#REF!-'Vacas e Bezerros'!#REF!)) - (3.13 * ('Vacas e Bezerros'!#REF!-'Vacas e Bezerros'!#REF!)^2)</f>
        <v>#REF!</v>
      </c>
      <c r="FI101" s="16" t="e">
        <f>((FJ100+('Vacas e Bezerros'!#REF!-(FJ100*0.64))/0.8)/1000)-'Vacas e Bezerros'!#REF!</f>
        <v>#REF!</v>
      </c>
      <c r="FJ101" s="17" t="e">
        <f>-53.07 + (304.89 * (FI101)) + (90.79 *('Vacas e Bezerros'!#REF!-'Vacas e Bezerros'!#REF!)) - (3.13 * ('Vacas e Bezerros'!#REF!-'Vacas e Bezerros'!#REF!)^2)</f>
        <v>#REF!</v>
      </c>
      <c r="FL101" s="16" t="e">
        <f>((FM100+('Vacas e Bezerros'!#REF!-(FM100*0.64))/0.8)/1000)-'Vacas e Bezerros'!#REF!</f>
        <v>#REF!</v>
      </c>
      <c r="FM101" s="17" t="e">
        <f>-53.07 + (304.89 * (FL101)) + (90.79 *('Vacas e Bezerros'!#REF!-'Vacas e Bezerros'!#REF!)) - (3.13 * ('Vacas e Bezerros'!#REF!-'Vacas e Bezerros'!#REF!)^2)</f>
        <v>#REF!</v>
      </c>
      <c r="FO101" s="16" t="e">
        <f>((FP100+('Vacas e Bezerros'!#REF!-(FP100*0.64))/0.8)/1000)-'Vacas e Bezerros'!#REF!</f>
        <v>#REF!</v>
      </c>
      <c r="FP101" s="17" t="e">
        <f>-53.07 + (304.89 * (FO101)) + (90.79 *('Vacas e Bezerros'!#REF!-'Vacas e Bezerros'!#REF!)) - (3.13 * ('Vacas e Bezerros'!#REF!-'Vacas e Bezerros'!#REF!)^2)</f>
        <v>#REF!</v>
      </c>
      <c r="FR101" s="16" t="e">
        <f>((FS100+('Vacas e Bezerros'!#REF!-(FS100*0.64))/0.8)/1000)-'Vacas e Bezerros'!#REF!</f>
        <v>#REF!</v>
      </c>
      <c r="FS101" s="17" t="e">
        <f>-53.07 + (304.89 * (FR101)) + (90.79 *('Vacas e Bezerros'!#REF!-'Vacas e Bezerros'!#REF!)) - (3.13 * ('Vacas e Bezerros'!#REF!-'Vacas e Bezerros'!#REF!)^2)</f>
        <v>#REF!</v>
      </c>
      <c r="FU101" s="16" t="e">
        <f>((FV100+('Vacas e Bezerros'!#REF!-(FV100*0.64))/0.8)/1000)-'Vacas e Bezerros'!#REF!</f>
        <v>#REF!</v>
      </c>
      <c r="FV101" s="17" t="e">
        <f>-53.07 + (304.89 * (FU101)) + (90.79 *('Vacas e Bezerros'!#REF!-'Vacas e Bezerros'!#REF!)) - (3.13 * ('Vacas e Bezerros'!#REF!-'Vacas e Bezerros'!#REF!)^2)</f>
        <v>#REF!</v>
      </c>
      <c r="FX101" s="16" t="e">
        <f>((FY100+('Vacas e Bezerros'!#REF!-(FY100*0.64))/0.8)/1000)-'Vacas e Bezerros'!#REF!</f>
        <v>#REF!</v>
      </c>
      <c r="FY101" s="17" t="e">
        <f>-53.07 + (304.89 * (FX101)) + (90.79 *('Vacas e Bezerros'!#REF!-'Vacas e Bezerros'!#REF!)) - (3.13 * ('Vacas e Bezerros'!#REF!-'Vacas e Bezerros'!#REF!)^2)</f>
        <v>#REF!</v>
      </c>
      <c r="GA101" s="16" t="e">
        <f>((GB100+('Vacas e Bezerros'!#REF!-(GB100*0.64))/0.8)/1000)-'Vacas e Bezerros'!#REF!</f>
        <v>#REF!</v>
      </c>
      <c r="GB101" s="17" t="e">
        <f>-53.07 + (304.89 * (GA101)) + (90.79 *('Vacas e Bezerros'!#REF!-'Vacas e Bezerros'!#REF!)) - (3.13 * ('Vacas e Bezerros'!#REF!-'Vacas e Bezerros'!#REF!)^2)</f>
        <v>#REF!</v>
      </c>
      <c r="GD101" s="16" t="e">
        <f>((GE100+('Vacas e Bezerros'!#REF!-(GE100*0.64))/0.8)/1000)-'Vacas e Bezerros'!#REF!</f>
        <v>#REF!</v>
      </c>
      <c r="GE101" s="17" t="e">
        <f>-53.07 + (304.89 * (GD101)) + (90.79 *('Vacas e Bezerros'!#REF!-'Vacas e Bezerros'!#REF!)) - (3.13 * ('Vacas e Bezerros'!#REF!-'Vacas e Bezerros'!#REF!)^2)</f>
        <v>#REF!</v>
      </c>
      <c r="GG101" s="16" t="e">
        <f>((GH100+('Vacas e Bezerros'!#REF!-(GH100*0.64))/0.8)/1000)-'Vacas e Bezerros'!#REF!</f>
        <v>#REF!</v>
      </c>
      <c r="GH101" s="17" t="e">
        <f>-53.07 + (304.89 * (GG101)) + (90.79 *('Vacas e Bezerros'!#REF!-'Vacas e Bezerros'!#REF!)) - (3.13 * ('Vacas e Bezerros'!#REF!-'Vacas e Bezerros'!#REF!)^2)</f>
        <v>#REF!</v>
      </c>
      <c r="GJ101" s="16" t="e">
        <f>((GK100+('Vacas e Bezerros'!#REF!-(GK100*0.64))/0.8)/1000)-'Vacas e Bezerros'!#REF!</f>
        <v>#REF!</v>
      </c>
      <c r="GK101" s="17" t="e">
        <f>-53.07 + (304.89 * (GJ101)) + (90.79 *('Vacas e Bezerros'!#REF!-'Vacas e Bezerros'!#REF!)) - (3.13 * ('Vacas e Bezerros'!#REF!-'Vacas e Bezerros'!#REF!)^2)</f>
        <v>#REF!</v>
      </c>
      <c r="GM101" s="16" t="e">
        <f>((GN100+('Vacas e Bezerros'!#REF!-(GN100*0.64))/0.8)/1000)-'Vacas e Bezerros'!#REF!</f>
        <v>#REF!</v>
      </c>
      <c r="GN101" s="17" t="e">
        <f>-53.07 + (304.89 * (GM101)) + (90.79 *('Vacas e Bezerros'!#REF!-'Vacas e Bezerros'!#REF!)) - (3.13 * ('Vacas e Bezerros'!#REF!-'Vacas e Bezerros'!#REF!)^2)</f>
        <v>#REF!</v>
      </c>
    </row>
    <row r="102" spans="3:196" x14ac:dyDescent="0.25">
      <c r="C102" s="16">
        <f>(D101+('Vacas e Bezerros'!$AA$28-(D101*0.64))/0.8)/1000</f>
        <v>0.35719668016155687</v>
      </c>
      <c r="D102" s="17">
        <f>-53.07 + (304.89 * (C102-'Vacas e Bezerros'!$C$206)) + (90.79 *('Vacas e Bezerros'!$AA$22)) - (3.13 *('Vacas e Bezerros'!$AA$22)^2)</f>
        <v>165.01876457544017</v>
      </c>
      <c r="F102" s="16" t="e">
        <f>(G101+(Crescimento!#REF!-(G101*0.64))/0.8)/1000</f>
        <v>#REF!</v>
      </c>
      <c r="G102" s="17" t="e">
        <f>-53.07 + (304.89 * (F102)) + (90.79 *Crescimento!#REF!) - (3.13 * Crescimento!#REF!*Crescimento!#REF!)</f>
        <v>#REF!</v>
      </c>
      <c r="H102" s="1"/>
      <c r="I102" s="16" t="e">
        <f>(J101+(Crescimento!#REF!-(J101*0.64))/0.8)/1000</f>
        <v>#REF!</v>
      </c>
      <c r="J102" s="17" t="e">
        <f>-53.07 + (304.89 * (I102)) + (90.79 *Crescimento!#REF!) - (3.13 * Crescimento!#REF!*Crescimento!#REF!)</f>
        <v>#REF!</v>
      </c>
      <c r="L102" s="16" t="e">
        <f>(M101+(Crescimento!#REF!-(M101*0.64))/0.8)/1000</f>
        <v>#REF!</v>
      </c>
      <c r="M102" s="17" t="e">
        <f>-53.07 + (304.89 * (L102)) + (90.79 *Crescimento!#REF!) - (3.13 * Crescimento!#REF!*Crescimento!#REF!)</f>
        <v>#REF!</v>
      </c>
      <c r="O102" s="16" t="e">
        <f>(P101+(Crescimento!#REF!-(P101*0.64))/0.8)/1000</f>
        <v>#REF!</v>
      </c>
      <c r="P102" s="17" t="e">
        <f>-53.07 + (304.89 * (O102)) + (90.79 *Crescimento!#REF!) - (3.13 * Crescimento!#REF!*Crescimento!#REF!)</f>
        <v>#REF!</v>
      </c>
      <c r="R102" s="16" t="e">
        <f>(S101+(Crescimento!#REF!-(S101*0.64))/0.8)/1000</f>
        <v>#REF!</v>
      </c>
      <c r="S102" s="17" t="e">
        <f>-53.07 + (304.89 * (R102)) + (90.79 *Crescimento!#REF!) - (3.13 * Crescimento!#REF!*Crescimento!#REF!)</f>
        <v>#REF!</v>
      </c>
      <c r="U102" s="16" t="e">
        <f>(V101+(Crescimento!#REF!-(V101*0.64))/0.8)/1000</f>
        <v>#REF!</v>
      </c>
      <c r="V102" s="17" t="e">
        <f>-53.07 + (304.89 * (U102)) + (90.79 *Crescimento!#REF!) - (3.13 * Crescimento!#REF!*Crescimento!#REF!)</f>
        <v>#REF!</v>
      </c>
      <c r="X102" s="16" t="e">
        <f>(Y101+(Crescimento!#REF!-(Y101*0.64))/0.8)/1000</f>
        <v>#REF!</v>
      </c>
      <c r="Y102" s="17" t="e">
        <f>-53.07 + (304.89 * (X102)) + (90.79 *Crescimento!#REF!) - (3.13 * Crescimento!#REF!*Crescimento!#REF!)</f>
        <v>#REF!</v>
      </c>
      <c r="Z102" s="6"/>
      <c r="AA102" s="16" t="e">
        <f>(AB101+(Crescimento!#REF!-(AB101*0.64))/0.8)/1000</f>
        <v>#REF!</v>
      </c>
      <c r="AB102" s="17" t="e">
        <f>-53.07 + (304.89 * (AA102)) + (90.79 *Crescimento!#REF!) - (3.13 * Crescimento!#REF!*Crescimento!#REF!)</f>
        <v>#REF!</v>
      </c>
      <c r="AC102" s="6"/>
      <c r="AD102" s="16" t="e">
        <f>(AE101+(Crescimento!#REF!-(AE101*0.64))/0.8)/1000</f>
        <v>#REF!</v>
      </c>
      <c r="AE102" s="17" t="e">
        <f>-53.07 + (304.89 * (AD102)) + (90.79 *Crescimento!#REF!) - (3.13 * Crescimento!#REF!*Crescimento!#REF!)</f>
        <v>#REF!</v>
      </c>
      <c r="AF102" s="17"/>
      <c r="AG102" s="16" t="e">
        <f>(AH101+(Crescimento!#REF!-(AH101*0.64))/0.8)/1000</f>
        <v>#REF!</v>
      </c>
      <c r="AH102" s="17" t="e">
        <f>-53.07 + (304.89 * (AG102)) + (90.79 *Crescimento!#REF!) - (3.13 * Crescimento!#REF!*Crescimento!#REF!)</f>
        <v>#REF!</v>
      </c>
      <c r="AJ102" s="16" t="e">
        <f>(AK101+(Crescimento!#REF!-(AK101*0.64))/0.8)/1000</f>
        <v>#REF!</v>
      </c>
      <c r="AK102" s="17" t="e">
        <f>-53.07 + (304.89 * (AJ102)) + (90.79 *Crescimento!#REF!) - (3.13 * Crescimento!#REF!*Crescimento!#REF!)</f>
        <v>#REF!</v>
      </c>
      <c r="AM102" s="16" t="e">
        <f>(AN101+(Crescimento!#REF!-(AN101*0.64))/0.8)/1000</f>
        <v>#REF!</v>
      </c>
      <c r="AN102" s="17" t="e">
        <f>-53.07 + (304.89 * (AM102)) + (90.79 *Crescimento!#REF!) - (3.13 * Crescimento!#REF!*Crescimento!#REF!)</f>
        <v>#REF!</v>
      </c>
      <c r="AP102" s="16" t="e">
        <f>(AQ101+(Crescimento!#REF!-(AQ101*0.64))/0.8)/1000</f>
        <v>#REF!</v>
      </c>
      <c r="AQ102" s="17" t="e">
        <f>-53.07 + (304.89 * (AP102)) + (90.79 *Crescimento!#REF!) - (3.13 * Crescimento!#REF!*Crescimento!#REF!)</f>
        <v>#REF!</v>
      </c>
      <c r="AS102" s="16" t="e">
        <f>(AT101+(Crescimento!#REF!-(AT101*0.64))/0.8)/1000</f>
        <v>#REF!</v>
      </c>
      <c r="AT102" s="17" t="e">
        <f>-53.07 + (304.89 * (AS102)) + (90.79 *Crescimento!#REF!) - (3.13 * Crescimento!#REF!*Crescimento!#REF!)</f>
        <v>#REF!</v>
      </c>
      <c r="AV102" s="16" t="e">
        <f>(AW101+(Crescimento!#REF!-(AW101*0.64))/0.8)/1000</f>
        <v>#REF!</v>
      </c>
      <c r="AW102" s="17" t="e">
        <f>-53.07 + (304.89 * (AV102)) + (90.79 *Crescimento!#REF!) - (3.13 * Crescimento!#REF!*Crescimento!#REF!)</f>
        <v>#REF!</v>
      </c>
      <c r="AY102" s="21" t="e">
        <f>((AZ101+(Crescimento!#REF!-(AZ101*0.64))/0.8)/1000)-Crescimento!#REF!</f>
        <v>#REF!</v>
      </c>
      <c r="AZ102" s="22" t="e">
        <f>-53.07 + (304.89 * (AY102)) + (90.79 *(Crescimento!#REF!-Crescimento!#REF!)) - (3.13 * (Crescimento!#REF!-Crescimento!#REF!)^2)</f>
        <v>#REF!</v>
      </c>
      <c r="BA102" s="23"/>
      <c r="BB102" s="21" t="e">
        <f>((BC101+(Crescimento!#REF!-(BC101*0.64))/0.8)/1000)-Crescimento!#REF!</f>
        <v>#REF!</v>
      </c>
      <c r="BC102" s="22" t="e">
        <f>-53.07 + (304.89 * (BB102)) + (90.79 *(Crescimento!#REF!-Crescimento!#REF!)) - (3.13 * (Crescimento!#REF!-Crescimento!#REF!)^2)</f>
        <v>#REF!</v>
      </c>
      <c r="BD102" s="23"/>
      <c r="BE102" s="21" t="e">
        <f>((BF101+(Crescimento!#REF!-(BF101*0.64))/0.8)/1000)-Crescimento!#REF!</f>
        <v>#REF!</v>
      </c>
      <c r="BF102" s="22" t="e">
        <f>-53.07 + (304.89 * (BE102)) + (90.79 *(Crescimento!#REF!-Crescimento!#REF!)) - (3.13 * (Crescimento!#REF!-Crescimento!#REF!)^2)</f>
        <v>#REF!</v>
      </c>
      <c r="BG102" s="23"/>
      <c r="BH102" s="21" t="e">
        <f>((BI101+(Crescimento!#REF!-(BI101*0.64))/0.8)/1000)-Crescimento!#REF!</f>
        <v>#REF!</v>
      </c>
      <c r="BI102" s="22" t="e">
        <f>-53.07 + (304.89 * (BH102)) + (90.79 *(Crescimento!#REF!-Crescimento!#REF!)) - (3.13 * (Crescimento!#REF!-Crescimento!#REF!)^2)</f>
        <v>#REF!</v>
      </c>
      <c r="BJ102" s="23"/>
      <c r="BK102" s="21" t="e">
        <f>((BL101+(Crescimento!#REF!-(BL101*0.64))/0.8)/1000)-Crescimento!#REF!</f>
        <v>#REF!</v>
      </c>
      <c r="BL102" s="22" t="e">
        <f>-53.07 + (304.89 * (BK102)) + (90.79 *(Crescimento!#REF!-Crescimento!#REF!)) - (3.13 * (Crescimento!#REF!-Crescimento!#REF!)^2)</f>
        <v>#REF!</v>
      </c>
      <c r="BM102" s="23"/>
      <c r="BN102" s="21" t="e">
        <f>((BO101+(Crescimento!#REF!-(BO101*0.64))/0.8)/1000)-Crescimento!#REF!</f>
        <v>#REF!</v>
      </c>
      <c r="BO102" s="22" t="e">
        <f>-53.07 + (304.89 * (BN102)) + (90.79 *(Crescimento!#REF!-Crescimento!#REF!)) - (3.13 * (Crescimento!#REF!-Crescimento!#REF!)^2)</f>
        <v>#REF!</v>
      </c>
      <c r="BP102" s="23"/>
      <c r="BQ102" s="21" t="e">
        <f>((BR101+(Crescimento!#REF!-(BR101*0.64))/0.8)/1000)-Crescimento!#REF!</f>
        <v>#REF!</v>
      </c>
      <c r="BR102" s="22" t="e">
        <f>-53.07 + (304.89 * (BQ102)) + (90.79 *(Crescimento!#REF!-Crescimento!#REF!)) - (3.13 * (Crescimento!#REF!-Crescimento!#REF!)^2)</f>
        <v>#REF!</v>
      </c>
      <c r="BS102" s="23"/>
      <c r="BT102" s="21" t="e">
        <f>((BU101+(Crescimento!#REF!-(BU101*0.64))/0.8)/1000)-Crescimento!#REF!</f>
        <v>#REF!</v>
      </c>
      <c r="BU102" s="22" t="e">
        <f>-53.07 + (304.89 * (BT102)) + (90.79 *(Crescimento!#REF!-Crescimento!#REF!)) - (3.13 * (Crescimento!#REF!-Crescimento!#REF!)^2)</f>
        <v>#REF!</v>
      </c>
      <c r="BV102" s="23"/>
      <c r="BW102" s="21" t="e">
        <f>((BX101+(Crescimento!#REF!-(BX101*0.64))/0.8)/1000)-Crescimento!#REF!</f>
        <v>#REF!</v>
      </c>
      <c r="BX102" s="22" t="e">
        <f>-53.07 + (304.89 * (BW102)) + (90.79 *(Crescimento!#REF!-Crescimento!#REF!)) - (3.13 * (Crescimento!#REF!-Crescimento!#REF!)^2)</f>
        <v>#REF!</v>
      </c>
      <c r="BY102" s="23"/>
      <c r="BZ102" s="21" t="e">
        <f>((CA101+(Crescimento!#REF!-(CA101*0.64))/0.8)/1000)-Crescimento!#REF!</f>
        <v>#REF!</v>
      </c>
      <c r="CA102" s="22" t="e">
        <f>-53.07 + (304.89 * (BZ102)) + (90.79 *(Crescimento!#REF!-Crescimento!#REF!)) - (3.13 * (Crescimento!#REF!-Crescimento!#REF!)^2)</f>
        <v>#REF!</v>
      </c>
      <c r="CB102" s="23"/>
      <c r="CC102" s="21" t="e">
        <f>((CD101+(Crescimento!#REF!-(CD101*0.64))/0.8)/1000)-Crescimento!#REF!</f>
        <v>#REF!</v>
      </c>
      <c r="CD102" s="22" t="e">
        <f>-53.07 + (304.89 * (CC102)) + (90.79 *(Crescimento!#REF!-Crescimento!#REF!)) - (3.13 * (Crescimento!#REF!-Crescimento!#REF!)^2)</f>
        <v>#REF!</v>
      </c>
      <c r="CE102" s="23"/>
      <c r="CF102" s="21" t="e">
        <f>((CG101+(Crescimento!#REF!-(CG101*0.64))/0.8)/1000)-Crescimento!#REF!</f>
        <v>#REF!</v>
      </c>
      <c r="CG102" s="22" t="e">
        <f>-53.07 + (304.89 * (CF102)) + (90.79 *(Crescimento!#REF!-Crescimento!#REF!)) - (3.13 * (Crescimento!#REF!-Crescimento!#REF!)^2)</f>
        <v>#REF!</v>
      </c>
      <c r="CH102" s="23"/>
      <c r="CI102" s="21" t="e">
        <f>((CJ101+(Crescimento!#REF!-(CJ101*0.64))/0.8)/1000)-Crescimento!#REF!</f>
        <v>#REF!</v>
      </c>
      <c r="CJ102" s="22" t="e">
        <f>-53.07 + (304.89 * (CI102)) + (90.79 *(Crescimento!#REF!-Crescimento!#REF!)) - (3.13 * (Crescimento!#REF!-Crescimento!#REF!)^2)</f>
        <v>#REF!</v>
      </c>
      <c r="CK102" s="23"/>
      <c r="CL102" s="21" t="e">
        <f>((CM101+(Crescimento!#REF!-(CM101*0.64))/0.8)/1000)-Crescimento!#REF!</f>
        <v>#REF!</v>
      </c>
      <c r="CM102" s="22" t="e">
        <f>-53.07 + (304.89 * (CL102)) + (90.79 *(Crescimento!#REF!-Crescimento!#REF!)) - (3.13 * (Crescimento!#REF!-Crescimento!#REF!)^2)</f>
        <v>#REF!</v>
      </c>
      <c r="CN102" s="23"/>
      <c r="CO102" s="21" t="e">
        <f>((CP101+(Crescimento!#REF!-(CP101*0.64))/0.8)/1000)-Crescimento!#REF!</f>
        <v>#REF!</v>
      </c>
      <c r="CP102" s="22" t="e">
        <f>-53.07 + (304.89 * (CO102)) + (90.79 *(Crescimento!#REF!-Crescimento!#REF!)) - (3.13 * (Crescimento!#REF!-Crescimento!#REF!)^2)</f>
        <v>#REF!</v>
      </c>
      <c r="CQ102" s="23"/>
      <c r="CR102" s="21" t="e">
        <f>((CS101+(Crescimento!#REF!-(CS101*0.64))/0.8)/1000)-Crescimento!#REF!</f>
        <v>#REF!</v>
      </c>
      <c r="CS102" s="22" t="e">
        <f>-53.07 + (304.89 * (CR102)) + (90.79 *(Crescimento!#REF!-Crescimento!#REF!)) - (3.13 * (Crescimento!#REF!-Crescimento!#REF!)^2)</f>
        <v>#REF!</v>
      </c>
      <c r="CX102" s="16" t="e">
        <f>((CY101+(Crescimento!#REF!-(CY101*0.64))/0.8)/1000)-Crescimento!#REF!</f>
        <v>#REF!</v>
      </c>
      <c r="CY102" s="17" t="e">
        <f>-53.07 + (304.89 * (CX102)) + (90.79 *(Crescimento!#REF!-Crescimento!#REF!)) - (3.13 * (Crescimento!#REF!-Crescimento!#REF!)^2)</f>
        <v>#REF!</v>
      </c>
      <c r="DA102" s="16" t="e">
        <f>((DB101+(Crescimento!#REF!-(DB101*0.64))/0.8)/1000)-Crescimento!#REF!</f>
        <v>#REF!</v>
      </c>
      <c r="DB102" s="17" t="e">
        <f>-53.07 + (304.89 * (DA102)) + (90.79 *(Crescimento!#REF!-Crescimento!#REF!)) - (3.13 * (Crescimento!#REF!-Crescimento!#REF!)^2)</f>
        <v>#REF!</v>
      </c>
      <c r="DD102" s="16" t="e">
        <f>(DE101+(Crescimento!#REF!-(DE101*0.64))/0.8)/1000</f>
        <v>#REF!</v>
      </c>
      <c r="DE102" s="17" t="e">
        <f>-53.07 + (304.89 * (DD102)) + (90.79 *Crescimento!#REF!) - (3.13 * Crescimento!#REF!*Crescimento!#REF!)</f>
        <v>#REF!</v>
      </c>
      <c r="DG102" s="16" t="e">
        <f>((DH101+(Crescimento!#REF!-(DH101*0.64))/0.8)/1000)-Crescimento!#REF!</f>
        <v>#REF!</v>
      </c>
      <c r="DH102" s="17" t="e">
        <f>-53.07 + (304.89 * (DG102)) + (90.79 *(Crescimento!#REF!-Crescimento!#REF!)) - (3.13 * (Crescimento!#REF!-Crescimento!#REF!)^2)</f>
        <v>#REF!</v>
      </c>
      <c r="DJ102" s="16" t="e">
        <f>((DK101+(Crescimento!#REF!-(DK101*0.64))/0.8)/1000)-Crescimento!#REF!</f>
        <v>#REF!</v>
      </c>
      <c r="DK102" s="17" t="e">
        <f>-53.07 + (304.89 * (DJ102)) + (90.79 *(Crescimento!#REF!-Crescimento!#REF!)) - (3.13 * (Crescimento!#REF!-Crescimento!#REF!)^2)</f>
        <v>#REF!</v>
      </c>
      <c r="DM102" s="16" t="e">
        <f>((DN101+(Crescimento!#REF!-(DN101*0.64))/0.8)/1000)-Crescimento!#REF!</f>
        <v>#REF!</v>
      </c>
      <c r="DN102" s="17" t="e">
        <f>-53.07 + (304.89 * (DM102)) + (90.79 *(Crescimento!#REF!-Crescimento!#REF!)) - (3.13 * (Crescimento!#REF!-Crescimento!#REF!)^2)</f>
        <v>#REF!</v>
      </c>
      <c r="DP102" s="16" t="e">
        <f>(DQ101+(Crescimento!#REF!-(DQ101*0.64))/0.8)/1000</f>
        <v>#REF!</v>
      </c>
      <c r="DQ102" s="17" t="e">
        <f>-53.07 + (304.89 * (DP102)) + (90.79 *(Crescimento!#REF!-Crescimento!#REF!)) - (3.13 * (Crescimento!#REF!-Crescimento!#REF!)^2)</f>
        <v>#REF!</v>
      </c>
      <c r="DS102" s="16" t="e">
        <f>((DT101+(Crescimento!#REF!-(DT101*0.64))/0.8)/1000)-Crescimento!#REF!</f>
        <v>#REF!</v>
      </c>
      <c r="DT102" s="17" t="e">
        <f>-53.07 + (304.89 * (DS102)) + (90.79 *(Crescimento!#REF!-Crescimento!#REF!)) - (3.13 * (Crescimento!#REF!-Crescimento!#REF!)^2)</f>
        <v>#REF!</v>
      </c>
      <c r="DV102" s="16" t="e">
        <f>((DW101+(Crescimento!#REF!-(DW101*0.64))/0.8)/1000)-Crescimento!#REF!</f>
        <v>#REF!</v>
      </c>
      <c r="DW102" s="17" t="e">
        <f>-53.07 + (304.89 * (DV102)) + (90.79 *(Crescimento!#REF!-Crescimento!#REF!)) - (3.13 * (Crescimento!#REF!-Crescimento!#REF!)^2)</f>
        <v>#REF!</v>
      </c>
      <c r="DY102" s="16" t="e">
        <f>((DZ101+(Crescimento!#REF!-(DZ101*0.64))/0.8)/1000)-Crescimento!#REF!</f>
        <v>#REF!</v>
      </c>
      <c r="DZ102" s="17" t="e">
        <f>-53.07 + (304.89 * (DY102)) + (90.79 *(Crescimento!#REF!-Crescimento!#REF!)) - (3.13 * (Crescimento!#REF!-Crescimento!#REF!)^2)</f>
        <v>#REF!</v>
      </c>
      <c r="EB102" s="16" t="e">
        <f>((EC101+(Crescimento!#REF!-(EC101*0.64))/0.8)/1000)-Crescimento!#REF!</f>
        <v>#REF!</v>
      </c>
      <c r="EC102" s="17" t="e">
        <f>-53.07 + (304.89 * (EB102)) + (90.79 *(Crescimento!#REF!-Crescimento!#REF!)) - (3.13 * (Crescimento!#REF!-Crescimento!#REF!)^2)</f>
        <v>#REF!</v>
      </c>
      <c r="EE102" s="16" t="e">
        <f>((EF101+(Crescimento!#REF!-(EF101*0.64))/0.8)/1000)-Crescimento!#REF!</f>
        <v>#REF!</v>
      </c>
      <c r="EF102" s="17" t="e">
        <f>-53.07 + (304.89 * (EE102)) + (90.79 *(Crescimento!#REF!-Crescimento!#REF!)) - (3.13 * (Crescimento!#REF!-Crescimento!#REF!)^2)</f>
        <v>#REF!</v>
      </c>
      <c r="EH102" s="16" t="e">
        <f>((EI101+(Crescimento!#REF!-(EI101*0.64))/0.8)/1000)-Crescimento!#REF!</f>
        <v>#REF!</v>
      </c>
      <c r="EI102" s="17" t="e">
        <f>-53.07 + (304.89 * (EH102)) + (90.79 *(Crescimento!#REF!-Crescimento!#REF!)) - (3.13 * (Crescimento!#REF!-Crescimento!#REF!)^2)</f>
        <v>#REF!</v>
      </c>
      <c r="EK102" s="16" t="e">
        <f>((EL101+(Crescimento!#REF!-(EL101*0.64))/0.8)/1000)-Crescimento!#REF!</f>
        <v>#REF!</v>
      </c>
      <c r="EL102" s="17" t="e">
        <f>-53.07 + (304.89 * (EK102)) + (90.79 *(Crescimento!#REF!-Crescimento!#REF!)) - (3.13 * (Crescimento!#REF!-Crescimento!#REF!)^2)</f>
        <v>#REF!</v>
      </c>
      <c r="EN102" s="16" t="e">
        <f>((EO101+(Crescimento!#REF!-(EO101*0.64))/0.8)/1000)-Crescimento!#REF!</f>
        <v>#REF!</v>
      </c>
      <c r="EO102" s="17" t="e">
        <f>-53.07 + (304.89 * (EN102)) + (90.79 *(Crescimento!#REF!-Crescimento!#REF!)) - (3.13 * (Crescimento!#REF!-Crescimento!#REF!)^2)</f>
        <v>#REF!</v>
      </c>
      <c r="EQ102" s="16" t="e">
        <f>((ER101+(Crescimento!#REF!-(ER101*0.64))/0.8)/1000)-Crescimento!#REF!</f>
        <v>#REF!</v>
      </c>
      <c r="ER102" s="17" t="e">
        <f>-53.07 + (304.89 * (EQ102)) + (90.79 *(Crescimento!#REF!-Crescimento!#REF!)) - (3.13 * (Crescimento!#REF!-Crescimento!#REF!)^2)</f>
        <v>#REF!</v>
      </c>
      <c r="ET102" s="16" t="e">
        <f>((EU101+(Crescimento!#REF!-(EU101*0.64))/0.8)/1000)-Crescimento!#REF!</f>
        <v>#REF!</v>
      </c>
      <c r="EU102" s="17" t="e">
        <f>-53.07 + (304.89 * (ET102)) + (90.79 *(Crescimento!#REF!-Crescimento!#REF!)) - (3.13 * (Crescimento!#REF!-Crescimento!#REF!)^2)</f>
        <v>#REF!</v>
      </c>
      <c r="EW102" s="16" t="e">
        <f>((EX101+('Vacas e Bezerros'!#REF!-(EX101*0.64))/0.8)/1000)-'Vacas e Bezerros'!#REF!</f>
        <v>#REF!</v>
      </c>
      <c r="EX102" s="17" t="e">
        <f>-53.07 + (304.89 * (EW102)) + (90.79 *('Vacas e Bezerros'!#REF!-'Vacas e Bezerros'!#REF!)) - (3.13 * ('Vacas e Bezerros'!#REF!-'Vacas e Bezerros'!#REF!)^2)</f>
        <v>#REF!</v>
      </c>
      <c r="EZ102" s="16" t="e">
        <f>((FA101+('Vacas e Bezerros'!#REF!-(FA101*0.64))/0.8)/1000)-'Vacas e Bezerros'!#REF!</f>
        <v>#REF!</v>
      </c>
      <c r="FA102" s="17" t="e">
        <f>-53.07 + (304.89 * (EZ102)) + (90.79 *('Vacas e Bezerros'!#REF!-'Vacas e Bezerros'!#REF!)) - (3.13 * ('Vacas e Bezerros'!#REF!-'Vacas e Bezerros'!#REF!)^2)</f>
        <v>#REF!</v>
      </c>
      <c r="FC102" s="16" t="e">
        <f>((FD101+('Vacas e Bezerros'!#REF!-(FD101*0.64))/0.8)/1000)-'Vacas e Bezerros'!#REF!</f>
        <v>#REF!</v>
      </c>
      <c r="FD102" s="17" t="e">
        <f>-53.07 + (304.89 * (FC102)) + (90.79 *('Vacas e Bezerros'!#REF!-'Vacas e Bezerros'!#REF!)) - (3.13 * ('Vacas e Bezerros'!#REF!-'Vacas e Bezerros'!#REF!)^2)</f>
        <v>#REF!</v>
      </c>
      <c r="FF102" s="16" t="e">
        <f>((FG101+('Vacas e Bezerros'!#REF!-(FG101*0.64))/0.8)/1000)-'Vacas e Bezerros'!#REF!</f>
        <v>#REF!</v>
      </c>
      <c r="FG102" s="17" t="e">
        <f>-53.07 + (304.89 * (FF102)) + (90.79 *('Vacas e Bezerros'!#REF!-'Vacas e Bezerros'!#REF!)) - (3.13 * ('Vacas e Bezerros'!#REF!-'Vacas e Bezerros'!#REF!)^2)</f>
        <v>#REF!</v>
      </c>
      <c r="FI102" s="16" t="e">
        <f>((FJ101+('Vacas e Bezerros'!#REF!-(FJ101*0.64))/0.8)/1000)-'Vacas e Bezerros'!#REF!</f>
        <v>#REF!</v>
      </c>
      <c r="FJ102" s="17" t="e">
        <f>-53.07 + (304.89 * (FI102)) + (90.79 *('Vacas e Bezerros'!#REF!-'Vacas e Bezerros'!#REF!)) - (3.13 * ('Vacas e Bezerros'!#REF!-'Vacas e Bezerros'!#REF!)^2)</f>
        <v>#REF!</v>
      </c>
      <c r="FL102" s="16" t="e">
        <f>((FM101+('Vacas e Bezerros'!#REF!-(FM101*0.64))/0.8)/1000)-'Vacas e Bezerros'!#REF!</f>
        <v>#REF!</v>
      </c>
      <c r="FM102" s="17" t="e">
        <f>-53.07 + (304.89 * (FL102)) + (90.79 *('Vacas e Bezerros'!#REF!-'Vacas e Bezerros'!#REF!)) - (3.13 * ('Vacas e Bezerros'!#REF!-'Vacas e Bezerros'!#REF!)^2)</f>
        <v>#REF!</v>
      </c>
      <c r="FO102" s="16" t="e">
        <f>((FP101+('Vacas e Bezerros'!#REF!-(FP101*0.64))/0.8)/1000)-'Vacas e Bezerros'!#REF!</f>
        <v>#REF!</v>
      </c>
      <c r="FP102" s="17" t="e">
        <f>-53.07 + (304.89 * (FO102)) + (90.79 *('Vacas e Bezerros'!#REF!-'Vacas e Bezerros'!#REF!)) - (3.13 * ('Vacas e Bezerros'!#REF!-'Vacas e Bezerros'!#REF!)^2)</f>
        <v>#REF!</v>
      </c>
      <c r="FR102" s="16" t="e">
        <f>((FS101+('Vacas e Bezerros'!#REF!-(FS101*0.64))/0.8)/1000)-'Vacas e Bezerros'!#REF!</f>
        <v>#REF!</v>
      </c>
      <c r="FS102" s="17" t="e">
        <f>-53.07 + (304.89 * (FR102)) + (90.79 *('Vacas e Bezerros'!#REF!-'Vacas e Bezerros'!#REF!)) - (3.13 * ('Vacas e Bezerros'!#REF!-'Vacas e Bezerros'!#REF!)^2)</f>
        <v>#REF!</v>
      </c>
      <c r="FU102" s="16" t="e">
        <f>((FV101+('Vacas e Bezerros'!#REF!-(FV101*0.64))/0.8)/1000)-'Vacas e Bezerros'!#REF!</f>
        <v>#REF!</v>
      </c>
      <c r="FV102" s="17" t="e">
        <f>-53.07 + (304.89 * (FU102)) + (90.79 *('Vacas e Bezerros'!#REF!-'Vacas e Bezerros'!#REF!)) - (3.13 * ('Vacas e Bezerros'!#REF!-'Vacas e Bezerros'!#REF!)^2)</f>
        <v>#REF!</v>
      </c>
      <c r="FX102" s="16" t="e">
        <f>((FY101+('Vacas e Bezerros'!#REF!-(FY101*0.64))/0.8)/1000)-'Vacas e Bezerros'!#REF!</f>
        <v>#REF!</v>
      </c>
      <c r="FY102" s="17" t="e">
        <f>-53.07 + (304.89 * (FX102)) + (90.79 *('Vacas e Bezerros'!#REF!-'Vacas e Bezerros'!#REF!)) - (3.13 * ('Vacas e Bezerros'!#REF!-'Vacas e Bezerros'!#REF!)^2)</f>
        <v>#REF!</v>
      </c>
      <c r="GA102" s="16" t="e">
        <f>((GB101+('Vacas e Bezerros'!#REF!-(GB101*0.64))/0.8)/1000)-'Vacas e Bezerros'!#REF!</f>
        <v>#REF!</v>
      </c>
      <c r="GB102" s="17" t="e">
        <f>-53.07 + (304.89 * (GA102)) + (90.79 *('Vacas e Bezerros'!#REF!-'Vacas e Bezerros'!#REF!)) - (3.13 * ('Vacas e Bezerros'!#REF!-'Vacas e Bezerros'!#REF!)^2)</f>
        <v>#REF!</v>
      </c>
      <c r="GD102" s="16" t="e">
        <f>((GE101+('Vacas e Bezerros'!#REF!-(GE101*0.64))/0.8)/1000)-'Vacas e Bezerros'!#REF!</f>
        <v>#REF!</v>
      </c>
      <c r="GE102" s="17" t="e">
        <f>-53.07 + (304.89 * (GD102)) + (90.79 *('Vacas e Bezerros'!#REF!-'Vacas e Bezerros'!#REF!)) - (3.13 * ('Vacas e Bezerros'!#REF!-'Vacas e Bezerros'!#REF!)^2)</f>
        <v>#REF!</v>
      </c>
      <c r="GG102" s="16" t="e">
        <f>((GH101+('Vacas e Bezerros'!#REF!-(GH101*0.64))/0.8)/1000)-'Vacas e Bezerros'!#REF!</f>
        <v>#REF!</v>
      </c>
      <c r="GH102" s="17" t="e">
        <f>-53.07 + (304.89 * (GG102)) + (90.79 *('Vacas e Bezerros'!#REF!-'Vacas e Bezerros'!#REF!)) - (3.13 * ('Vacas e Bezerros'!#REF!-'Vacas e Bezerros'!#REF!)^2)</f>
        <v>#REF!</v>
      </c>
      <c r="GJ102" s="16" t="e">
        <f>((GK101+('Vacas e Bezerros'!#REF!-(GK101*0.64))/0.8)/1000)-'Vacas e Bezerros'!#REF!</f>
        <v>#REF!</v>
      </c>
      <c r="GK102" s="17" t="e">
        <f>-53.07 + (304.89 * (GJ102)) + (90.79 *('Vacas e Bezerros'!#REF!-'Vacas e Bezerros'!#REF!)) - (3.13 * ('Vacas e Bezerros'!#REF!-'Vacas e Bezerros'!#REF!)^2)</f>
        <v>#REF!</v>
      </c>
      <c r="GM102" s="16" t="e">
        <f>((GN101+('Vacas e Bezerros'!#REF!-(GN101*0.64))/0.8)/1000)-'Vacas e Bezerros'!#REF!</f>
        <v>#REF!</v>
      </c>
      <c r="GN102" s="17" t="e">
        <f>-53.07 + (304.89 * (GM102)) + (90.79 *('Vacas e Bezerros'!#REF!-'Vacas e Bezerros'!#REF!)) - (3.13 * ('Vacas e Bezerros'!#REF!-'Vacas e Bezerros'!#REF!)^2)</f>
        <v>#REF!</v>
      </c>
    </row>
    <row r="103" spans="3:196" x14ac:dyDescent="0.25">
      <c r="C103" s="16">
        <f>(D102+('Vacas e Bezerros'!$AA$28-(D102*0.64))/0.8)/1000</f>
        <v>0.35719668016155687</v>
      </c>
      <c r="D103" s="17">
        <f>-53.07 + (304.89 * (C103-'Vacas e Bezerros'!$C$206)) + (90.79 *('Vacas e Bezerros'!$AA$22)) - (3.13 *('Vacas e Bezerros'!$AA$22)^2)</f>
        <v>165.01876457544017</v>
      </c>
      <c r="F103" s="16" t="e">
        <f>(G102+(Crescimento!#REF!-(G102*0.64))/0.8)/1000</f>
        <v>#REF!</v>
      </c>
      <c r="G103" s="17" t="e">
        <f>-53.07 + (304.89 * (F103)) + (90.79 *Crescimento!#REF!) - (3.13 * Crescimento!#REF!*Crescimento!#REF!)</f>
        <v>#REF!</v>
      </c>
      <c r="H103" s="1"/>
      <c r="I103" s="16" t="e">
        <f>(J102+(Crescimento!#REF!-(J102*0.64))/0.8)/1000</f>
        <v>#REF!</v>
      </c>
      <c r="J103" s="17" t="e">
        <f>-53.07 + (304.89 * (I103)) + (90.79 *Crescimento!#REF!) - (3.13 * Crescimento!#REF!*Crescimento!#REF!)</f>
        <v>#REF!</v>
      </c>
      <c r="L103" s="16" t="e">
        <f>(M102+(Crescimento!#REF!-(M102*0.64))/0.8)/1000</f>
        <v>#REF!</v>
      </c>
      <c r="M103" s="17" t="e">
        <f>-53.07 + (304.89 * (L103)) + (90.79 *Crescimento!#REF!) - (3.13 * Crescimento!#REF!*Crescimento!#REF!)</f>
        <v>#REF!</v>
      </c>
      <c r="O103" s="16" t="e">
        <f>(P102+(Crescimento!#REF!-(P102*0.64))/0.8)/1000</f>
        <v>#REF!</v>
      </c>
      <c r="P103" s="17" t="e">
        <f>-53.07 + (304.89 * (O103)) + (90.79 *Crescimento!#REF!) - (3.13 * Crescimento!#REF!*Crescimento!#REF!)</f>
        <v>#REF!</v>
      </c>
      <c r="R103" s="16" t="e">
        <f>(S102+(Crescimento!#REF!-(S102*0.64))/0.8)/1000</f>
        <v>#REF!</v>
      </c>
      <c r="S103" s="17" t="e">
        <f>-53.07 + (304.89 * (R103)) + (90.79 *Crescimento!#REF!) - (3.13 * Crescimento!#REF!*Crescimento!#REF!)</f>
        <v>#REF!</v>
      </c>
      <c r="U103" s="16" t="e">
        <f>(V102+(Crescimento!#REF!-(V102*0.64))/0.8)/1000</f>
        <v>#REF!</v>
      </c>
      <c r="V103" s="17" t="e">
        <f>-53.07 + (304.89 * (U103)) + (90.79 *Crescimento!#REF!) - (3.13 * Crescimento!#REF!*Crescimento!#REF!)</f>
        <v>#REF!</v>
      </c>
      <c r="X103" s="16" t="e">
        <f>(Y102+(Crescimento!#REF!-(Y102*0.64))/0.8)/1000</f>
        <v>#REF!</v>
      </c>
      <c r="Y103" s="17" t="e">
        <f>-53.07 + (304.89 * (X103)) + (90.79 *Crescimento!#REF!) - (3.13 * Crescimento!#REF!*Crescimento!#REF!)</f>
        <v>#REF!</v>
      </c>
      <c r="Z103" s="6"/>
      <c r="AA103" s="16" t="e">
        <f>(AB102+(Crescimento!#REF!-(AB102*0.64))/0.8)/1000</f>
        <v>#REF!</v>
      </c>
      <c r="AB103" s="17" t="e">
        <f>-53.07 + (304.89 * (AA103)) + (90.79 *Crescimento!#REF!) - (3.13 * Crescimento!#REF!*Crescimento!#REF!)</f>
        <v>#REF!</v>
      </c>
      <c r="AC103" s="6"/>
      <c r="AD103" s="16" t="e">
        <f>(AE102+(Crescimento!#REF!-(AE102*0.64))/0.8)/1000</f>
        <v>#REF!</v>
      </c>
      <c r="AE103" s="17" t="e">
        <f>-53.07 + (304.89 * (AD103)) + (90.79 *Crescimento!#REF!) - (3.13 * Crescimento!#REF!*Crescimento!#REF!)</f>
        <v>#REF!</v>
      </c>
      <c r="AF103" s="17"/>
      <c r="AG103" s="16" t="e">
        <f>(AH102+(Crescimento!#REF!-(AH102*0.64))/0.8)/1000</f>
        <v>#REF!</v>
      </c>
      <c r="AH103" s="17" t="e">
        <f>-53.07 + (304.89 * (AG103)) + (90.79 *Crescimento!#REF!) - (3.13 * Crescimento!#REF!*Crescimento!#REF!)</f>
        <v>#REF!</v>
      </c>
      <c r="AJ103" s="16" t="e">
        <f>(AK102+(Crescimento!#REF!-(AK102*0.64))/0.8)/1000</f>
        <v>#REF!</v>
      </c>
      <c r="AK103" s="17" t="e">
        <f>-53.07 + (304.89 * (AJ103)) + (90.79 *Crescimento!#REF!) - (3.13 * Crescimento!#REF!*Crescimento!#REF!)</f>
        <v>#REF!</v>
      </c>
      <c r="AM103" s="16" t="e">
        <f>(AN102+(Crescimento!#REF!-(AN102*0.64))/0.8)/1000</f>
        <v>#REF!</v>
      </c>
      <c r="AN103" s="17" t="e">
        <f>-53.07 + (304.89 * (AM103)) + (90.79 *Crescimento!#REF!) - (3.13 * Crescimento!#REF!*Crescimento!#REF!)</f>
        <v>#REF!</v>
      </c>
      <c r="AP103" s="16" t="e">
        <f>(AQ102+(Crescimento!#REF!-(AQ102*0.64))/0.8)/1000</f>
        <v>#REF!</v>
      </c>
      <c r="AQ103" s="17" t="e">
        <f>-53.07 + (304.89 * (AP103)) + (90.79 *Crescimento!#REF!) - (3.13 * Crescimento!#REF!*Crescimento!#REF!)</f>
        <v>#REF!</v>
      </c>
      <c r="AS103" s="16" t="e">
        <f>(AT102+(Crescimento!#REF!-(AT102*0.64))/0.8)/1000</f>
        <v>#REF!</v>
      </c>
      <c r="AT103" s="17" t="e">
        <f>-53.07 + (304.89 * (AS103)) + (90.79 *Crescimento!#REF!) - (3.13 * Crescimento!#REF!*Crescimento!#REF!)</f>
        <v>#REF!</v>
      </c>
      <c r="AV103" s="16" t="e">
        <f>(AW102+(Crescimento!#REF!-(AW102*0.64))/0.8)/1000</f>
        <v>#REF!</v>
      </c>
      <c r="AW103" s="17" t="e">
        <f>-53.07 + (304.89 * (AV103)) + (90.79 *Crescimento!#REF!) - (3.13 * Crescimento!#REF!*Crescimento!#REF!)</f>
        <v>#REF!</v>
      </c>
      <c r="AY103" s="21" t="e">
        <f>((AZ102+(Crescimento!#REF!-(AZ102*0.64))/0.8)/1000)-Crescimento!#REF!</f>
        <v>#REF!</v>
      </c>
      <c r="AZ103" s="22" t="e">
        <f>-53.07 + (304.89 * (AY103)) + (90.79 *(Crescimento!#REF!-Crescimento!#REF!)) - (3.13 * (Crescimento!#REF!-Crescimento!#REF!)^2)</f>
        <v>#REF!</v>
      </c>
      <c r="BA103" s="23"/>
      <c r="BB103" s="21" t="e">
        <f>((BC102+(Crescimento!#REF!-(BC102*0.64))/0.8)/1000)-Crescimento!#REF!</f>
        <v>#REF!</v>
      </c>
      <c r="BC103" s="22" t="e">
        <f>-53.07 + (304.89 * (BB103)) + (90.79 *(Crescimento!#REF!-Crescimento!#REF!)) - (3.13 * (Crescimento!#REF!-Crescimento!#REF!)^2)</f>
        <v>#REF!</v>
      </c>
      <c r="BD103" s="23"/>
      <c r="BE103" s="21" t="e">
        <f>((BF102+(Crescimento!#REF!-(BF102*0.64))/0.8)/1000)-Crescimento!#REF!</f>
        <v>#REF!</v>
      </c>
      <c r="BF103" s="22" t="e">
        <f>-53.07 + (304.89 * (BE103)) + (90.79 *(Crescimento!#REF!-Crescimento!#REF!)) - (3.13 * (Crescimento!#REF!-Crescimento!#REF!)^2)</f>
        <v>#REF!</v>
      </c>
      <c r="BG103" s="23"/>
      <c r="BH103" s="21" t="e">
        <f>((BI102+(Crescimento!#REF!-(BI102*0.64))/0.8)/1000)-Crescimento!#REF!</f>
        <v>#REF!</v>
      </c>
      <c r="BI103" s="22" t="e">
        <f>-53.07 + (304.89 * (BH103)) + (90.79 *(Crescimento!#REF!-Crescimento!#REF!)) - (3.13 * (Crescimento!#REF!-Crescimento!#REF!)^2)</f>
        <v>#REF!</v>
      </c>
      <c r="BJ103" s="23"/>
      <c r="BK103" s="21" t="e">
        <f>((BL102+(Crescimento!#REF!-(BL102*0.64))/0.8)/1000)-Crescimento!#REF!</f>
        <v>#REF!</v>
      </c>
      <c r="BL103" s="22" t="e">
        <f>-53.07 + (304.89 * (BK103)) + (90.79 *(Crescimento!#REF!-Crescimento!#REF!)) - (3.13 * (Crescimento!#REF!-Crescimento!#REF!)^2)</f>
        <v>#REF!</v>
      </c>
      <c r="BM103" s="23"/>
      <c r="BN103" s="21" t="e">
        <f>((BO102+(Crescimento!#REF!-(BO102*0.64))/0.8)/1000)-Crescimento!#REF!</f>
        <v>#REF!</v>
      </c>
      <c r="BO103" s="22" t="e">
        <f>-53.07 + (304.89 * (BN103)) + (90.79 *(Crescimento!#REF!-Crescimento!#REF!)) - (3.13 * (Crescimento!#REF!-Crescimento!#REF!)^2)</f>
        <v>#REF!</v>
      </c>
      <c r="BP103" s="23"/>
      <c r="BQ103" s="21" t="e">
        <f>((BR102+(Crescimento!#REF!-(BR102*0.64))/0.8)/1000)-Crescimento!#REF!</f>
        <v>#REF!</v>
      </c>
      <c r="BR103" s="22" t="e">
        <f>-53.07 + (304.89 * (BQ103)) + (90.79 *(Crescimento!#REF!-Crescimento!#REF!)) - (3.13 * (Crescimento!#REF!-Crescimento!#REF!)^2)</f>
        <v>#REF!</v>
      </c>
      <c r="BS103" s="23"/>
      <c r="BT103" s="21" t="e">
        <f>((BU102+(Crescimento!#REF!-(BU102*0.64))/0.8)/1000)-Crescimento!#REF!</f>
        <v>#REF!</v>
      </c>
      <c r="BU103" s="22" t="e">
        <f>-53.07 + (304.89 * (BT103)) + (90.79 *(Crescimento!#REF!-Crescimento!#REF!)) - (3.13 * (Crescimento!#REF!-Crescimento!#REF!)^2)</f>
        <v>#REF!</v>
      </c>
      <c r="BV103" s="23"/>
      <c r="BW103" s="21" t="e">
        <f>((BX102+(Crescimento!#REF!-(BX102*0.64))/0.8)/1000)-Crescimento!#REF!</f>
        <v>#REF!</v>
      </c>
      <c r="BX103" s="22" t="e">
        <f>-53.07 + (304.89 * (BW103)) + (90.79 *(Crescimento!#REF!-Crescimento!#REF!)) - (3.13 * (Crescimento!#REF!-Crescimento!#REF!)^2)</f>
        <v>#REF!</v>
      </c>
      <c r="BY103" s="23"/>
      <c r="BZ103" s="21" t="e">
        <f>((CA102+(Crescimento!#REF!-(CA102*0.64))/0.8)/1000)-Crescimento!#REF!</f>
        <v>#REF!</v>
      </c>
      <c r="CA103" s="22" t="e">
        <f>-53.07 + (304.89 * (BZ103)) + (90.79 *(Crescimento!#REF!-Crescimento!#REF!)) - (3.13 * (Crescimento!#REF!-Crescimento!#REF!)^2)</f>
        <v>#REF!</v>
      </c>
      <c r="CB103" s="23"/>
      <c r="CC103" s="21" t="e">
        <f>((CD102+(Crescimento!#REF!-(CD102*0.64))/0.8)/1000)-Crescimento!#REF!</f>
        <v>#REF!</v>
      </c>
      <c r="CD103" s="22" t="e">
        <f>-53.07 + (304.89 * (CC103)) + (90.79 *(Crescimento!#REF!-Crescimento!#REF!)) - (3.13 * (Crescimento!#REF!-Crescimento!#REF!)^2)</f>
        <v>#REF!</v>
      </c>
      <c r="CE103" s="23"/>
      <c r="CF103" s="21" t="e">
        <f>((CG102+(Crescimento!#REF!-(CG102*0.64))/0.8)/1000)-Crescimento!#REF!</f>
        <v>#REF!</v>
      </c>
      <c r="CG103" s="22" t="e">
        <f>-53.07 + (304.89 * (CF103)) + (90.79 *(Crescimento!#REF!-Crescimento!#REF!)) - (3.13 * (Crescimento!#REF!-Crescimento!#REF!)^2)</f>
        <v>#REF!</v>
      </c>
      <c r="CH103" s="23"/>
      <c r="CI103" s="21" t="e">
        <f>((CJ102+(Crescimento!#REF!-(CJ102*0.64))/0.8)/1000)-Crescimento!#REF!</f>
        <v>#REF!</v>
      </c>
      <c r="CJ103" s="22" t="e">
        <f>-53.07 + (304.89 * (CI103)) + (90.79 *(Crescimento!#REF!-Crescimento!#REF!)) - (3.13 * (Crescimento!#REF!-Crescimento!#REF!)^2)</f>
        <v>#REF!</v>
      </c>
      <c r="CK103" s="23"/>
      <c r="CL103" s="21" t="e">
        <f>((CM102+(Crescimento!#REF!-(CM102*0.64))/0.8)/1000)-Crescimento!#REF!</f>
        <v>#REF!</v>
      </c>
      <c r="CM103" s="22" t="e">
        <f>-53.07 + (304.89 * (CL103)) + (90.79 *(Crescimento!#REF!-Crescimento!#REF!)) - (3.13 * (Crescimento!#REF!-Crescimento!#REF!)^2)</f>
        <v>#REF!</v>
      </c>
      <c r="CN103" s="23"/>
      <c r="CO103" s="21" t="e">
        <f>((CP102+(Crescimento!#REF!-(CP102*0.64))/0.8)/1000)-Crescimento!#REF!</f>
        <v>#REF!</v>
      </c>
      <c r="CP103" s="22" t="e">
        <f>-53.07 + (304.89 * (CO103)) + (90.79 *(Crescimento!#REF!-Crescimento!#REF!)) - (3.13 * (Crescimento!#REF!-Crescimento!#REF!)^2)</f>
        <v>#REF!</v>
      </c>
      <c r="CQ103" s="23"/>
      <c r="CR103" s="21" t="e">
        <f>((CS102+(Crescimento!#REF!-(CS102*0.64))/0.8)/1000)-Crescimento!#REF!</f>
        <v>#REF!</v>
      </c>
      <c r="CS103" s="22" t="e">
        <f>-53.07 + (304.89 * (CR103)) + (90.79 *(Crescimento!#REF!-Crescimento!#REF!)) - (3.13 * (Crescimento!#REF!-Crescimento!#REF!)^2)</f>
        <v>#REF!</v>
      </c>
      <c r="CX103" s="16" t="e">
        <f>((CY102+(Crescimento!#REF!-(CY102*0.64))/0.8)/1000)-Crescimento!#REF!</f>
        <v>#REF!</v>
      </c>
      <c r="CY103" s="17" t="e">
        <f>-53.07 + (304.89 * (CX103)) + (90.79 *(Crescimento!#REF!-Crescimento!#REF!)) - (3.13 * (Crescimento!#REF!-Crescimento!#REF!)^2)</f>
        <v>#REF!</v>
      </c>
      <c r="DA103" s="16" t="e">
        <f>((DB102+(Crescimento!#REF!-(DB102*0.64))/0.8)/1000)-Crescimento!#REF!</f>
        <v>#REF!</v>
      </c>
      <c r="DB103" s="17" t="e">
        <f>-53.07 + (304.89 * (DA103)) + (90.79 *(Crescimento!#REF!-Crescimento!#REF!)) - (3.13 * (Crescimento!#REF!-Crescimento!#REF!)^2)</f>
        <v>#REF!</v>
      </c>
      <c r="DD103" s="16" t="e">
        <f>(DE102+(Crescimento!#REF!-(DE102*0.64))/0.8)/1000</f>
        <v>#REF!</v>
      </c>
      <c r="DE103" s="17" t="e">
        <f>-53.07 + (304.89 * (DD103)) + (90.79 *Crescimento!#REF!) - (3.13 * Crescimento!#REF!*Crescimento!#REF!)</f>
        <v>#REF!</v>
      </c>
      <c r="DG103" s="16" t="e">
        <f>((DH102+(Crescimento!#REF!-(DH102*0.64))/0.8)/1000)-Crescimento!#REF!</f>
        <v>#REF!</v>
      </c>
      <c r="DH103" s="17" t="e">
        <f>-53.07 + (304.89 * (DG103)) + (90.79 *(Crescimento!#REF!-Crescimento!#REF!)) - (3.13 * (Crescimento!#REF!-Crescimento!#REF!)^2)</f>
        <v>#REF!</v>
      </c>
      <c r="DJ103" s="16" t="e">
        <f>((DK102+(Crescimento!#REF!-(DK102*0.64))/0.8)/1000)-Crescimento!#REF!</f>
        <v>#REF!</v>
      </c>
      <c r="DK103" s="17" t="e">
        <f>-53.07 + (304.89 * (DJ103)) + (90.79 *(Crescimento!#REF!-Crescimento!#REF!)) - (3.13 * (Crescimento!#REF!-Crescimento!#REF!)^2)</f>
        <v>#REF!</v>
      </c>
      <c r="DM103" s="16" t="e">
        <f>((DN102+(Crescimento!#REF!-(DN102*0.64))/0.8)/1000)-Crescimento!#REF!</f>
        <v>#REF!</v>
      </c>
      <c r="DN103" s="17" t="e">
        <f>-53.07 + (304.89 * (DM103)) + (90.79 *(Crescimento!#REF!-Crescimento!#REF!)) - (3.13 * (Crescimento!#REF!-Crescimento!#REF!)^2)</f>
        <v>#REF!</v>
      </c>
      <c r="DP103" s="16" t="e">
        <f>(DQ102+(Crescimento!#REF!-(DQ102*0.64))/0.8)/1000</f>
        <v>#REF!</v>
      </c>
      <c r="DQ103" s="17" t="e">
        <f>-53.07 + (304.89 * (DP103)) + (90.79 *(Crescimento!#REF!-Crescimento!#REF!)) - (3.13 * (Crescimento!#REF!-Crescimento!#REF!)^2)</f>
        <v>#REF!</v>
      </c>
      <c r="DS103" s="16" t="e">
        <f>((DT102+(Crescimento!#REF!-(DT102*0.64))/0.8)/1000)-Crescimento!#REF!</f>
        <v>#REF!</v>
      </c>
      <c r="DT103" s="17" t="e">
        <f>-53.07 + (304.89 * (DS103)) + (90.79 *(Crescimento!#REF!-Crescimento!#REF!)) - (3.13 * (Crescimento!#REF!-Crescimento!#REF!)^2)</f>
        <v>#REF!</v>
      </c>
      <c r="DV103" s="16" t="e">
        <f>((DW102+(Crescimento!#REF!-(DW102*0.64))/0.8)/1000)-Crescimento!#REF!</f>
        <v>#REF!</v>
      </c>
      <c r="DW103" s="17" t="e">
        <f>-53.07 + (304.89 * (DV103)) + (90.79 *(Crescimento!#REF!-Crescimento!#REF!)) - (3.13 * (Crescimento!#REF!-Crescimento!#REF!)^2)</f>
        <v>#REF!</v>
      </c>
      <c r="DY103" s="16" t="e">
        <f>((DZ102+(Crescimento!#REF!-(DZ102*0.64))/0.8)/1000)-Crescimento!#REF!</f>
        <v>#REF!</v>
      </c>
      <c r="DZ103" s="17" t="e">
        <f>-53.07 + (304.89 * (DY103)) + (90.79 *(Crescimento!#REF!-Crescimento!#REF!)) - (3.13 * (Crescimento!#REF!-Crescimento!#REF!)^2)</f>
        <v>#REF!</v>
      </c>
      <c r="EB103" s="16" t="e">
        <f>((EC102+(Crescimento!#REF!-(EC102*0.64))/0.8)/1000)-Crescimento!#REF!</f>
        <v>#REF!</v>
      </c>
      <c r="EC103" s="17" t="e">
        <f>-53.07 + (304.89 * (EB103)) + (90.79 *(Crescimento!#REF!-Crescimento!#REF!)) - (3.13 * (Crescimento!#REF!-Crescimento!#REF!)^2)</f>
        <v>#REF!</v>
      </c>
      <c r="EE103" s="16" t="e">
        <f>((EF102+(Crescimento!#REF!-(EF102*0.64))/0.8)/1000)-Crescimento!#REF!</f>
        <v>#REF!</v>
      </c>
      <c r="EF103" s="17" t="e">
        <f>-53.07 + (304.89 * (EE103)) + (90.79 *(Crescimento!#REF!-Crescimento!#REF!)) - (3.13 * (Crescimento!#REF!-Crescimento!#REF!)^2)</f>
        <v>#REF!</v>
      </c>
      <c r="EH103" s="16" t="e">
        <f>((EI102+(Crescimento!#REF!-(EI102*0.64))/0.8)/1000)-Crescimento!#REF!</f>
        <v>#REF!</v>
      </c>
      <c r="EI103" s="17" t="e">
        <f>-53.07 + (304.89 * (EH103)) + (90.79 *(Crescimento!#REF!-Crescimento!#REF!)) - (3.13 * (Crescimento!#REF!-Crescimento!#REF!)^2)</f>
        <v>#REF!</v>
      </c>
      <c r="EK103" s="16" t="e">
        <f>((EL102+(Crescimento!#REF!-(EL102*0.64))/0.8)/1000)-Crescimento!#REF!</f>
        <v>#REF!</v>
      </c>
      <c r="EL103" s="17" t="e">
        <f>-53.07 + (304.89 * (EK103)) + (90.79 *(Crescimento!#REF!-Crescimento!#REF!)) - (3.13 * (Crescimento!#REF!-Crescimento!#REF!)^2)</f>
        <v>#REF!</v>
      </c>
      <c r="EN103" s="16" t="e">
        <f>((EO102+(Crescimento!#REF!-(EO102*0.64))/0.8)/1000)-Crescimento!#REF!</f>
        <v>#REF!</v>
      </c>
      <c r="EO103" s="17" t="e">
        <f>-53.07 + (304.89 * (EN103)) + (90.79 *(Crescimento!#REF!-Crescimento!#REF!)) - (3.13 * (Crescimento!#REF!-Crescimento!#REF!)^2)</f>
        <v>#REF!</v>
      </c>
      <c r="EQ103" s="16" t="e">
        <f>((ER102+(Crescimento!#REF!-(ER102*0.64))/0.8)/1000)-Crescimento!#REF!</f>
        <v>#REF!</v>
      </c>
      <c r="ER103" s="17" t="e">
        <f>-53.07 + (304.89 * (EQ103)) + (90.79 *(Crescimento!#REF!-Crescimento!#REF!)) - (3.13 * (Crescimento!#REF!-Crescimento!#REF!)^2)</f>
        <v>#REF!</v>
      </c>
      <c r="ET103" s="16" t="e">
        <f>((EU102+(Crescimento!#REF!-(EU102*0.64))/0.8)/1000)-Crescimento!#REF!</f>
        <v>#REF!</v>
      </c>
      <c r="EU103" s="17" t="e">
        <f>-53.07 + (304.89 * (ET103)) + (90.79 *(Crescimento!#REF!-Crescimento!#REF!)) - (3.13 * (Crescimento!#REF!-Crescimento!#REF!)^2)</f>
        <v>#REF!</v>
      </c>
      <c r="EW103" s="16" t="e">
        <f>((EX102+('Vacas e Bezerros'!#REF!-(EX102*0.64))/0.8)/1000)-'Vacas e Bezerros'!#REF!</f>
        <v>#REF!</v>
      </c>
      <c r="EX103" s="17" t="e">
        <f>-53.07 + (304.89 * (EW103)) + (90.79 *('Vacas e Bezerros'!#REF!-'Vacas e Bezerros'!#REF!)) - (3.13 * ('Vacas e Bezerros'!#REF!-'Vacas e Bezerros'!#REF!)^2)</f>
        <v>#REF!</v>
      </c>
      <c r="EZ103" s="16" t="e">
        <f>((FA102+('Vacas e Bezerros'!#REF!-(FA102*0.64))/0.8)/1000)-'Vacas e Bezerros'!#REF!</f>
        <v>#REF!</v>
      </c>
      <c r="FA103" s="17" t="e">
        <f>-53.07 + (304.89 * (EZ103)) + (90.79 *('Vacas e Bezerros'!#REF!-'Vacas e Bezerros'!#REF!)) - (3.13 * ('Vacas e Bezerros'!#REF!-'Vacas e Bezerros'!#REF!)^2)</f>
        <v>#REF!</v>
      </c>
      <c r="FC103" s="16" t="e">
        <f>((FD102+('Vacas e Bezerros'!#REF!-(FD102*0.64))/0.8)/1000)-'Vacas e Bezerros'!#REF!</f>
        <v>#REF!</v>
      </c>
      <c r="FD103" s="17" t="e">
        <f>-53.07 + (304.89 * (FC103)) + (90.79 *('Vacas e Bezerros'!#REF!-'Vacas e Bezerros'!#REF!)) - (3.13 * ('Vacas e Bezerros'!#REF!-'Vacas e Bezerros'!#REF!)^2)</f>
        <v>#REF!</v>
      </c>
      <c r="FF103" s="16" t="e">
        <f>((FG102+('Vacas e Bezerros'!#REF!-(FG102*0.64))/0.8)/1000)-'Vacas e Bezerros'!#REF!</f>
        <v>#REF!</v>
      </c>
      <c r="FG103" s="17" t="e">
        <f>-53.07 + (304.89 * (FF103)) + (90.79 *('Vacas e Bezerros'!#REF!-'Vacas e Bezerros'!#REF!)) - (3.13 * ('Vacas e Bezerros'!#REF!-'Vacas e Bezerros'!#REF!)^2)</f>
        <v>#REF!</v>
      </c>
      <c r="FI103" s="16" t="e">
        <f>((FJ102+('Vacas e Bezerros'!#REF!-(FJ102*0.64))/0.8)/1000)-'Vacas e Bezerros'!#REF!</f>
        <v>#REF!</v>
      </c>
      <c r="FJ103" s="17" t="e">
        <f>-53.07 + (304.89 * (FI103)) + (90.79 *('Vacas e Bezerros'!#REF!-'Vacas e Bezerros'!#REF!)) - (3.13 * ('Vacas e Bezerros'!#REF!-'Vacas e Bezerros'!#REF!)^2)</f>
        <v>#REF!</v>
      </c>
      <c r="FL103" s="16" t="e">
        <f>((FM102+('Vacas e Bezerros'!#REF!-(FM102*0.64))/0.8)/1000)-'Vacas e Bezerros'!#REF!</f>
        <v>#REF!</v>
      </c>
      <c r="FM103" s="17" t="e">
        <f>-53.07 + (304.89 * (FL103)) + (90.79 *('Vacas e Bezerros'!#REF!-'Vacas e Bezerros'!#REF!)) - (3.13 * ('Vacas e Bezerros'!#REF!-'Vacas e Bezerros'!#REF!)^2)</f>
        <v>#REF!</v>
      </c>
      <c r="FO103" s="16" t="e">
        <f>((FP102+('Vacas e Bezerros'!#REF!-(FP102*0.64))/0.8)/1000)-'Vacas e Bezerros'!#REF!</f>
        <v>#REF!</v>
      </c>
      <c r="FP103" s="17" t="e">
        <f>-53.07 + (304.89 * (FO103)) + (90.79 *('Vacas e Bezerros'!#REF!-'Vacas e Bezerros'!#REF!)) - (3.13 * ('Vacas e Bezerros'!#REF!-'Vacas e Bezerros'!#REF!)^2)</f>
        <v>#REF!</v>
      </c>
      <c r="FR103" s="16" t="e">
        <f>((FS102+('Vacas e Bezerros'!#REF!-(FS102*0.64))/0.8)/1000)-'Vacas e Bezerros'!#REF!</f>
        <v>#REF!</v>
      </c>
      <c r="FS103" s="17" t="e">
        <f>-53.07 + (304.89 * (FR103)) + (90.79 *('Vacas e Bezerros'!#REF!-'Vacas e Bezerros'!#REF!)) - (3.13 * ('Vacas e Bezerros'!#REF!-'Vacas e Bezerros'!#REF!)^2)</f>
        <v>#REF!</v>
      </c>
      <c r="FU103" s="16" t="e">
        <f>((FV102+('Vacas e Bezerros'!#REF!-(FV102*0.64))/0.8)/1000)-'Vacas e Bezerros'!#REF!</f>
        <v>#REF!</v>
      </c>
      <c r="FV103" s="17" t="e">
        <f>-53.07 + (304.89 * (FU103)) + (90.79 *('Vacas e Bezerros'!#REF!-'Vacas e Bezerros'!#REF!)) - (3.13 * ('Vacas e Bezerros'!#REF!-'Vacas e Bezerros'!#REF!)^2)</f>
        <v>#REF!</v>
      </c>
      <c r="FX103" s="16" t="e">
        <f>((FY102+('Vacas e Bezerros'!#REF!-(FY102*0.64))/0.8)/1000)-'Vacas e Bezerros'!#REF!</f>
        <v>#REF!</v>
      </c>
      <c r="FY103" s="17" t="e">
        <f>-53.07 + (304.89 * (FX103)) + (90.79 *('Vacas e Bezerros'!#REF!-'Vacas e Bezerros'!#REF!)) - (3.13 * ('Vacas e Bezerros'!#REF!-'Vacas e Bezerros'!#REF!)^2)</f>
        <v>#REF!</v>
      </c>
      <c r="GA103" s="16" t="e">
        <f>((GB102+('Vacas e Bezerros'!#REF!-(GB102*0.64))/0.8)/1000)-'Vacas e Bezerros'!#REF!</f>
        <v>#REF!</v>
      </c>
      <c r="GB103" s="17" t="e">
        <f>-53.07 + (304.89 * (GA103)) + (90.79 *('Vacas e Bezerros'!#REF!-'Vacas e Bezerros'!#REF!)) - (3.13 * ('Vacas e Bezerros'!#REF!-'Vacas e Bezerros'!#REF!)^2)</f>
        <v>#REF!</v>
      </c>
      <c r="GD103" s="16" t="e">
        <f>((GE102+('Vacas e Bezerros'!#REF!-(GE102*0.64))/0.8)/1000)-'Vacas e Bezerros'!#REF!</f>
        <v>#REF!</v>
      </c>
      <c r="GE103" s="17" t="e">
        <f>-53.07 + (304.89 * (GD103)) + (90.79 *('Vacas e Bezerros'!#REF!-'Vacas e Bezerros'!#REF!)) - (3.13 * ('Vacas e Bezerros'!#REF!-'Vacas e Bezerros'!#REF!)^2)</f>
        <v>#REF!</v>
      </c>
      <c r="GG103" s="16" t="e">
        <f>((GH102+('Vacas e Bezerros'!#REF!-(GH102*0.64))/0.8)/1000)-'Vacas e Bezerros'!#REF!</f>
        <v>#REF!</v>
      </c>
      <c r="GH103" s="17" t="e">
        <f>-53.07 + (304.89 * (GG103)) + (90.79 *('Vacas e Bezerros'!#REF!-'Vacas e Bezerros'!#REF!)) - (3.13 * ('Vacas e Bezerros'!#REF!-'Vacas e Bezerros'!#REF!)^2)</f>
        <v>#REF!</v>
      </c>
      <c r="GJ103" s="16" t="e">
        <f>((GK102+('Vacas e Bezerros'!#REF!-(GK102*0.64))/0.8)/1000)-'Vacas e Bezerros'!#REF!</f>
        <v>#REF!</v>
      </c>
      <c r="GK103" s="17" t="e">
        <f>-53.07 + (304.89 * (GJ103)) + (90.79 *('Vacas e Bezerros'!#REF!-'Vacas e Bezerros'!#REF!)) - (3.13 * ('Vacas e Bezerros'!#REF!-'Vacas e Bezerros'!#REF!)^2)</f>
        <v>#REF!</v>
      </c>
      <c r="GM103" s="16" t="e">
        <f>((GN102+('Vacas e Bezerros'!#REF!-(GN102*0.64))/0.8)/1000)-'Vacas e Bezerros'!#REF!</f>
        <v>#REF!</v>
      </c>
      <c r="GN103" s="17" t="e">
        <f>-53.07 + (304.89 * (GM103)) + (90.79 *('Vacas e Bezerros'!#REF!-'Vacas e Bezerros'!#REF!)) - (3.13 * ('Vacas e Bezerros'!#REF!-'Vacas e Bezerros'!#REF!)^2)</f>
        <v>#REF!</v>
      </c>
    </row>
  </sheetData>
  <mergeCells count="84">
    <mergeCell ref="C3:D3"/>
    <mergeCell ref="F3:G3"/>
    <mergeCell ref="I3:J3"/>
    <mergeCell ref="L3:M3"/>
    <mergeCell ref="O3:P3"/>
    <mergeCell ref="C1:AW1"/>
    <mergeCell ref="BT3:BU3"/>
    <mergeCell ref="BW3:BX3"/>
    <mergeCell ref="BZ3:CA3"/>
    <mergeCell ref="CC3:CD3"/>
    <mergeCell ref="BB3:BC3"/>
    <mergeCell ref="BE3:BF3"/>
    <mergeCell ref="BH3:BI3"/>
    <mergeCell ref="BK3:BL3"/>
    <mergeCell ref="BN3:BO3"/>
    <mergeCell ref="BQ3:BR3"/>
    <mergeCell ref="AJ3:AK3"/>
    <mergeCell ref="AM3:AN3"/>
    <mergeCell ref="AP3:AQ3"/>
    <mergeCell ref="AS3:AT3"/>
    <mergeCell ref="AV3:AW3"/>
    <mergeCell ref="CO3:CP3"/>
    <mergeCell ref="CR3:CS3"/>
    <mergeCell ref="CL3:CM3"/>
    <mergeCell ref="C2:M2"/>
    <mergeCell ref="O2:Y2"/>
    <mergeCell ref="AA2:AK2"/>
    <mergeCell ref="AM2:AW2"/>
    <mergeCell ref="CF3:CG3"/>
    <mergeCell ref="CI3:CJ3"/>
    <mergeCell ref="AY3:AZ3"/>
    <mergeCell ref="R3:S3"/>
    <mergeCell ref="U3:V3"/>
    <mergeCell ref="X3:Y3"/>
    <mergeCell ref="AA3:AB3"/>
    <mergeCell ref="AD3:AE3"/>
    <mergeCell ref="AG3:AH3"/>
    <mergeCell ref="AY1:CS1"/>
    <mergeCell ref="AY2:BI2"/>
    <mergeCell ref="BK2:BU2"/>
    <mergeCell ref="BW2:CG2"/>
    <mergeCell ref="CI2:CS2"/>
    <mergeCell ref="CX1:ER1"/>
    <mergeCell ref="ET1:GN1"/>
    <mergeCell ref="CX2:DH2"/>
    <mergeCell ref="DJ2:DT2"/>
    <mergeCell ref="DV2:EF2"/>
    <mergeCell ref="EH2:ER2"/>
    <mergeCell ref="ET2:FD2"/>
    <mergeCell ref="FF2:FP2"/>
    <mergeCell ref="FR2:GB2"/>
    <mergeCell ref="GD2:GN2"/>
    <mergeCell ref="EE3:EF3"/>
    <mergeCell ref="CX3:CY3"/>
    <mergeCell ref="DA3:DB3"/>
    <mergeCell ref="DD3:DE3"/>
    <mergeCell ref="DG3:DH3"/>
    <mergeCell ref="DJ3:DK3"/>
    <mergeCell ref="DM3:DN3"/>
    <mergeCell ref="DP3:DQ3"/>
    <mergeCell ref="DS3:DT3"/>
    <mergeCell ref="DV3:DW3"/>
    <mergeCell ref="DY3:DZ3"/>
    <mergeCell ref="EB3:EC3"/>
    <mergeCell ref="FO3:FP3"/>
    <mergeCell ref="EH3:EI3"/>
    <mergeCell ref="EK3:EL3"/>
    <mergeCell ref="EN3:EO3"/>
    <mergeCell ref="EQ3:ER3"/>
    <mergeCell ref="ET3:EU3"/>
    <mergeCell ref="EW3:EX3"/>
    <mergeCell ref="EZ3:FA3"/>
    <mergeCell ref="FC3:FD3"/>
    <mergeCell ref="FF3:FG3"/>
    <mergeCell ref="FI3:FJ3"/>
    <mergeCell ref="FL3:FM3"/>
    <mergeCell ref="GJ3:GK3"/>
    <mergeCell ref="GM3:GN3"/>
    <mergeCell ref="FR3:FS3"/>
    <mergeCell ref="FU3:FV3"/>
    <mergeCell ref="FX3:FY3"/>
    <mergeCell ref="GA3:GB3"/>
    <mergeCell ref="GD3:GE3"/>
    <mergeCell ref="GG3:GH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1FEC-AAC7-9B4A-B491-FFFE0D66FA5C}">
  <dimension ref="A2:AJ291"/>
  <sheetViews>
    <sheetView showGridLines="0" tabSelected="1" topLeftCell="G1" zoomScale="85" zoomScaleNormal="85" zoomScaleSheetLayoutView="268" workbookViewId="0">
      <selection activeCell="K10" sqref="K10"/>
    </sheetView>
  </sheetViews>
  <sheetFormatPr defaultColWidth="7" defaultRowHeight="14.25" x14ac:dyDescent="0.25"/>
  <cols>
    <col min="1" max="1" width="8.28515625" style="377" hidden="1" customWidth="1"/>
    <col min="2" max="2" width="30.5703125" style="378" hidden="1" customWidth="1"/>
    <col min="3" max="3" width="14.85546875" style="379" hidden="1" customWidth="1"/>
    <col min="4" max="4" width="12" style="380" hidden="1" customWidth="1"/>
    <col min="5" max="6" width="7" style="380" hidden="1" customWidth="1"/>
    <col min="7" max="7" width="7" style="381"/>
    <col min="8" max="8" width="3.140625" style="257" customWidth="1"/>
    <col min="9" max="9" width="36.140625" style="257" customWidth="1"/>
    <col min="10" max="10" width="11.140625" style="257" customWidth="1"/>
    <col min="11" max="11" width="31.140625" style="258" customWidth="1"/>
    <col min="12" max="12" width="3.28515625" style="257" customWidth="1"/>
    <col min="13" max="13" width="9.140625" style="257" customWidth="1"/>
    <col min="14" max="14" width="7" style="258" customWidth="1"/>
    <col min="15" max="15" width="15.28515625" style="258" customWidth="1"/>
    <col min="16" max="16" width="17.42578125" style="258" customWidth="1"/>
    <col min="17" max="17" width="15.28515625" style="258" customWidth="1"/>
    <col min="18" max="19" width="7" style="258" customWidth="1"/>
    <col min="20" max="20" width="11.140625" style="258" customWidth="1"/>
    <col min="21" max="21" width="7.28515625" style="258" bestFit="1" customWidth="1"/>
    <col min="22" max="22" width="11.5703125" style="258" customWidth="1"/>
    <col min="23" max="23" width="12" style="258" customWidth="1"/>
    <col min="24" max="24" width="4" style="258" customWidth="1"/>
    <col min="25" max="25" width="7" style="258"/>
    <col min="26" max="26" width="15.85546875" style="258" customWidth="1"/>
    <col min="27" max="27" width="8.140625" style="258" customWidth="1"/>
    <col min="28" max="28" width="9.28515625" style="258" customWidth="1"/>
    <col min="29" max="29" width="12.140625" style="258" customWidth="1"/>
    <col min="30" max="30" width="2.42578125" style="258" customWidth="1"/>
    <col min="31" max="31" width="4.28515625" style="258" customWidth="1"/>
    <col min="32" max="32" width="18.7109375" style="258" bestFit="1" customWidth="1"/>
    <col min="33" max="33" width="19.5703125" style="258" bestFit="1" customWidth="1"/>
    <col min="34" max="34" width="8.5703125" style="258" customWidth="1"/>
    <col min="35" max="16384" width="7" style="258"/>
  </cols>
  <sheetData>
    <row r="2" spans="1:36" ht="15" thickBot="1" x14ac:dyDescent="0.3"/>
    <row r="3" spans="1:36" ht="15" customHeight="1" x14ac:dyDescent="0.25">
      <c r="H3" s="470" t="s">
        <v>414</v>
      </c>
      <c r="I3" s="470"/>
      <c r="J3" s="470"/>
      <c r="K3" s="470"/>
      <c r="L3" s="470"/>
      <c r="N3" s="276"/>
      <c r="O3" s="277"/>
      <c r="P3" s="488" t="s">
        <v>470</v>
      </c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277"/>
      <c r="AC3" s="277"/>
      <c r="AD3" s="277"/>
      <c r="AE3" s="338"/>
    </row>
    <row r="4" spans="1:36" ht="15.75" customHeight="1" thickBot="1" x14ac:dyDescent="0.3">
      <c r="H4" s="471"/>
      <c r="I4" s="471"/>
      <c r="J4" s="471"/>
      <c r="K4" s="471"/>
      <c r="L4" s="471"/>
      <c r="N4" s="278"/>
      <c r="O4" s="262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262"/>
      <c r="AC4" s="262"/>
      <c r="AD4" s="262"/>
      <c r="AE4" s="339"/>
    </row>
    <row r="5" spans="1:36" ht="11.25" customHeight="1" x14ac:dyDescent="0.25">
      <c r="A5" s="380"/>
      <c r="C5" s="378" t="s">
        <v>13</v>
      </c>
      <c r="D5" s="380" t="s">
        <v>50</v>
      </c>
      <c r="N5" s="278"/>
      <c r="O5" s="262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340"/>
      <c r="AC5" s="340"/>
      <c r="AD5" s="340"/>
      <c r="AE5" s="341"/>
      <c r="AF5" s="268"/>
      <c r="AJ5" s="268"/>
    </row>
    <row r="6" spans="1:36" ht="15" customHeight="1" thickBot="1" x14ac:dyDescent="0.3">
      <c r="A6" s="382" t="s">
        <v>70</v>
      </c>
      <c r="B6" s="378" t="s">
        <v>12</v>
      </c>
      <c r="C6" s="378" t="s">
        <v>51</v>
      </c>
      <c r="H6" s="342"/>
      <c r="I6" s="305"/>
      <c r="J6" s="305"/>
      <c r="K6" s="304"/>
      <c r="L6" s="306"/>
      <c r="M6" s="293"/>
      <c r="N6" s="278"/>
      <c r="O6" s="340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340"/>
      <c r="AC6" s="340"/>
      <c r="AD6" s="340"/>
      <c r="AE6" s="339"/>
    </row>
    <row r="7" spans="1:36" ht="20.25" customHeight="1" x14ac:dyDescent="0.25">
      <c r="A7" s="382" t="s">
        <v>71</v>
      </c>
      <c r="B7" s="378" t="s">
        <v>17</v>
      </c>
      <c r="C7" s="378" t="s">
        <v>54</v>
      </c>
      <c r="D7" s="380" t="s">
        <v>55</v>
      </c>
      <c r="H7" s="343"/>
      <c r="I7" s="481" t="s">
        <v>11</v>
      </c>
      <c r="J7" s="482"/>
      <c r="K7" s="328" t="s">
        <v>12</v>
      </c>
      <c r="L7" s="325"/>
      <c r="M7" s="293"/>
      <c r="N7" s="278"/>
      <c r="O7" s="274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275"/>
      <c r="AC7" s="275"/>
      <c r="AD7" s="275"/>
      <c r="AE7" s="339"/>
    </row>
    <row r="8" spans="1:36" ht="20.25" customHeight="1" thickBot="1" x14ac:dyDescent="0.3">
      <c r="A8" s="382" t="s">
        <v>80</v>
      </c>
      <c r="B8" s="378" t="s">
        <v>56</v>
      </c>
      <c r="C8" s="378" t="s">
        <v>19</v>
      </c>
      <c r="H8" s="343"/>
      <c r="I8" s="483"/>
      <c r="J8" s="484"/>
      <c r="K8" s="347" t="s">
        <v>50</v>
      </c>
      <c r="L8" s="325"/>
      <c r="M8" s="293"/>
      <c r="N8" s="278"/>
      <c r="O8" s="477" t="s">
        <v>463</v>
      </c>
      <c r="P8" s="477"/>
      <c r="Q8" s="477"/>
      <c r="R8" s="477"/>
      <c r="S8" s="268"/>
      <c r="T8" s="477" t="s">
        <v>274</v>
      </c>
      <c r="U8" s="477"/>
      <c r="V8" s="477"/>
      <c r="W8" s="477"/>
      <c r="X8" s="477"/>
      <c r="Y8" s="268"/>
      <c r="Z8" s="477" t="s">
        <v>513</v>
      </c>
      <c r="AA8" s="477"/>
      <c r="AB8" s="477"/>
      <c r="AC8" s="477"/>
      <c r="AD8" s="477"/>
      <c r="AE8" s="339"/>
    </row>
    <row r="9" spans="1:36" ht="20.25" customHeight="1" thickBot="1" x14ac:dyDescent="0.3">
      <c r="A9" s="382" t="s">
        <v>77</v>
      </c>
      <c r="B9" s="378" t="s">
        <v>75</v>
      </c>
      <c r="C9" s="378" t="s">
        <v>76</v>
      </c>
      <c r="H9" s="343"/>
      <c r="I9" s="280"/>
      <c r="J9" s="280"/>
      <c r="K9" s="329"/>
      <c r="L9" s="325"/>
      <c r="M9" s="293"/>
      <c r="N9" s="278"/>
      <c r="O9" s="478"/>
      <c r="P9" s="478"/>
      <c r="Q9" s="478"/>
      <c r="R9" s="478"/>
      <c r="S9" s="279"/>
      <c r="T9" s="478"/>
      <c r="U9" s="478"/>
      <c r="V9" s="478"/>
      <c r="W9" s="478"/>
      <c r="X9" s="478"/>
      <c r="Y9" s="279"/>
      <c r="Z9" s="478"/>
      <c r="AA9" s="478"/>
      <c r="AB9" s="478"/>
      <c r="AC9" s="478"/>
      <c r="AD9" s="478"/>
      <c r="AE9" s="339"/>
    </row>
    <row r="10" spans="1:36" ht="20.25" customHeight="1" thickBot="1" x14ac:dyDescent="0.2">
      <c r="A10" s="380"/>
      <c r="C10" s="378"/>
      <c r="H10" s="343"/>
      <c r="I10" s="485" t="s">
        <v>16</v>
      </c>
      <c r="J10" s="486"/>
      <c r="K10" s="330" t="s">
        <v>17</v>
      </c>
      <c r="L10" s="325"/>
      <c r="M10" s="293"/>
      <c r="N10" s="278"/>
      <c r="O10" s="460" t="s">
        <v>457</v>
      </c>
      <c r="P10" s="363" t="s">
        <v>0</v>
      </c>
      <c r="Q10" s="350">
        <f>IF($K$7="Zebuíno",-2.1948+0.08338*K16^0.75+3.9328*K18-0.903*K18^2,IF($K$8="Corte",-0.6273+0.06453*K16^0.75+3.871*K18-0.614*K18^2,-2.8836+0.08435*K16^0.75+4.5145*K18-0.9631*K18^2))</f>
        <v>9.5460666169892701</v>
      </c>
      <c r="R10" s="361" t="s">
        <v>1</v>
      </c>
      <c r="S10" s="262"/>
      <c r="T10" s="447" t="s">
        <v>471</v>
      </c>
      <c r="U10" s="452" t="s">
        <v>27</v>
      </c>
      <c r="V10" s="266" t="s">
        <v>116</v>
      </c>
      <c r="W10" s="433">
        <f>D88</f>
        <v>28.407677265360551</v>
      </c>
      <c r="X10" s="439" t="s">
        <v>15</v>
      </c>
      <c r="Y10" s="262"/>
      <c r="Z10" s="447" t="s">
        <v>461</v>
      </c>
      <c r="AA10" s="443" t="s">
        <v>210</v>
      </c>
      <c r="AB10" s="266" t="s">
        <v>462</v>
      </c>
      <c r="AC10" s="433">
        <f>D183</f>
        <v>30.467416366998087</v>
      </c>
      <c r="AD10" s="439" t="s">
        <v>15</v>
      </c>
      <c r="AE10" s="339"/>
    </row>
    <row r="11" spans="1:36" ht="20.25" customHeight="1" thickBot="1" x14ac:dyDescent="0.3">
      <c r="A11" s="380"/>
      <c r="C11" s="378"/>
      <c r="H11" s="343"/>
      <c r="I11" s="280"/>
      <c r="J11" s="280"/>
      <c r="K11" s="329"/>
      <c r="L11" s="326"/>
      <c r="M11" s="262"/>
      <c r="N11" s="278"/>
      <c r="O11" s="462"/>
      <c r="P11" s="364" t="s">
        <v>460</v>
      </c>
      <c r="Q11" s="351">
        <f>9.449+(0.19*(K16^0.75))+(0.271*$K$20)-(0.259*$K$21)+(0.489*Q10)</f>
        <v>14.849369310511793</v>
      </c>
      <c r="R11" s="362" t="s">
        <v>459</v>
      </c>
      <c r="S11" s="262"/>
      <c r="T11" s="448"/>
      <c r="U11" s="453"/>
      <c r="V11" s="367">
        <v>0.56799999999999995</v>
      </c>
      <c r="W11" s="434"/>
      <c r="X11" s="440"/>
      <c r="Y11" s="262"/>
      <c r="Z11" s="448"/>
      <c r="AA11" s="444"/>
      <c r="AB11" s="367">
        <v>0.56000000000000005</v>
      </c>
      <c r="AC11" s="434"/>
      <c r="AD11" s="440"/>
      <c r="AE11" s="339"/>
    </row>
    <row r="12" spans="1:36" ht="20.25" customHeight="1" thickBot="1" x14ac:dyDescent="0.2">
      <c r="A12" s="380"/>
      <c r="C12" s="378"/>
      <c r="H12" s="343"/>
      <c r="I12" s="485" t="s">
        <v>410</v>
      </c>
      <c r="J12" s="486"/>
      <c r="K12" s="330" t="s">
        <v>56</v>
      </c>
      <c r="L12" s="326"/>
      <c r="M12" s="262"/>
      <c r="N12" s="278"/>
      <c r="O12" s="262"/>
      <c r="P12" s="365"/>
      <c r="Q12" s="352"/>
      <c r="R12" s="262"/>
      <c r="S12" s="262"/>
      <c r="T12" s="497"/>
      <c r="U12" s="445" t="s">
        <v>28</v>
      </c>
      <c r="V12" s="267" t="s">
        <v>116</v>
      </c>
      <c r="W12" s="437">
        <f>D95</f>
        <v>18.404676439241758</v>
      </c>
      <c r="X12" s="441" t="s">
        <v>15</v>
      </c>
      <c r="Y12" s="262"/>
      <c r="Z12" s="448"/>
      <c r="AA12" s="435" t="s">
        <v>473</v>
      </c>
      <c r="AB12" s="267" t="s">
        <v>462</v>
      </c>
      <c r="AC12" s="437">
        <f>D188</f>
        <v>12.017479896851665</v>
      </c>
      <c r="AD12" s="441" t="s">
        <v>15</v>
      </c>
      <c r="AE12" s="339"/>
    </row>
    <row r="13" spans="1:36" ht="20.25" customHeight="1" thickBot="1" x14ac:dyDescent="0.3">
      <c r="A13" s="380"/>
      <c r="C13" s="378"/>
      <c r="H13" s="343"/>
      <c r="I13" s="280"/>
      <c r="J13" s="280"/>
      <c r="K13" s="329"/>
      <c r="L13" s="325"/>
      <c r="M13" s="293"/>
      <c r="N13" s="278"/>
      <c r="O13" s="262"/>
      <c r="P13" s="365"/>
      <c r="Q13" s="329"/>
      <c r="R13" s="262"/>
      <c r="S13" s="262"/>
      <c r="T13" s="497"/>
      <c r="U13" s="446"/>
      <c r="V13" s="367">
        <v>0.67800000000000005</v>
      </c>
      <c r="W13" s="438"/>
      <c r="X13" s="442"/>
      <c r="Y13" s="262"/>
      <c r="Z13" s="448"/>
      <c r="AA13" s="436"/>
      <c r="AB13" s="367">
        <v>0.62</v>
      </c>
      <c r="AC13" s="438"/>
      <c r="AD13" s="442"/>
      <c r="AE13" s="339"/>
    </row>
    <row r="14" spans="1:36" ht="20.25" customHeight="1" x14ac:dyDescent="0.15">
      <c r="H14" s="343"/>
      <c r="I14" s="481" t="s">
        <v>495</v>
      </c>
      <c r="J14" s="291" t="s">
        <v>78</v>
      </c>
      <c r="K14" s="331">
        <v>420</v>
      </c>
      <c r="L14" s="325"/>
      <c r="M14" s="293"/>
      <c r="N14" s="278"/>
      <c r="O14" s="460" t="s">
        <v>68</v>
      </c>
      <c r="P14" s="363" t="s">
        <v>8</v>
      </c>
      <c r="Q14" s="350">
        <f>IF($K$12="Pasto",0.075*D34^0.75,IF($K$7="Zebuíno",0.075*D34^0.75,0.075*D34^0.75))</f>
        <v>6.3292168991623026</v>
      </c>
      <c r="R14" s="361" t="s">
        <v>347</v>
      </c>
      <c r="S14" s="262"/>
      <c r="T14" s="497"/>
      <c r="U14" s="366" t="s">
        <v>171</v>
      </c>
      <c r="V14" s="491">
        <f>D97</f>
        <v>1.5435032155626909</v>
      </c>
      <c r="W14" s="491"/>
      <c r="X14" s="492"/>
      <c r="Y14" s="262"/>
      <c r="Z14" s="448"/>
      <c r="AA14" s="443" t="s">
        <v>474</v>
      </c>
      <c r="AB14" s="266" t="s">
        <v>462</v>
      </c>
      <c r="AC14" s="433">
        <f>D193</f>
        <v>31.889526523142589</v>
      </c>
      <c r="AD14" s="439" t="s">
        <v>15</v>
      </c>
      <c r="AE14" s="339"/>
    </row>
    <row r="15" spans="1:36" ht="20.25" customHeight="1" x14ac:dyDescent="0.15">
      <c r="H15" s="343"/>
      <c r="I15" s="487"/>
      <c r="J15" s="290" t="s">
        <v>79</v>
      </c>
      <c r="K15" s="332">
        <v>440</v>
      </c>
      <c r="L15" s="325"/>
      <c r="M15" s="293"/>
      <c r="N15" s="278"/>
      <c r="O15" s="461"/>
      <c r="P15" s="364" t="s">
        <v>52</v>
      </c>
      <c r="Q15" s="353">
        <f>IF($K$12="pasto",D51,D50)</f>
        <v>7.5801579132967003</v>
      </c>
      <c r="R15" s="362" t="s">
        <v>347</v>
      </c>
      <c r="S15" s="262"/>
      <c r="T15" s="448"/>
      <c r="U15" s="445" t="s">
        <v>29</v>
      </c>
      <c r="V15" s="267" t="s">
        <v>116</v>
      </c>
      <c r="W15" s="456">
        <f>D104</f>
        <v>8.6635274225092651</v>
      </c>
      <c r="X15" s="441" t="s">
        <v>15</v>
      </c>
      <c r="Y15" s="262"/>
      <c r="Z15" s="448"/>
      <c r="AA15" s="444"/>
      <c r="AB15" s="367">
        <v>0.3</v>
      </c>
      <c r="AC15" s="434"/>
      <c r="AD15" s="440"/>
      <c r="AE15" s="339"/>
    </row>
    <row r="16" spans="1:36" ht="20.25" customHeight="1" thickBot="1" x14ac:dyDescent="0.2">
      <c r="H16" s="343"/>
      <c r="I16" s="483"/>
      <c r="J16" s="292" t="s">
        <v>81</v>
      </c>
      <c r="K16" s="376">
        <f>AVERAGE(K14:K15)</f>
        <v>430</v>
      </c>
      <c r="L16" s="325"/>
      <c r="M16" s="293"/>
      <c r="N16" s="278"/>
      <c r="O16" s="461"/>
      <c r="P16" s="363" t="s">
        <v>7</v>
      </c>
      <c r="Q16" s="354">
        <f>Q15+Q14</f>
        <v>13.909374812459003</v>
      </c>
      <c r="R16" s="361" t="s">
        <v>347</v>
      </c>
      <c r="S16" s="262"/>
      <c r="T16" s="448"/>
      <c r="U16" s="446"/>
      <c r="V16" s="367">
        <v>0.35499999999999998</v>
      </c>
      <c r="W16" s="457"/>
      <c r="X16" s="442"/>
      <c r="Y16" s="262"/>
      <c r="Z16" s="448"/>
      <c r="AA16" s="435" t="s">
        <v>211</v>
      </c>
      <c r="AB16" s="267" t="s">
        <v>462</v>
      </c>
      <c r="AC16" s="437">
        <f>D198</f>
        <v>57.759809135818486</v>
      </c>
      <c r="AD16" s="441" t="s">
        <v>15</v>
      </c>
      <c r="AE16" s="339"/>
    </row>
    <row r="17" spans="1:31" ht="20.25" customHeight="1" thickBot="1" x14ac:dyDescent="0.2">
      <c r="H17" s="343"/>
      <c r="I17" s="280"/>
      <c r="J17" s="280"/>
      <c r="K17" s="329"/>
      <c r="L17" s="325"/>
      <c r="M17" s="293"/>
      <c r="N17" s="278"/>
      <c r="O17" s="461"/>
      <c r="P17" s="364" t="s">
        <v>5</v>
      </c>
      <c r="Q17" s="351">
        <f>Q14/D58</f>
        <v>8.5803092768375731</v>
      </c>
      <c r="R17" s="362" t="s">
        <v>347</v>
      </c>
      <c r="S17" s="262"/>
      <c r="T17" s="448"/>
      <c r="U17" s="452" t="s">
        <v>31</v>
      </c>
      <c r="V17" s="266" t="s">
        <v>116</v>
      </c>
      <c r="W17" s="433">
        <f>D111</f>
        <v>11.023431729242693</v>
      </c>
      <c r="X17" s="439" t="s">
        <v>15</v>
      </c>
      <c r="Y17" s="262"/>
      <c r="Z17" s="448"/>
      <c r="AA17" s="436"/>
      <c r="AB17" s="367">
        <v>0.3</v>
      </c>
      <c r="AC17" s="438"/>
      <c r="AD17" s="442"/>
      <c r="AE17" s="339"/>
    </row>
    <row r="18" spans="1:31" ht="20.25" customHeight="1" thickBot="1" x14ac:dyDescent="0.2">
      <c r="H18" s="343"/>
      <c r="I18" s="485" t="s">
        <v>401</v>
      </c>
      <c r="J18" s="486"/>
      <c r="K18" s="330">
        <v>1.5</v>
      </c>
      <c r="L18" s="325"/>
      <c r="M18" s="293"/>
      <c r="N18" s="278"/>
      <c r="O18" s="461"/>
      <c r="P18" s="363" t="s">
        <v>6</v>
      </c>
      <c r="Q18" s="354">
        <f>Q15/D55</f>
        <v>16.53527319222119</v>
      </c>
      <c r="R18" s="361" t="s">
        <v>347</v>
      </c>
      <c r="S18" s="262"/>
      <c r="T18" s="448"/>
      <c r="U18" s="453"/>
      <c r="V18" s="367">
        <v>0.371</v>
      </c>
      <c r="W18" s="434"/>
      <c r="X18" s="440"/>
      <c r="Y18" s="262"/>
      <c r="Z18" s="448"/>
      <c r="AA18" s="443" t="s">
        <v>475</v>
      </c>
      <c r="AB18" s="266" t="s">
        <v>462</v>
      </c>
      <c r="AC18" s="433">
        <f>D203</f>
        <v>47.467773629053191</v>
      </c>
      <c r="AD18" s="439" t="s">
        <v>15</v>
      </c>
      <c r="AE18" s="339"/>
    </row>
    <row r="19" spans="1:31" ht="20.25" customHeight="1" thickBot="1" x14ac:dyDescent="0.2">
      <c r="A19" s="480" t="s">
        <v>101</v>
      </c>
      <c r="B19" s="480"/>
      <c r="C19" s="480"/>
      <c r="H19" s="343"/>
      <c r="I19" s="280"/>
      <c r="J19" s="280"/>
      <c r="K19" s="329"/>
      <c r="L19" s="325"/>
      <c r="M19" s="293"/>
      <c r="N19" s="278"/>
      <c r="O19" s="461"/>
      <c r="P19" s="364" t="s">
        <v>4</v>
      </c>
      <c r="Q19" s="351">
        <f>Q18+Q17</f>
        <v>25.115582469058765</v>
      </c>
      <c r="R19" s="362" t="s">
        <v>347</v>
      </c>
      <c r="S19" s="262"/>
      <c r="T19" s="448"/>
      <c r="U19" s="445" t="s">
        <v>30</v>
      </c>
      <c r="V19" s="267" t="s">
        <v>116</v>
      </c>
      <c r="W19" s="437">
        <f>D118</f>
        <v>26.710879401628173</v>
      </c>
      <c r="X19" s="441" t="s">
        <v>15</v>
      </c>
      <c r="Y19" s="262"/>
      <c r="Z19" s="448"/>
      <c r="AA19" s="444"/>
      <c r="AB19" s="367">
        <v>0.37</v>
      </c>
      <c r="AC19" s="434"/>
      <c r="AD19" s="440"/>
      <c r="AE19" s="339"/>
    </row>
    <row r="20" spans="1:31" ht="20.25" customHeight="1" x14ac:dyDescent="0.15">
      <c r="H20" s="343"/>
      <c r="I20" s="464" t="s">
        <v>465</v>
      </c>
      <c r="J20" s="465"/>
      <c r="K20" s="333">
        <v>12</v>
      </c>
      <c r="L20" s="325"/>
      <c r="M20" s="293"/>
      <c r="N20" s="278"/>
      <c r="O20" s="461"/>
      <c r="P20" s="495" t="s">
        <v>2</v>
      </c>
      <c r="Q20" s="350">
        <f>D62/4.4</f>
        <v>6.732837331697973</v>
      </c>
      <c r="R20" s="361" t="s">
        <v>312</v>
      </c>
      <c r="S20" s="262"/>
      <c r="T20" s="448"/>
      <c r="U20" s="446"/>
      <c r="V20" s="367">
        <v>0.48399999999999999</v>
      </c>
      <c r="W20" s="438"/>
      <c r="X20" s="442"/>
      <c r="Y20" s="262"/>
      <c r="Z20" s="448"/>
      <c r="AA20" s="435" t="s">
        <v>212</v>
      </c>
      <c r="AB20" s="267" t="s">
        <v>462</v>
      </c>
      <c r="AC20" s="437">
        <f>D208</f>
        <v>8.4626630321178418</v>
      </c>
      <c r="AD20" s="441" t="s">
        <v>15</v>
      </c>
      <c r="AE20" s="339"/>
    </row>
    <row r="21" spans="1:31" s="311" customFormat="1" ht="20.25" customHeight="1" thickBot="1" x14ac:dyDescent="0.2">
      <c r="A21" s="377"/>
      <c r="B21" s="378"/>
      <c r="C21" s="378"/>
      <c r="D21" s="380"/>
      <c r="E21" s="380"/>
      <c r="F21" s="380"/>
      <c r="G21" s="381"/>
      <c r="H21" s="343"/>
      <c r="I21" s="466" t="s">
        <v>100</v>
      </c>
      <c r="J21" s="467"/>
      <c r="K21" s="334">
        <v>79</v>
      </c>
      <c r="L21" s="327"/>
      <c r="M21" s="263"/>
      <c r="N21" s="281"/>
      <c r="O21" s="462"/>
      <c r="P21" s="496"/>
      <c r="Q21" s="354">
        <f>Q20/Q10*100</f>
        <v>70.5299638252623</v>
      </c>
      <c r="R21" s="361" t="s">
        <v>343</v>
      </c>
      <c r="S21" s="260"/>
      <c r="T21" s="448"/>
      <c r="U21" s="452" t="s">
        <v>33</v>
      </c>
      <c r="V21" s="266" t="s">
        <v>116</v>
      </c>
      <c r="W21" s="433">
        <f>D124</f>
        <v>16.679089799507121</v>
      </c>
      <c r="X21" s="439" t="s">
        <v>15</v>
      </c>
      <c r="Y21" s="260"/>
      <c r="Z21" s="448"/>
      <c r="AA21" s="436"/>
      <c r="AB21" s="367">
        <v>0.57999999999999996</v>
      </c>
      <c r="AC21" s="438"/>
      <c r="AD21" s="442"/>
      <c r="AE21" s="344"/>
    </row>
    <row r="22" spans="1:31" ht="20.25" customHeight="1" thickBot="1" x14ac:dyDescent="0.2">
      <c r="B22" s="479" t="s">
        <v>72</v>
      </c>
      <c r="C22" s="479"/>
      <c r="D22" s="383">
        <f>K16</f>
        <v>430</v>
      </c>
      <c r="H22" s="343"/>
      <c r="I22" s="280"/>
      <c r="J22" s="280"/>
      <c r="K22" s="329"/>
      <c r="L22" s="325"/>
      <c r="M22" s="293"/>
      <c r="N22" s="278"/>
      <c r="O22" s="262"/>
      <c r="P22" s="365"/>
      <c r="Q22" s="329"/>
      <c r="R22" s="262"/>
      <c r="S22" s="262"/>
      <c r="T22" s="449"/>
      <c r="U22" s="453"/>
      <c r="V22" s="367">
        <v>0.77300000000000002</v>
      </c>
      <c r="W22" s="434"/>
      <c r="X22" s="440"/>
      <c r="Y22" s="262"/>
      <c r="Z22" s="448"/>
      <c r="AA22" s="443" t="s">
        <v>476</v>
      </c>
      <c r="AB22" s="266" t="s">
        <v>462</v>
      </c>
      <c r="AC22" s="433">
        <f>D213</f>
        <v>29.005670885384845</v>
      </c>
      <c r="AD22" s="439" t="s">
        <v>15</v>
      </c>
      <c r="AE22" s="339"/>
    </row>
    <row r="23" spans="1:31" ht="20.25" customHeight="1" thickBot="1" x14ac:dyDescent="0.3">
      <c r="H23" s="343"/>
      <c r="I23" s="468" t="s">
        <v>464</v>
      </c>
      <c r="J23" s="469"/>
      <c r="K23" s="330" t="s">
        <v>75</v>
      </c>
      <c r="L23" s="325"/>
      <c r="M23" s="293"/>
      <c r="N23" s="278"/>
      <c r="O23" s="262"/>
      <c r="P23" s="365"/>
      <c r="Q23" s="329"/>
      <c r="R23" s="262"/>
      <c r="S23" s="262"/>
      <c r="T23" s="262"/>
      <c r="U23" s="348"/>
      <c r="V23" s="262"/>
      <c r="W23" s="262"/>
      <c r="X23" s="262"/>
      <c r="Y23" s="262"/>
      <c r="Z23" s="448"/>
      <c r="AA23" s="444"/>
      <c r="AB23" s="367">
        <v>0.31</v>
      </c>
      <c r="AC23" s="434"/>
      <c r="AD23" s="440"/>
      <c r="AE23" s="339"/>
    </row>
    <row r="24" spans="1:31" ht="18.75" customHeight="1" x14ac:dyDescent="0.15">
      <c r="B24" s="458" t="s">
        <v>101</v>
      </c>
      <c r="C24" s="378"/>
      <c r="H24" s="345"/>
      <c r="I24" s="301"/>
      <c r="J24" s="301"/>
      <c r="K24" s="275"/>
      <c r="L24" s="313"/>
      <c r="M24" s="293"/>
      <c r="N24" s="278"/>
      <c r="O24" s="460" t="s">
        <v>94</v>
      </c>
      <c r="P24" s="363" t="s">
        <v>23</v>
      </c>
      <c r="Q24" s="355">
        <f>IF($K$12="Pasto",3.9*D30^0.75,3.6*D30^0.75)</f>
        <v>334.0556975504249</v>
      </c>
      <c r="R24" s="361" t="s">
        <v>15</v>
      </c>
      <c r="S24" s="262"/>
      <c r="T24" s="447" t="s">
        <v>472</v>
      </c>
      <c r="U24" s="452" t="s">
        <v>37</v>
      </c>
      <c r="V24" s="266" t="s">
        <v>116</v>
      </c>
      <c r="W24" s="433">
        <f>D130</f>
        <v>73.329932205498878</v>
      </c>
      <c r="X24" s="439" t="s">
        <v>356</v>
      </c>
      <c r="Y24" s="262"/>
      <c r="Z24" s="448"/>
      <c r="AA24" s="435" t="s">
        <v>477</v>
      </c>
      <c r="AB24" s="267" t="s">
        <v>462</v>
      </c>
      <c r="AC24" s="437">
        <f>D218</f>
        <v>27.748794542769936</v>
      </c>
      <c r="AD24" s="441" t="s">
        <v>15</v>
      </c>
      <c r="AE24" s="339"/>
    </row>
    <row r="25" spans="1:31" ht="18.75" customHeight="1" x14ac:dyDescent="0.25">
      <c r="B25" s="458"/>
      <c r="C25" s="378"/>
      <c r="I25" s="258"/>
      <c r="J25" s="258"/>
      <c r="L25" s="293"/>
      <c r="M25" s="293"/>
      <c r="N25" s="278"/>
      <c r="O25" s="461"/>
      <c r="P25" s="364" t="s">
        <v>25</v>
      </c>
      <c r="Q25" s="356">
        <f>176.01*D43-0.381*D47^0.75*D43^1.035</f>
        <v>208.46292899452487</v>
      </c>
      <c r="R25" s="362" t="s">
        <v>15</v>
      </c>
      <c r="S25" s="262"/>
      <c r="T25" s="448"/>
      <c r="U25" s="453"/>
      <c r="V25" s="367">
        <v>0.73499999999999999</v>
      </c>
      <c r="W25" s="434"/>
      <c r="X25" s="440"/>
      <c r="Y25" s="262"/>
      <c r="Z25" s="448"/>
      <c r="AA25" s="436"/>
      <c r="AB25" s="367">
        <v>0.34</v>
      </c>
      <c r="AC25" s="438"/>
      <c r="AD25" s="442"/>
      <c r="AE25" s="339"/>
    </row>
    <row r="26" spans="1:31" ht="18.75" customHeight="1" x14ac:dyDescent="0.15">
      <c r="B26" s="458"/>
      <c r="L26" s="264"/>
      <c r="M26" s="264"/>
      <c r="N26" s="278"/>
      <c r="O26" s="461"/>
      <c r="P26" s="363" t="s">
        <v>24</v>
      </c>
      <c r="Q26" s="355">
        <f>Q25/IF(D30&lt;=340,84.665-0.1179*D47,47.4)*100</f>
        <v>439.79520884920856</v>
      </c>
      <c r="R26" s="361" t="s">
        <v>15</v>
      </c>
      <c r="S26" s="262"/>
      <c r="T26" s="448"/>
      <c r="U26" s="445" t="s">
        <v>35</v>
      </c>
      <c r="V26" s="267" t="s">
        <v>116</v>
      </c>
      <c r="W26" s="437">
        <f>D136</f>
        <v>6.7535532659292814</v>
      </c>
      <c r="X26" s="441" t="s">
        <v>356</v>
      </c>
      <c r="Y26" s="262"/>
      <c r="Z26" s="448"/>
      <c r="AA26" s="443" t="s">
        <v>478</v>
      </c>
      <c r="AB26" s="266" t="s">
        <v>462</v>
      </c>
      <c r="AC26" s="433">
        <f>D223</f>
        <v>4.8938014349683661</v>
      </c>
      <c r="AD26" s="439" t="s">
        <v>15</v>
      </c>
      <c r="AE26" s="339"/>
    </row>
    <row r="27" spans="1:31" ht="18.75" customHeight="1" x14ac:dyDescent="0.25">
      <c r="C27" s="378"/>
      <c r="L27" s="293"/>
      <c r="M27" s="293"/>
      <c r="N27" s="278"/>
      <c r="O27" s="461"/>
      <c r="P27" s="364" t="s">
        <v>22</v>
      </c>
      <c r="Q27" s="356">
        <f>Q26+Q24</f>
        <v>773.85090639963346</v>
      </c>
      <c r="R27" s="362" t="s">
        <v>15</v>
      </c>
      <c r="S27" s="262"/>
      <c r="T27" s="448"/>
      <c r="U27" s="446"/>
      <c r="V27" s="367">
        <v>0.86799999999999999</v>
      </c>
      <c r="W27" s="438"/>
      <c r="X27" s="442"/>
      <c r="Y27" s="262"/>
      <c r="Z27" s="448"/>
      <c r="AA27" s="444"/>
      <c r="AB27" s="367">
        <v>0.39</v>
      </c>
      <c r="AC27" s="434"/>
      <c r="AD27" s="440"/>
      <c r="AE27" s="339"/>
    </row>
    <row r="28" spans="1:31" ht="18.75" customHeight="1" x14ac:dyDescent="0.15">
      <c r="B28" s="458" t="s">
        <v>46</v>
      </c>
      <c r="C28" s="378" t="s">
        <v>78</v>
      </c>
      <c r="D28" s="384">
        <f>IF($K$7="Cruzado",IF($K$8="Leite",0.9247*K14^1.0085,0.8915*K14^1.0151),0.8915*K14^1.0151)</f>
        <v>410.18682052694555</v>
      </c>
      <c r="L28" s="264"/>
      <c r="M28" s="264"/>
      <c r="N28" s="278"/>
      <c r="O28" s="461"/>
      <c r="P28" s="363" t="s">
        <v>20</v>
      </c>
      <c r="Q28" s="355">
        <f>'PBmic Cresc e Term'!C102</f>
        <v>757.4287040082213</v>
      </c>
      <c r="R28" s="361" t="s">
        <v>15</v>
      </c>
      <c r="S28" s="262"/>
      <c r="T28" s="448"/>
      <c r="U28" s="452" t="s">
        <v>65</v>
      </c>
      <c r="V28" s="266" t="s">
        <v>116</v>
      </c>
      <c r="W28" s="433">
        <f>D142</f>
        <v>28.2817798339705</v>
      </c>
      <c r="X28" s="439" t="s">
        <v>356</v>
      </c>
      <c r="Y28" s="262"/>
      <c r="Z28" s="448"/>
      <c r="AA28" s="435" t="s">
        <v>479</v>
      </c>
      <c r="AB28" s="267" t="s">
        <v>462</v>
      </c>
      <c r="AC28" s="437">
        <f>D228</f>
        <v>30.136106027760835</v>
      </c>
      <c r="AD28" s="441" t="s">
        <v>15</v>
      </c>
      <c r="AE28" s="339"/>
    </row>
    <row r="29" spans="1:31" ht="18.75" customHeight="1" x14ac:dyDescent="0.25">
      <c r="B29" s="458"/>
      <c r="C29" s="378" t="s">
        <v>79</v>
      </c>
      <c r="D29" s="384">
        <f>IF($K$7="Cruzado",IF($K$8="Leite",0.9247*K15^1.0085,0.8915*K15^1.0151),0.8915*K15^1.0151)</f>
        <v>430.02148975348661</v>
      </c>
      <c r="L29" s="264"/>
      <c r="M29" s="264"/>
      <c r="N29" s="278"/>
      <c r="O29" s="461"/>
      <c r="P29" s="493" t="s">
        <v>18</v>
      </c>
      <c r="Q29" s="356">
        <f>Q28</f>
        <v>757.4287040082213</v>
      </c>
      <c r="R29" s="362" t="s">
        <v>15</v>
      </c>
      <c r="S29" s="262"/>
      <c r="T29" s="448"/>
      <c r="U29" s="453"/>
      <c r="V29" s="367">
        <v>0.78400000000000003</v>
      </c>
      <c r="W29" s="434"/>
      <c r="X29" s="440"/>
      <c r="Y29" s="262"/>
      <c r="Z29" s="449"/>
      <c r="AA29" s="436"/>
      <c r="AB29" s="367">
        <v>0.4</v>
      </c>
      <c r="AC29" s="438"/>
      <c r="AD29" s="442"/>
      <c r="AE29" s="339"/>
    </row>
    <row r="30" spans="1:31" ht="18.75" customHeight="1" x14ac:dyDescent="0.15">
      <c r="B30" s="458"/>
      <c r="C30" s="379" t="s">
        <v>81</v>
      </c>
      <c r="D30" s="385">
        <f>IF($K$7="Cruzado",IF($K$8="Leite",0.9247*K16^1.0085,0.8915*K16^1.0151),0.8915*K16^1.0151)</f>
        <v>420.10241368497736</v>
      </c>
      <c r="L30" s="259"/>
      <c r="M30" s="259"/>
      <c r="N30" s="278"/>
      <c r="O30" s="461"/>
      <c r="P30" s="494"/>
      <c r="Q30" s="351">
        <f>Q29/Q33*100</f>
        <v>67.700136570045913</v>
      </c>
      <c r="R30" s="362" t="s">
        <v>458</v>
      </c>
      <c r="S30" s="262"/>
      <c r="T30" s="448"/>
      <c r="U30" s="445" t="s">
        <v>39</v>
      </c>
      <c r="V30" s="267" t="s">
        <v>116</v>
      </c>
      <c r="W30" s="450">
        <f>D148</f>
        <v>1808.6535252328345</v>
      </c>
      <c r="X30" s="441" t="s">
        <v>356</v>
      </c>
      <c r="Y30" s="262"/>
      <c r="Z30" s="262"/>
      <c r="AA30" s="262"/>
      <c r="AB30" s="262"/>
      <c r="AC30" s="329"/>
      <c r="AD30" s="262"/>
      <c r="AE30" s="339"/>
    </row>
    <row r="31" spans="1:31" ht="18.75" customHeight="1" x14ac:dyDescent="0.15">
      <c r="C31" s="378"/>
      <c r="N31" s="278"/>
      <c r="O31" s="461"/>
      <c r="P31" s="495" t="s">
        <v>21</v>
      </c>
      <c r="Q31" s="355">
        <f>(Q27-(Q28*0.64))/0.8</f>
        <v>361.37066979296475</v>
      </c>
      <c r="R31" s="361" t="s">
        <v>15</v>
      </c>
      <c r="S31" s="262"/>
      <c r="T31" s="448"/>
      <c r="U31" s="446"/>
      <c r="V31" s="367">
        <v>0.73399999999999999</v>
      </c>
      <c r="W31" s="451"/>
      <c r="X31" s="442"/>
      <c r="Y31" s="262"/>
      <c r="Z31" s="460" t="s">
        <v>488</v>
      </c>
      <c r="AA31" s="443" t="s">
        <v>480</v>
      </c>
      <c r="AB31" s="266" t="s">
        <v>462</v>
      </c>
      <c r="AC31" s="433">
        <f>D233</f>
        <v>46.579414163535645</v>
      </c>
      <c r="AD31" s="439" t="s">
        <v>15</v>
      </c>
      <c r="AE31" s="339"/>
    </row>
    <row r="32" spans="1:31" ht="18.75" customHeight="1" x14ac:dyDescent="0.15">
      <c r="B32" s="458" t="s">
        <v>47</v>
      </c>
      <c r="C32" s="378" t="s">
        <v>12</v>
      </c>
      <c r="D32" s="384">
        <f>IF($K$10="Macho não castrado",0.8126*D30^1.0134,IF($K$10="macho castrado",0.6241*D30^1.0608,0.611*D30^1.0667))</f>
        <v>370.15613697473867</v>
      </c>
      <c r="N32" s="278"/>
      <c r="O32" s="461"/>
      <c r="P32" s="496"/>
      <c r="Q32" s="354">
        <f>Q31/Q33*100</f>
        <v>32.299863429954101</v>
      </c>
      <c r="R32" s="361" t="s">
        <v>458</v>
      </c>
      <c r="S32" s="262"/>
      <c r="T32" s="448"/>
      <c r="U32" s="452" t="s">
        <v>41</v>
      </c>
      <c r="V32" s="266" t="s">
        <v>116</v>
      </c>
      <c r="W32" s="454">
        <f>D154</f>
        <v>207.39494621759147</v>
      </c>
      <c r="X32" s="439" t="s">
        <v>356</v>
      </c>
      <c r="Y32" s="262"/>
      <c r="Z32" s="461"/>
      <c r="AA32" s="444"/>
      <c r="AB32" s="367">
        <v>0.35</v>
      </c>
      <c r="AC32" s="434"/>
      <c r="AD32" s="440"/>
      <c r="AE32" s="339"/>
    </row>
    <row r="33" spans="2:31" ht="18.75" customHeight="1" x14ac:dyDescent="0.15">
      <c r="B33" s="458"/>
      <c r="C33" s="378" t="s">
        <v>51</v>
      </c>
      <c r="D33" s="384">
        <f>IF($K$10="Macho não castrado",0.7248*D30^1.0314,IF($K$10="macho castrado",0.6586*D30^1.0499,0.6314*D30^1.0602))</f>
        <v>368.08380861788544</v>
      </c>
      <c r="N33" s="278"/>
      <c r="O33" s="461"/>
      <c r="P33" s="493" t="s">
        <v>14</v>
      </c>
      <c r="Q33" s="356">
        <f>Q31+Q29</f>
        <v>1118.799373801186</v>
      </c>
      <c r="R33" s="362" t="s">
        <v>15</v>
      </c>
      <c r="S33" s="262"/>
      <c r="T33" s="448"/>
      <c r="U33" s="453"/>
      <c r="V33" s="367">
        <v>0.439</v>
      </c>
      <c r="W33" s="455"/>
      <c r="X33" s="440"/>
      <c r="Y33" s="262"/>
      <c r="Z33" s="461"/>
      <c r="AA33" s="435" t="s">
        <v>481</v>
      </c>
      <c r="AB33" s="267" t="s">
        <v>462</v>
      </c>
      <c r="AC33" s="437">
        <f>D238</f>
        <v>62.492478988766969</v>
      </c>
      <c r="AD33" s="441" t="s">
        <v>15</v>
      </c>
      <c r="AE33" s="339"/>
    </row>
    <row r="34" spans="2:31" ht="18.75" customHeight="1" x14ac:dyDescent="0.15">
      <c r="B34" s="458"/>
      <c r="C34" s="379" t="s">
        <v>47</v>
      </c>
      <c r="D34" s="385">
        <f>IF($K$12="confinamento",IF($K$7="Zebuíno",D32,D33),0.8507*D30^1.0002)</f>
        <v>370.15613697473867</v>
      </c>
      <c r="N34" s="278"/>
      <c r="O34" s="462"/>
      <c r="P34" s="494"/>
      <c r="Q34" s="351">
        <f>(Q33/1000)/Q10*100</f>
        <v>11.720003837078227</v>
      </c>
      <c r="R34" s="362" t="s">
        <v>343</v>
      </c>
      <c r="S34" s="262"/>
      <c r="T34" s="448"/>
      <c r="U34" s="445" t="s">
        <v>66</v>
      </c>
      <c r="V34" s="267" t="s">
        <v>116</v>
      </c>
      <c r="W34" s="437">
        <f>D160</f>
        <v>2.9448198241066379</v>
      </c>
      <c r="X34" s="441" t="s">
        <v>356</v>
      </c>
      <c r="Y34" s="262"/>
      <c r="Z34" s="461"/>
      <c r="AA34" s="436"/>
      <c r="AB34" s="367">
        <v>0.26</v>
      </c>
      <c r="AC34" s="438"/>
      <c r="AD34" s="442"/>
      <c r="AE34" s="339"/>
    </row>
    <row r="35" spans="2:31" ht="18.75" customHeight="1" x14ac:dyDescent="0.15">
      <c r="C35" s="378"/>
      <c r="N35" s="278"/>
      <c r="O35" s="262"/>
      <c r="P35" s="348"/>
      <c r="Q35" s="329"/>
      <c r="R35" s="262"/>
      <c r="S35" s="262"/>
      <c r="T35" s="448"/>
      <c r="U35" s="446"/>
      <c r="V35" s="367">
        <v>0.497</v>
      </c>
      <c r="W35" s="438"/>
      <c r="X35" s="442"/>
      <c r="Y35" s="262"/>
      <c r="Z35" s="461"/>
      <c r="AA35" s="443" t="s">
        <v>482</v>
      </c>
      <c r="AB35" s="266" t="s">
        <v>462</v>
      </c>
      <c r="AC35" s="433">
        <f>D253</f>
        <v>38.438461811201726</v>
      </c>
      <c r="AD35" s="439" t="s">
        <v>15</v>
      </c>
      <c r="AE35" s="339"/>
    </row>
    <row r="36" spans="2:31" ht="18.75" customHeight="1" x14ac:dyDescent="0.15">
      <c r="B36" s="458" t="s">
        <v>102</v>
      </c>
      <c r="C36" s="378" t="s">
        <v>82</v>
      </c>
      <c r="D36" s="380">
        <f>IF($K$23=$B$9,-10.98,0)</f>
        <v>-10.98</v>
      </c>
      <c r="N36" s="278"/>
      <c r="O36" s="262"/>
      <c r="P36" s="349"/>
      <c r="Q36" s="357"/>
      <c r="S36" s="262"/>
      <c r="T36" s="448"/>
      <c r="U36" s="452" t="s">
        <v>43</v>
      </c>
      <c r="V36" s="266" t="s">
        <v>116</v>
      </c>
      <c r="W36" s="433">
        <f>D166</f>
        <v>5.3953865072349352</v>
      </c>
      <c r="X36" s="439" t="s">
        <v>356</v>
      </c>
      <c r="Y36" s="262"/>
      <c r="Z36" s="461"/>
      <c r="AA36" s="444"/>
      <c r="AB36" s="367">
        <v>0.18</v>
      </c>
      <c r="AC36" s="434"/>
      <c r="AD36" s="440"/>
      <c r="AE36" s="339"/>
    </row>
    <row r="37" spans="2:31" ht="18.75" customHeight="1" x14ac:dyDescent="0.15">
      <c r="B37" s="458"/>
      <c r="C37" s="378" t="s">
        <v>83</v>
      </c>
      <c r="D37" s="386">
        <f>IF($K$10="Macho não castrado",0.008169,IF($K$10="macho castrado",0,-0.00612))</f>
        <v>8.1689999999999992E-3</v>
      </c>
      <c r="N37" s="278"/>
      <c r="O37" s="447" t="s">
        <v>466</v>
      </c>
      <c r="P37" s="363" t="s">
        <v>467</v>
      </c>
      <c r="Q37" s="355">
        <f>D39</f>
        <v>231.17458983779446</v>
      </c>
      <c r="R37" s="361" t="s">
        <v>1</v>
      </c>
      <c r="S37" s="262"/>
      <c r="T37" s="448"/>
      <c r="U37" s="453"/>
      <c r="V37" s="367">
        <v>0.48699999999999999</v>
      </c>
      <c r="W37" s="434"/>
      <c r="X37" s="440"/>
      <c r="Y37" s="262"/>
      <c r="Z37" s="461"/>
      <c r="AA37" s="435" t="s">
        <v>483</v>
      </c>
      <c r="AB37" s="267" t="s">
        <v>462</v>
      </c>
      <c r="AC37" s="437">
        <f>D248</f>
        <v>46.849095337455587</v>
      </c>
      <c r="AD37" s="441" t="s">
        <v>15</v>
      </c>
      <c r="AE37" s="339"/>
    </row>
    <row r="38" spans="2:31" ht="18.75" customHeight="1" x14ac:dyDescent="0.15">
      <c r="B38" s="458"/>
      <c r="C38" s="378" t="s">
        <v>84</v>
      </c>
      <c r="D38" s="380">
        <f>IF($K$7="Cruzado",IF($K$8="Leite",-0.03301,-0.01595),0)</f>
        <v>0</v>
      </c>
      <c r="N38" s="278"/>
      <c r="O38" s="448"/>
      <c r="P38" s="364" t="s">
        <v>468</v>
      </c>
      <c r="Q38" s="356">
        <f>D40</f>
        <v>243.41593280966956</v>
      </c>
      <c r="R38" s="362" t="s">
        <v>1</v>
      </c>
      <c r="S38" s="262"/>
      <c r="T38" s="448"/>
      <c r="U38" s="445" t="s">
        <v>45</v>
      </c>
      <c r="V38" s="267" t="s">
        <v>116</v>
      </c>
      <c r="W38" s="450">
        <f>D172</f>
        <v>623.45382982357387</v>
      </c>
      <c r="X38" s="441" t="s">
        <v>356</v>
      </c>
      <c r="Y38" s="262"/>
      <c r="Z38" s="461"/>
      <c r="AA38" s="436"/>
      <c r="AB38" s="367">
        <v>0.67</v>
      </c>
      <c r="AC38" s="438"/>
      <c r="AD38" s="442"/>
      <c r="AE38" s="339"/>
    </row>
    <row r="39" spans="2:31" ht="18.75" customHeight="1" x14ac:dyDescent="0.15">
      <c r="B39" s="458"/>
      <c r="C39" s="378" t="s">
        <v>85</v>
      </c>
      <c r="D39" s="384">
        <f>-11+D36+((0.609+D37+D38)*D28)</f>
        <v>231.17458983779446</v>
      </c>
      <c r="N39" s="278"/>
      <c r="O39" s="449"/>
      <c r="P39" s="363" t="s">
        <v>469</v>
      </c>
      <c r="Q39" s="350">
        <f>D42</f>
        <v>0.91810072289063238</v>
      </c>
      <c r="R39" s="361" t="s">
        <v>1</v>
      </c>
      <c r="S39" s="262"/>
      <c r="T39" s="449"/>
      <c r="U39" s="446"/>
      <c r="V39" s="367">
        <v>0.66800000000000004</v>
      </c>
      <c r="W39" s="451"/>
      <c r="X39" s="442"/>
      <c r="Y39" s="262"/>
      <c r="Z39" s="461"/>
      <c r="AA39" s="443" t="s">
        <v>484</v>
      </c>
      <c r="AB39" s="266" t="s">
        <v>462</v>
      </c>
      <c r="AC39" s="433">
        <f>D253</f>
        <v>38.438461811201726</v>
      </c>
      <c r="AD39" s="439" t="s">
        <v>15</v>
      </c>
      <c r="AE39" s="339"/>
    </row>
    <row r="40" spans="2:31" ht="18.75" customHeight="1" x14ac:dyDescent="0.25">
      <c r="B40" s="458"/>
      <c r="C40" s="378" t="s">
        <v>86</v>
      </c>
      <c r="D40" s="384">
        <f>-11+D36+((0.609+D37+D38)*D29)</f>
        <v>243.41593280966956</v>
      </c>
      <c r="N40" s="278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461"/>
      <c r="AA40" s="444"/>
      <c r="AB40" s="367">
        <v>0.63</v>
      </c>
      <c r="AC40" s="434"/>
      <c r="AD40" s="440"/>
      <c r="AE40" s="339"/>
    </row>
    <row r="41" spans="2:31" ht="18.75" customHeight="1" x14ac:dyDescent="0.15">
      <c r="B41" s="458"/>
      <c r="C41" s="378" t="s">
        <v>74</v>
      </c>
      <c r="D41" s="384">
        <f>(K15-K14)/K18</f>
        <v>13.333333333333334</v>
      </c>
      <c r="N41" s="278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461"/>
      <c r="AA41" s="435" t="s">
        <v>485</v>
      </c>
      <c r="AB41" s="267" t="s">
        <v>462</v>
      </c>
      <c r="AC41" s="437">
        <f>D258</f>
        <v>37.859261127451241</v>
      </c>
      <c r="AD41" s="441" t="s">
        <v>15</v>
      </c>
      <c r="AE41" s="339"/>
    </row>
    <row r="42" spans="2:31" ht="18.75" customHeight="1" x14ac:dyDescent="0.25">
      <c r="B42" s="458"/>
      <c r="C42" s="378" t="s">
        <v>87</v>
      </c>
      <c r="D42" s="386">
        <f>(D40-D39)/D41</f>
        <v>0.91810072289063238</v>
      </c>
      <c r="N42" s="278"/>
      <c r="S42" s="262"/>
      <c r="T42" s="262"/>
      <c r="U42" s="262"/>
      <c r="V42" s="262"/>
      <c r="W42" s="262"/>
      <c r="X42" s="262"/>
      <c r="Y42" s="262"/>
      <c r="Z42" s="461"/>
      <c r="AA42" s="436"/>
      <c r="AB42" s="367">
        <v>0.43</v>
      </c>
      <c r="AC42" s="438"/>
      <c r="AD42" s="442"/>
      <c r="AE42" s="339"/>
    </row>
    <row r="43" spans="2:31" ht="18.75" customHeight="1" x14ac:dyDescent="0.15">
      <c r="B43" s="379"/>
      <c r="C43" s="379" t="s">
        <v>48</v>
      </c>
      <c r="D43" s="387">
        <f>0.963*K18^1.0151</f>
        <v>1.4533711137530432</v>
      </c>
      <c r="N43" s="278"/>
      <c r="S43" s="262"/>
      <c r="T43" s="262"/>
      <c r="U43" s="262"/>
      <c r="V43" s="262"/>
      <c r="W43" s="262"/>
      <c r="X43" s="262"/>
      <c r="Y43" s="262"/>
      <c r="Z43" s="461"/>
      <c r="AA43" s="443" t="s">
        <v>486</v>
      </c>
      <c r="AB43" s="266" t="s">
        <v>462</v>
      </c>
      <c r="AC43" s="433">
        <f>D263</f>
        <v>30.730209670646651</v>
      </c>
      <c r="AD43" s="439" t="s">
        <v>15</v>
      </c>
      <c r="AE43" s="339"/>
    </row>
    <row r="44" spans="2:31" ht="18.75" customHeight="1" x14ac:dyDescent="0.25">
      <c r="B44" s="458" t="s">
        <v>88</v>
      </c>
      <c r="C44" s="378" t="s">
        <v>12</v>
      </c>
      <c r="D44" s="384">
        <f>IF($K$10="Macho não castrado",(D34/517)*517,IF($K$10="macho castrado",(D34/433)*517,(D34/402)*517))</f>
        <v>370.15613697473867</v>
      </c>
      <c r="N44" s="278"/>
      <c r="S44" s="262"/>
      <c r="T44" s="262"/>
      <c r="U44" s="262"/>
      <c r="V44" s="262"/>
      <c r="W44" s="262"/>
      <c r="X44" s="262"/>
      <c r="Y44" s="262"/>
      <c r="Z44" s="461"/>
      <c r="AA44" s="444"/>
      <c r="AB44" s="367">
        <v>0.31</v>
      </c>
      <c r="AC44" s="434"/>
      <c r="AD44" s="440"/>
      <c r="AE44" s="339"/>
    </row>
    <row r="45" spans="2:31" ht="18.75" customHeight="1" x14ac:dyDescent="0.15">
      <c r="B45" s="458"/>
      <c r="C45" s="378" t="s">
        <v>89</v>
      </c>
      <c r="D45" s="384">
        <f>IF($K$10="Macho não castrado",(D34/560)*517,IF($K$10="macho castrado",(D34/482)*517,(D34/417)*517))</f>
        <v>341.73343359989269</v>
      </c>
      <c r="I45" s="258"/>
      <c r="J45" s="258"/>
      <c r="N45" s="278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461"/>
      <c r="AA45" s="435" t="s">
        <v>487</v>
      </c>
      <c r="AB45" s="267" t="s">
        <v>462</v>
      </c>
      <c r="AC45" s="437">
        <f>D268</f>
        <v>26.743565574242545</v>
      </c>
      <c r="AD45" s="441" t="s">
        <v>15</v>
      </c>
      <c r="AE45" s="339"/>
    </row>
    <row r="46" spans="2:31" ht="18.75" customHeight="1" x14ac:dyDescent="0.25">
      <c r="B46" s="458"/>
      <c r="C46" s="378" t="s">
        <v>90</v>
      </c>
      <c r="D46" s="384">
        <f>IF($K$10="Macho não castrado",(D34/616)*517,IF($K$10="macho castrado",(D34/532)*517,(D34/493)*517))</f>
        <v>310.66675781808425</v>
      </c>
      <c r="I46" s="258"/>
      <c r="J46" s="258"/>
      <c r="N46" s="278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462"/>
      <c r="AA46" s="436"/>
      <c r="AB46" s="367">
        <v>0.26</v>
      </c>
      <c r="AC46" s="438"/>
      <c r="AD46" s="442"/>
      <c r="AE46" s="339"/>
    </row>
    <row r="47" spans="2:31" ht="18.75" customHeight="1" thickBot="1" x14ac:dyDescent="0.3">
      <c r="B47" s="458"/>
      <c r="C47" s="379" t="s">
        <v>49</v>
      </c>
      <c r="D47" s="385">
        <f>IF($K$7="Zebuíno",D44,IF($K$8="corte",D45,D46))</f>
        <v>370.15613697473867</v>
      </c>
      <c r="H47" s="472" t="s">
        <v>387</v>
      </c>
      <c r="I47" s="472"/>
      <c r="J47" s="472"/>
      <c r="K47" s="472"/>
      <c r="L47" s="472"/>
      <c r="N47" s="375" t="s">
        <v>501</v>
      </c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346"/>
    </row>
    <row r="48" spans="2:31" x14ac:dyDescent="0.25">
      <c r="B48" s="379"/>
      <c r="C48" s="379" t="s">
        <v>0</v>
      </c>
      <c r="H48" s="270" t="s">
        <v>385</v>
      </c>
      <c r="I48" s="286"/>
      <c r="J48" s="322"/>
      <c r="K48" s="277"/>
      <c r="L48" s="323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</row>
    <row r="49" spans="2:12" x14ac:dyDescent="0.25">
      <c r="B49" s="458" t="s">
        <v>68</v>
      </c>
      <c r="C49" s="378" t="s">
        <v>8</v>
      </c>
      <c r="H49" s="271" t="s">
        <v>382</v>
      </c>
      <c r="I49" s="287"/>
      <c r="J49" s="287"/>
      <c r="K49" s="262"/>
      <c r="L49" s="302"/>
    </row>
    <row r="50" spans="2:12" x14ac:dyDescent="0.25">
      <c r="B50" s="458"/>
      <c r="C50" s="378" t="s">
        <v>91</v>
      </c>
      <c r="D50" s="388">
        <f>IF($K$7="Zebuíno",0.061*D47^0.75*D43^1.035,IF($K$8="corte",0.061*D47^0.75*D43^1.035,0.061*D47^0.75*D43^1.035))</f>
        <v>7.5801579132967003</v>
      </c>
      <c r="H50" s="271" t="s">
        <v>490</v>
      </c>
      <c r="I50" s="287"/>
      <c r="J50" s="287"/>
      <c r="K50" s="262"/>
      <c r="L50" s="302"/>
    </row>
    <row r="51" spans="2:12" x14ac:dyDescent="0.25">
      <c r="B51" s="458"/>
      <c r="C51" s="378" t="s">
        <v>92</v>
      </c>
      <c r="D51" s="388">
        <f>IF($K$7="Zebuíno",0.052*D47^0.75*D43^1.062,IF($K$8="corte",0.052*D47^0.75*D43^1.062,0.052*D47^0.75*D43^1.062))</f>
        <v>6.5273353835683983</v>
      </c>
      <c r="H51" s="271" t="s">
        <v>489</v>
      </c>
      <c r="I51" s="287"/>
      <c r="J51" s="287"/>
      <c r="K51" s="262"/>
      <c r="L51" s="302"/>
    </row>
    <row r="52" spans="2:12" x14ac:dyDescent="0.25">
      <c r="B52" s="458"/>
      <c r="C52" s="379" t="s">
        <v>52</v>
      </c>
      <c r="H52" s="271" t="s">
        <v>375</v>
      </c>
      <c r="I52" s="287"/>
      <c r="J52" s="287"/>
      <c r="K52" s="262"/>
      <c r="L52" s="302"/>
    </row>
    <row r="53" spans="2:12" x14ac:dyDescent="0.25">
      <c r="B53" s="458"/>
      <c r="C53" s="378" t="s">
        <v>7</v>
      </c>
      <c r="H53" s="271" t="s">
        <v>378</v>
      </c>
      <c r="I53" s="287"/>
      <c r="J53" s="287"/>
      <c r="K53" s="262"/>
      <c r="L53" s="302"/>
    </row>
    <row r="54" spans="2:12" ht="15" customHeight="1" x14ac:dyDescent="0.25">
      <c r="B54" s="458"/>
      <c r="C54" s="378" t="s">
        <v>53</v>
      </c>
      <c r="D54" s="388">
        <f>1.14*(Q15/D43)^-1.137</f>
        <v>0.17431420739554837</v>
      </c>
      <c r="H54" s="271" t="s">
        <v>491</v>
      </c>
      <c r="I54" s="287"/>
      <c r="J54" s="321"/>
      <c r="K54" s="262"/>
      <c r="L54" s="302"/>
    </row>
    <row r="55" spans="2:12" ht="15" customHeight="1" x14ac:dyDescent="0.25">
      <c r="B55" s="458"/>
      <c r="C55" s="378" t="s">
        <v>1</v>
      </c>
      <c r="D55" s="388">
        <f>0.327/(0.539+(1.14*(Q15/D43)^-1.137))</f>
        <v>0.45842350623288697</v>
      </c>
      <c r="H55" s="271" t="s">
        <v>373</v>
      </c>
      <c r="I55" s="287"/>
      <c r="J55" s="262"/>
      <c r="K55" s="262"/>
      <c r="L55" s="302"/>
    </row>
    <row r="56" spans="2:12" x14ac:dyDescent="0.25">
      <c r="B56" s="458"/>
      <c r="C56" s="378" t="s">
        <v>104</v>
      </c>
      <c r="D56" s="388">
        <f>IF($K$7="Cruzado",IF($K$8="corte",0.513+0.173*D55+0.073*D43,0.513+0.173*D55+0.01*D43),0.513+0.173*D55+0.1*D43)</f>
        <v>0.73764437795359383</v>
      </c>
      <c r="H56" s="269"/>
      <c r="I56" s="293"/>
      <c r="J56" s="287"/>
      <c r="K56" s="262"/>
      <c r="L56" s="302"/>
    </row>
    <row r="57" spans="2:12" x14ac:dyDescent="0.25">
      <c r="B57" s="458"/>
      <c r="C57" s="378" t="s">
        <v>105</v>
      </c>
      <c r="D57" s="388">
        <f>(0.513+0.173*D55+0.1*D43)*0.92</f>
        <v>0.67863282771730637</v>
      </c>
      <c r="H57" s="272" t="s">
        <v>370</v>
      </c>
      <c r="I57" s="288"/>
      <c r="J57" s="262"/>
      <c r="K57" s="262"/>
      <c r="L57" s="302"/>
    </row>
    <row r="58" spans="2:12" x14ac:dyDescent="0.25">
      <c r="B58" s="458"/>
      <c r="C58" s="379" t="s">
        <v>10</v>
      </c>
      <c r="D58" s="387">
        <f>IF($K$12="Pasto",D57,D56)</f>
        <v>0.73764437795359383</v>
      </c>
      <c r="H58" s="473" t="s">
        <v>514</v>
      </c>
      <c r="I58" s="474"/>
      <c r="J58" s="474"/>
      <c r="K58" s="474"/>
      <c r="L58" s="475"/>
    </row>
    <row r="59" spans="2:12" x14ac:dyDescent="0.25">
      <c r="B59" s="458"/>
      <c r="C59" s="378" t="s">
        <v>5</v>
      </c>
      <c r="H59" s="473"/>
      <c r="I59" s="474"/>
      <c r="J59" s="474"/>
      <c r="K59" s="474"/>
      <c r="L59" s="475"/>
    </row>
    <row r="60" spans="2:12" x14ac:dyDescent="0.25">
      <c r="B60" s="458"/>
      <c r="C60" s="378" t="s">
        <v>6</v>
      </c>
      <c r="H60" s="473"/>
      <c r="I60" s="474"/>
      <c r="J60" s="474"/>
      <c r="K60" s="474"/>
      <c r="L60" s="475"/>
    </row>
    <row r="61" spans="2:12" ht="15" customHeight="1" x14ac:dyDescent="0.25">
      <c r="B61" s="458"/>
      <c r="C61" s="378" t="s">
        <v>4</v>
      </c>
      <c r="H61" s="473"/>
      <c r="I61" s="474"/>
      <c r="J61" s="474"/>
      <c r="K61" s="474"/>
      <c r="L61" s="475"/>
    </row>
    <row r="62" spans="2:12" x14ac:dyDescent="0.25">
      <c r="B62" s="458"/>
      <c r="C62" s="378" t="s">
        <v>3</v>
      </c>
      <c r="D62" s="389">
        <f>(((Q19/Q10)+0.3032)/0.9455)*Q10</f>
        <v>29.624484259471085</v>
      </c>
      <c r="H62" s="473"/>
      <c r="I62" s="474"/>
      <c r="J62" s="474"/>
      <c r="K62" s="474"/>
      <c r="L62" s="475"/>
    </row>
    <row r="63" spans="2:12" x14ac:dyDescent="0.25">
      <c r="B63" s="458"/>
      <c r="C63" s="378" t="s">
        <v>2</v>
      </c>
      <c r="H63" s="473"/>
      <c r="I63" s="474"/>
      <c r="J63" s="474"/>
      <c r="K63" s="474"/>
      <c r="L63" s="475"/>
    </row>
    <row r="64" spans="2:12" x14ac:dyDescent="0.25">
      <c r="B64" s="458"/>
      <c r="C64" s="378" t="s">
        <v>93</v>
      </c>
      <c r="H64" s="272" t="s">
        <v>363</v>
      </c>
      <c r="I64" s="288"/>
      <c r="J64" s="262"/>
      <c r="K64" s="262"/>
      <c r="L64" s="302"/>
    </row>
    <row r="65" spans="2:12" x14ac:dyDescent="0.25">
      <c r="C65" s="378"/>
      <c r="H65" s="271" t="s">
        <v>362</v>
      </c>
      <c r="I65" s="287"/>
      <c r="J65" s="287"/>
      <c r="K65" s="262"/>
      <c r="L65" s="302"/>
    </row>
    <row r="66" spans="2:12" x14ac:dyDescent="0.25">
      <c r="B66" s="458" t="s">
        <v>94</v>
      </c>
      <c r="C66" s="378" t="s">
        <v>23</v>
      </c>
      <c r="H66" s="271" t="s">
        <v>361</v>
      </c>
      <c r="I66" s="287"/>
      <c r="J66" s="287"/>
      <c r="K66" s="262"/>
      <c r="L66" s="302"/>
    </row>
    <row r="67" spans="2:12" x14ac:dyDescent="0.25">
      <c r="B67" s="458"/>
      <c r="C67" s="378" t="s">
        <v>25</v>
      </c>
      <c r="H67" s="271" t="s">
        <v>358</v>
      </c>
      <c r="I67" s="287"/>
      <c r="J67" s="287"/>
      <c r="K67" s="262"/>
      <c r="L67" s="302"/>
    </row>
    <row r="68" spans="2:12" x14ac:dyDescent="0.25">
      <c r="B68" s="458"/>
      <c r="C68" s="378" t="s">
        <v>24</v>
      </c>
      <c r="H68" s="271" t="s">
        <v>357</v>
      </c>
      <c r="I68" s="287"/>
      <c r="J68" s="287"/>
      <c r="K68" s="262"/>
      <c r="L68" s="302"/>
    </row>
    <row r="69" spans="2:12" ht="15" thickBot="1" x14ac:dyDescent="0.3">
      <c r="B69" s="458"/>
      <c r="C69" s="378" t="s">
        <v>22</v>
      </c>
      <c r="H69" s="273" t="s">
        <v>492</v>
      </c>
      <c r="I69" s="289"/>
      <c r="J69" s="289"/>
      <c r="K69" s="282"/>
      <c r="L69" s="324"/>
    </row>
    <row r="70" spans="2:12" x14ac:dyDescent="0.25">
      <c r="B70" s="458"/>
      <c r="C70" s="378" t="s">
        <v>20</v>
      </c>
    </row>
    <row r="71" spans="2:12" x14ac:dyDescent="0.25">
      <c r="B71" s="458"/>
      <c r="C71" s="378" t="s">
        <v>62</v>
      </c>
      <c r="D71" s="384">
        <f>Q28/Q20</f>
        <v>112.49769847286704</v>
      </c>
    </row>
    <row r="72" spans="2:12" x14ac:dyDescent="0.25">
      <c r="B72" s="458"/>
      <c r="C72" s="378" t="s">
        <v>18</v>
      </c>
    </row>
    <row r="73" spans="2:12" x14ac:dyDescent="0.25">
      <c r="B73" s="458"/>
      <c r="C73" s="378" t="s">
        <v>21</v>
      </c>
    </row>
    <row r="74" spans="2:12" x14ac:dyDescent="0.25">
      <c r="B74" s="458"/>
      <c r="C74" s="378" t="s">
        <v>14</v>
      </c>
    </row>
    <row r="75" spans="2:12" x14ac:dyDescent="0.25">
      <c r="B75" s="458"/>
      <c r="C75" s="378" t="s">
        <v>95</v>
      </c>
    </row>
    <row r="76" spans="2:12" x14ac:dyDescent="0.25">
      <c r="B76" s="458"/>
      <c r="C76" s="378" t="s">
        <v>97</v>
      </c>
    </row>
    <row r="77" spans="2:12" x14ac:dyDescent="0.25">
      <c r="B77" s="458"/>
      <c r="C77" s="378" t="s">
        <v>96</v>
      </c>
    </row>
    <row r="78" spans="2:12" x14ac:dyDescent="0.25">
      <c r="C78" s="378"/>
    </row>
    <row r="79" spans="2:12" x14ac:dyDescent="0.25">
      <c r="B79" s="458" t="s">
        <v>73</v>
      </c>
      <c r="C79" s="378" t="s">
        <v>213</v>
      </c>
    </row>
    <row r="80" spans="2:12" x14ac:dyDescent="0.25">
      <c r="B80" s="458"/>
      <c r="C80" s="378" t="s">
        <v>214</v>
      </c>
      <c r="D80" s="389">
        <f>9.449+(0.19*(K16^0.75))+(0.271*$L$11)-(0.259*$L$12)+(0.489*Q10)</f>
        <v>32.058369310511793</v>
      </c>
    </row>
    <row r="81" spans="2:5" x14ac:dyDescent="0.25">
      <c r="C81" s="378"/>
    </row>
    <row r="82" spans="2:5" x14ac:dyDescent="0.25">
      <c r="C82" s="378"/>
    </row>
    <row r="83" spans="2:5" x14ac:dyDescent="0.25">
      <c r="B83" s="459" t="s">
        <v>107</v>
      </c>
      <c r="C83" s="390" t="s">
        <v>58</v>
      </c>
      <c r="D83" s="391">
        <f>11.7*K16/1000</f>
        <v>5.0309999999999997</v>
      </c>
    </row>
    <row r="84" spans="2:5" x14ac:dyDescent="0.25">
      <c r="B84" s="459"/>
      <c r="C84" s="390" t="s">
        <v>108</v>
      </c>
      <c r="D84" s="391">
        <f>IF(D34&lt;462,D43*(147*D34^-0.5),0)</f>
        <v>11.104560686724792</v>
      </c>
    </row>
    <row r="85" spans="2:5" x14ac:dyDescent="0.25">
      <c r="B85" s="459"/>
      <c r="C85" s="390" t="s">
        <v>109</v>
      </c>
      <c r="D85" s="391">
        <f>IF(D34&lt;453,D43*(66*D34^-0.32),0)</f>
        <v>14.455638345611236</v>
      </c>
    </row>
    <row r="86" spans="2:5" x14ac:dyDescent="0.25">
      <c r="B86" s="459"/>
      <c r="C86" s="390" t="s">
        <v>110</v>
      </c>
      <c r="D86" s="391">
        <f>IF($K$7="Cruzado",D85+D83,D84+D83)</f>
        <v>16.135560686724791</v>
      </c>
    </row>
    <row r="87" spans="2:5" x14ac:dyDescent="0.25">
      <c r="B87" s="459"/>
      <c r="C87" s="390" t="s">
        <v>106</v>
      </c>
    </row>
    <row r="88" spans="2:5" x14ac:dyDescent="0.25">
      <c r="B88" s="459"/>
      <c r="C88" s="392" t="s">
        <v>111</v>
      </c>
      <c r="D88" s="393">
        <f>D86/V11</f>
        <v>28.407677265360551</v>
      </c>
      <c r="E88" s="394"/>
    </row>
    <row r="89" spans="2:5" x14ac:dyDescent="0.25">
      <c r="B89" s="390"/>
      <c r="C89" s="390"/>
    </row>
    <row r="90" spans="2:5" x14ac:dyDescent="0.25">
      <c r="B90" s="459" t="s">
        <v>112</v>
      </c>
      <c r="C90" s="390" t="s">
        <v>59</v>
      </c>
      <c r="D90" s="391">
        <f>13.5*K16/1000</f>
        <v>5.8049999999999997</v>
      </c>
    </row>
    <row r="91" spans="2:5" x14ac:dyDescent="0.25">
      <c r="B91" s="459"/>
      <c r="C91" s="390" t="s">
        <v>113</v>
      </c>
      <c r="D91" s="391">
        <f>IF(D34&lt;445,D43*(38.6*D34^-0.36),0)</f>
        <v>6.6733706258059122</v>
      </c>
    </row>
    <row r="92" spans="2:5" x14ac:dyDescent="0.25">
      <c r="B92" s="459"/>
      <c r="C92" s="390" t="s">
        <v>114</v>
      </c>
      <c r="D92" s="395">
        <f>IF(D34&lt;479,D43*(25.4*D34^-0.25),0)</f>
        <v>8.4161603681859543</v>
      </c>
    </row>
    <row r="93" spans="2:5" x14ac:dyDescent="0.25">
      <c r="B93" s="459"/>
      <c r="C93" s="390" t="s">
        <v>115</v>
      </c>
      <c r="D93" s="391">
        <f>IF($K$7="Cruzado",D92+D90,D91+D90)</f>
        <v>12.478370625805912</v>
      </c>
    </row>
    <row r="94" spans="2:5" x14ac:dyDescent="0.25">
      <c r="B94" s="459"/>
      <c r="C94" s="390" t="s">
        <v>116</v>
      </c>
    </row>
    <row r="95" spans="2:5" x14ac:dyDescent="0.25">
      <c r="B95" s="459"/>
      <c r="C95" s="392" t="s">
        <v>117</v>
      </c>
      <c r="D95" s="393">
        <f>D93/V13</f>
        <v>18.404676439241758</v>
      </c>
      <c r="E95" s="396"/>
    </row>
    <row r="96" spans="2:5" x14ac:dyDescent="0.25">
      <c r="B96" s="392"/>
      <c r="C96" s="392"/>
    </row>
    <row r="97" spans="2:5" x14ac:dyDescent="0.25">
      <c r="B97" s="476" t="s">
        <v>118</v>
      </c>
      <c r="C97" s="476"/>
      <c r="D97" s="396">
        <f>D88/D95</f>
        <v>1.5435032155626909</v>
      </c>
      <c r="E97" s="391"/>
    </row>
    <row r="98" spans="2:5" x14ac:dyDescent="0.25">
      <c r="B98" s="390"/>
      <c r="C98" s="390"/>
    </row>
    <row r="99" spans="2:5" x14ac:dyDescent="0.25">
      <c r="B99" s="459" t="s">
        <v>119</v>
      </c>
      <c r="C99" s="390" t="s">
        <v>60</v>
      </c>
      <c r="D99" s="391">
        <f>K16*5.9/1000</f>
        <v>2.5369999999999999</v>
      </c>
    </row>
    <row r="100" spans="2:5" x14ac:dyDescent="0.25">
      <c r="B100" s="459"/>
      <c r="C100" s="390" t="s">
        <v>120</v>
      </c>
      <c r="D100" s="391">
        <f>D43*(0.3466*D34^0.0113)</f>
        <v>0.53855223499078864</v>
      </c>
    </row>
    <row r="101" spans="2:5" x14ac:dyDescent="0.25">
      <c r="B101" s="459"/>
      <c r="C101" s="390" t="s">
        <v>121</v>
      </c>
      <c r="D101" s="391">
        <f>D43*(1.0597*D34^-0.2386)</f>
        <v>0.37561489724777891</v>
      </c>
    </row>
    <row r="102" spans="2:5" x14ac:dyDescent="0.25">
      <c r="B102" s="459"/>
      <c r="C102" s="390" t="s">
        <v>122</v>
      </c>
      <c r="D102" s="391">
        <f>IF($K$7="Cruzado",D101+D99,D100+D99)</f>
        <v>3.0755522349907887</v>
      </c>
    </row>
    <row r="103" spans="2:5" x14ac:dyDescent="0.25">
      <c r="B103" s="459"/>
      <c r="C103" s="390" t="s">
        <v>116</v>
      </c>
    </row>
    <row r="104" spans="2:5" x14ac:dyDescent="0.25">
      <c r="B104" s="459"/>
      <c r="C104" s="392" t="s">
        <v>123</v>
      </c>
      <c r="D104" s="396">
        <f>D102/V16</f>
        <v>8.6635274225092651</v>
      </c>
      <c r="E104" s="397"/>
    </row>
    <row r="105" spans="2:5" x14ac:dyDescent="0.25">
      <c r="B105" s="390"/>
      <c r="C105" s="392"/>
    </row>
    <row r="106" spans="2:5" x14ac:dyDescent="0.25">
      <c r="B106" s="459" t="s">
        <v>124</v>
      </c>
      <c r="C106" s="390" t="s">
        <v>61</v>
      </c>
      <c r="D106" s="391">
        <f>K16*6.3/1000</f>
        <v>2.7090000000000001</v>
      </c>
    </row>
    <row r="107" spans="2:5" x14ac:dyDescent="0.25">
      <c r="B107" s="459"/>
      <c r="C107" s="390" t="s">
        <v>125</v>
      </c>
      <c r="D107" s="391">
        <f>D43*(5.594*D34^-0.2998)</f>
        <v>1.3806931715490394</v>
      </c>
    </row>
    <row r="108" spans="2:5" x14ac:dyDescent="0.25">
      <c r="B108" s="459"/>
      <c r="C108" s="390" t="s">
        <v>126</v>
      </c>
      <c r="D108" s="395">
        <f>D43*(1.977*D34^-0.058)</f>
        <v>2.0389983116327297</v>
      </c>
    </row>
    <row r="109" spans="2:5" x14ac:dyDescent="0.25">
      <c r="B109" s="459"/>
      <c r="C109" s="390" t="s">
        <v>127</v>
      </c>
      <c r="D109" s="391">
        <f>IF($K$7="Cruzado",D108+D106,D107+D106)</f>
        <v>4.0896931715490394</v>
      </c>
    </row>
    <row r="110" spans="2:5" x14ac:dyDescent="0.25">
      <c r="B110" s="459"/>
      <c r="C110" s="390" t="s">
        <v>116</v>
      </c>
    </row>
    <row r="111" spans="2:5" x14ac:dyDescent="0.25">
      <c r="B111" s="459"/>
      <c r="C111" s="392" t="s">
        <v>128</v>
      </c>
      <c r="D111" s="396">
        <f>D109/V18</f>
        <v>11.023431729242693</v>
      </c>
    </row>
    <row r="112" spans="2:5" x14ac:dyDescent="0.25">
      <c r="B112" s="390"/>
      <c r="C112" s="392"/>
    </row>
    <row r="113" spans="2:5" x14ac:dyDescent="0.25">
      <c r="B113" s="459" t="s">
        <v>129</v>
      </c>
      <c r="C113" s="390" t="s">
        <v>130</v>
      </c>
      <c r="D113" s="391">
        <f>K16*23.5/1000</f>
        <v>10.105</v>
      </c>
    </row>
    <row r="114" spans="2:5" x14ac:dyDescent="0.25">
      <c r="B114" s="459"/>
      <c r="C114" s="390" t="s">
        <v>131</v>
      </c>
      <c r="D114" s="391">
        <f>D43*(0.9463*D34^0.1216)</f>
        <v>2.8230656303880353</v>
      </c>
    </row>
    <row r="115" spans="2:5" x14ac:dyDescent="0.25">
      <c r="B115" s="459"/>
      <c r="C115" s="390" t="s">
        <v>132</v>
      </c>
      <c r="D115" s="391">
        <f>D43*(0.3418*D34^0.32)</f>
        <v>3.2963382344561651</v>
      </c>
    </row>
    <row r="116" spans="2:5" x14ac:dyDescent="0.25">
      <c r="B116" s="459"/>
      <c r="C116" s="390" t="s">
        <v>133</v>
      </c>
      <c r="D116" s="391">
        <f>IF($K$7="Cruzado",D115+D113,D114+D113)</f>
        <v>12.928065630388035</v>
      </c>
    </row>
    <row r="117" spans="2:5" x14ac:dyDescent="0.25">
      <c r="B117" s="459"/>
      <c r="C117" s="390" t="s">
        <v>116</v>
      </c>
    </row>
    <row r="118" spans="2:5" x14ac:dyDescent="0.25">
      <c r="B118" s="459"/>
      <c r="C118" s="392" t="s">
        <v>134</v>
      </c>
      <c r="D118" s="396">
        <f>D116/V20</f>
        <v>26.710879401628173</v>
      </c>
      <c r="E118" s="398"/>
    </row>
    <row r="119" spans="2:5" x14ac:dyDescent="0.25">
      <c r="B119" s="390"/>
      <c r="C119" s="392"/>
    </row>
    <row r="120" spans="2:5" x14ac:dyDescent="0.25">
      <c r="B120" s="459" t="s">
        <v>32</v>
      </c>
      <c r="C120" s="390" t="s">
        <v>135</v>
      </c>
      <c r="D120" s="391">
        <f>K16*10.4/1000</f>
        <v>4.4720000000000004</v>
      </c>
    </row>
    <row r="121" spans="2:5" x14ac:dyDescent="0.25">
      <c r="B121" s="459"/>
      <c r="C121" s="390" t="s">
        <v>138</v>
      </c>
      <c r="D121" s="391">
        <f>D43*(0.03*D34^0.89)</f>
        <v>8.4209364150190034</v>
      </c>
    </row>
    <row r="122" spans="2:5" x14ac:dyDescent="0.25">
      <c r="B122" s="459"/>
      <c r="C122" s="390" t="s">
        <v>136</v>
      </c>
      <c r="D122" s="391">
        <f>D121+D120</f>
        <v>12.892936415019005</v>
      </c>
    </row>
    <row r="123" spans="2:5" x14ac:dyDescent="0.25">
      <c r="B123" s="459"/>
      <c r="C123" s="390" t="s">
        <v>116</v>
      </c>
    </row>
    <row r="124" spans="2:5" x14ac:dyDescent="0.25">
      <c r="B124" s="459"/>
      <c r="C124" s="392" t="s">
        <v>137</v>
      </c>
      <c r="D124" s="396">
        <f>D122/V22</f>
        <v>16.679089799507121</v>
      </c>
      <c r="E124" s="396"/>
    </row>
    <row r="125" spans="2:5" x14ac:dyDescent="0.25">
      <c r="B125" s="390"/>
      <c r="C125" s="392"/>
    </row>
    <row r="126" spans="2:5" x14ac:dyDescent="0.25">
      <c r="B126" s="459" t="s">
        <v>36</v>
      </c>
      <c r="C126" s="390" t="s">
        <v>139</v>
      </c>
      <c r="D126" s="391">
        <f>K16*95.6/1000</f>
        <v>41.107999999999997</v>
      </c>
    </row>
    <row r="127" spans="2:5" x14ac:dyDescent="0.25">
      <c r="B127" s="459"/>
      <c r="C127" s="390" t="s">
        <v>140</v>
      </c>
      <c r="D127" s="391">
        <f>D43*(1.25*D34^0.33)</f>
        <v>12.789500171041677</v>
      </c>
    </row>
    <row r="128" spans="2:5" x14ac:dyDescent="0.25">
      <c r="B128" s="459"/>
      <c r="C128" s="390" t="s">
        <v>141</v>
      </c>
      <c r="D128" s="391">
        <f>D127+D126</f>
        <v>53.897500171041671</v>
      </c>
    </row>
    <row r="129" spans="2:10" x14ac:dyDescent="0.25">
      <c r="B129" s="459"/>
      <c r="C129" s="390" t="s">
        <v>116</v>
      </c>
    </row>
    <row r="130" spans="2:10" x14ac:dyDescent="0.25">
      <c r="B130" s="459"/>
      <c r="C130" s="392" t="s">
        <v>142</v>
      </c>
      <c r="D130" s="396">
        <f>D128/V25</f>
        <v>73.329932205498878</v>
      </c>
      <c r="E130" s="396"/>
    </row>
    <row r="131" spans="2:10" x14ac:dyDescent="0.25">
      <c r="B131" s="390"/>
      <c r="C131" s="392"/>
    </row>
    <row r="132" spans="2:10" x14ac:dyDescent="0.25">
      <c r="B132" s="459" t="s">
        <v>34</v>
      </c>
      <c r="C132" s="390" t="s">
        <v>143</v>
      </c>
      <c r="D132" s="391">
        <f>K16*13.5/1000</f>
        <v>5.8049999999999997</v>
      </c>
    </row>
    <row r="133" spans="2:10" x14ac:dyDescent="0.25">
      <c r="B133" s="459"/>
      <c r="C133" s="390" t="s">
        <v>144</v>
      </c>
      <c r="D133" s="391">
        <f>D43*(0.045*D34^-0.023)</f>
        <v>5.7084234826616898E-2</v>
      </c>
      <c r="I133" s="258"/>
      <c r="J133" s="258"/>
    </row>
    <row r="134" spans="2:10" x14ac:dyDescent="0.25">
      <c r="B134" s="459"/>
      <c r="C134" s="390" t="s">
        <v>145</v>
      </c>
      <c r="D134" s="391">
        <f>D133+D132</f>
        <v>5.8620842348266162</v>
      </c>
    </row>
    <row r="135" spans="2:10" x14ac:dyDescent="0.25">
      <c r="B135" s="459"/>
      <c r="C135" s="390" t="s">
        <v>116</v>
      </c>
    </row>
    <row r="136" spans="2:10" x14ac:dyDescent="0.25">
      <c r="B136" s="459"/>
      <c r="C136" s="392" t="s">
        <v>146</v>
      </c>
      <c r="D136" s="396">
        <f>D134/V27</f>
        <v>6.7535532659292814</v>
      </c>
    </row>
    <row r="137" spans="2:10" x14ac:dyDescent="0.25">
      <c r="B137" s="390"/>
      <c r="C137" s="390"/>
    </row>
    <row r="138" spans="2:10" x14ac:dyDescent="0.25">
      <c r="B138" s="459" t="s">
        <v>64</v>
      </c>
      <c r="C138" s="390" t="s">
        <v>147</v>
      </c>
      <c r="D138" s="391">
        <f>K16*22.9/1000</f>
        <v>9.8469999999999995</v>
      </c>
    </row>
    <row r="139" spans="2:10" x14ac:dyDescent="0.25">
      <c r="B139" s="459"/>
      <c r="C139" s="390" t="s">
        <v>148</v>
      </c>
      <c r="D139" s="391">
        <f>D43*(0.23*D34^0.61)</f>
        <v>12.325915389832874</v>
      </c>
    </row>
    <row r="140" spans="2:10" x14ac:dyDescent="0.25">
      <c r="B140" s="459"/>
      <c r="C140" s="390" t="s">
        <v>149</v>
      </c>
      <c r="D140" s="391">
        <f>D139+D138</f>
        <v>22.172915389832873</v>
      </c>
    </row>
    <row r="141" spans="2:10" x14ac:dyDescent="0.25">
      <c r="B141" s="459"/>
      <c r="C141" s="390" t="s">
        <v>116</v>
      </c>
    </row>
    <row r="142" spans="2:10" x14ac:dyDescent="0.25">
      <c r="B142" s="459"/>
      <c r="C142" s="392" t="s">
        <v>150</v>
      </c>
      <c r="D142" s="396">
        <f>D140/V29</f>
        <v>28.2817798339705</v>
      </c>
      <c r="E142" s="397"/>
    </row>
    <row r="143" spans="2:10" x14ac:dyDescent="0.25">
      <c r="B143" s="390"/>
      <c r="C143" s="390"/>
    </row>
    <row r="144" spans="2:10" x14ac:dyDescent="0.25">
      <c r="B144" s="459" t="s">
        <v>38</v>
      </c>
      <c r="C144" s="390" t="s">
        <v>151</v>
      </c>
      <c r="D144" s="394">
        <f>K16*2942/1000</f>
        <v>1265.06</v>
      </c>
    </row>
    <row r="145" spans="2:5" x14ac:dyDescent="0.25">
      <c r="B145" s="459"/>
      <c r="C145" s="390" t="s">
        <v>152</v>
      </c>
      <c r="D145" s="395">
        <f>D43*(10.4*D34^0.24)</f>
        <v>62.491687520900506</v>
      </c>
    </row>
    <row r="146" spans="2:5" x14ac:dyDescent="0.25">
      <c r="B146" s="459"/>
      <c r="C146" s="390" t="s">
        <v>153</v>
      </c>
      <c r="D146" s="394">
        <f>D145+D144</f>
        <v>1327.5516875209005</v>
      </c>
    </row>
    <row r="147" spans="2:5" x14ac:dyDescent="0.25">
      <c r="B147" s="459"/>
      <c r="C147" s="390" t="s">
        <v>116</v>
      </c>
    </row>
    <row r="148" spans="2:5" x14ac:dyDescent="0.25">
      <c r="B148" s="459"/>
      <c r="C148" s="392" t="s">
        <v>154</v>
      </c>
      <c r="D148" s="399">
        <f>D146/V31</f>
        <v>1808.6535252328345</v>
      </c>
      <c r="E148" s="397"/>
    </row>
    <row r="149" spans="2:5" x14ac:dyDescent="0.25">
      <c r="B149" s="390"/>
      <c r="C149" s="390"/>
    </row>
    <row r="150" spans="2:5" x14ac:dyDescent="0.25">
      <c r="B150" s="459" t="s">
        <v>40</v>
      </c>
      <c r="C150" s="390" t="s">
        <v>155</v>
      </c>
      <c r="D150" s="394">
        <f>K16*184.9/1000</f>
        <v>79.507000000000005</v>
      </c>
    </row>
    <row r="151" spans="2:5" x14ac:dyDescent="0.25">
      <c r="B151" s="459"/>
      <c r="C151" s="390" t="s">
        <v>156</v>
      </c>
      <c r="D151" s="395">
        <f>D43*(0.07*D34^0.8)</f>
        <v>11.539381389522653</v>
      </c>
    </row>
    <row r="152" spans="2:5" x14ac:dyDescent="0.25">
      <c r="B152" s="459"/>
      <c r="C152" s="390" t="s">
        <v>157</v>
      </c>
      <c r="D152" s="394">
        <f>D151+D150</f>
        <v>91.046381389522651</v>
      </c>
    </row>
    <row r="153" spans="2:5" x14ac:dyDescent="0.25">
      <c r="B153" s="459"/>
      <c r="C153" s="390" t="s">
        <v>116</v>
      </c>
    </row>
    <row r="154" spans="2:5" x14ac:dyDescent="0.25">
      <c r="B154" s="459"/>
      <c r="C154" s="392" t="s">
        <v>158</v>
      </c>
      <c r="D154" s="393">
        <f>D152/V33</f>
        <v>207.39494621759147</v>
      </c>
      <c r="E154" s="397"/>
    </row>
    <row r="155" spans="2:5" x14ac:dyDescent="0.25">
      <c r="B155" s="390"/>
      <c r="C155" s="390"/>
    </row>
    <row r="156" spans="2:5" x14ac:dyDescent="0.25">
      <c r="B156" s="459" t="s">
        <v>63</v>
      </c>
      <c r="C156" s="390" t="s">
        <v>159</v>
      </c>
      <c r="D156" s="391">
        <f>K16*3.27/1000</f>
        <v>1.4060999999999999</v>
      </c>
    </row>
    <row r="157" spans="2:5" x14ac:dyDescent="0.25">
      <c r="B157" s="459"/>
      <c r="C157" s="390" t="s">
        <v>160</v>
      </c>
      <c r="D157" s="391">
        <f>D43*(0.0035*D34^0.41)</f>
        <v>5.747545258099903E-2</v>
      </c>
    </row>
    <row r="158" spans="2:5" x14ac:dyDescent="0.25">
      <c r="B158" s="459"/>
      <c r="C158" s="390" t="s">
        <v>161</v>
      </c>
      <c r="D158" s="391">
        <f>D157+D156</f>
        <v>1.463575452580999</v>
      </c>
    </row>
    <row r="159" spans="2:5" x14ac:dyDescent="0.25">
      <c r="B159" s="459"/>
      <c r="C159" s="390" t="s">
        <v>116</v>
      </c>
    </row>
    <row r="160" spans="2:5" x14ac:dyDescent="0.25">
      <c r="B160" s="459"/>
      <c r="C160" s="392" t="s">
        <v>162</v>
      </c>
      <c r="D160" s="396">
        <f>D158/V35</f>
        <v>2.9448198241066379</v>
      </c>
      <c r="E160" s="397"/>
    </row>
    <row r="161" spans="2:5" x14ac:dyDescent="0.25">
      <c r="B161" s="390"/>
      <c r="C161" s="390"/>
    </row>
    <row r="162" spans="2:5" x14ac:dyDescent="0.25">
      <c r="B162" s="459" t="s">
        <v>42</v>
      </c>
      <c r="C162" s="390" t="s">
        <v>163</v>
      </c>
      <c r="D162" s="391">
        <f>K16*3.72/1000</f>
        <v>1.5996000000000001</v>
      </c>
    </row>
    <row r="163" spans="2:5" x14ac:dyDescent="0.25">
      <c r="B163" s="459"/>
      <c r="C163" s="390" t="s">
        <v>164</v>
      </c>
      <c r="D163" s="391">
        <f>D43*(1.07*D34^-0.07)</f>
        <v>1.0279532290234135</v>
      </c>
    </row>
    <row r="164" spans="2:5" x14ac:dyDescent="0.25">
      <c r="B164" s="459"/>
      <c r="C164" s="390" t="s">
        <v>165</v>
      </c>
      <c r="D164" s="391">
        <f>D163+D162</f>
        <v>2.6275532290234134</v>
      </c>
    </row>
    <row r="165" spans="2:5" x14ac:dyDescent="0.25">
      <c r="B165" s="459"/>
      <c r="C165" s="390" t="s">
        <v>116</v>
      </c>
    </row>
    <row r="166" spans="2:5" x14ac:dyDescent="0.25">
      <c r="B166" s="459"/>
      <c r="C166" s="392" t="s">
        <v>166</v>
      </c>
      <c r="D166" s="396">
        <f>D164/V37</f>
        <v>5.3953865072349352</v>
      </c>
    </row>
    <row r="167" spans="2:5" x14ac:dyDescent="0.25">
      <c r="B167" s="390"/>
      <c r="C167" s="390"/>
    </row>
    <row r="168" spans="2:5" x14ac:dyDescent="0.25">
      <c r="B168" s="459" t="s">
        <v>44</v>
      </c>
      <c r="C168" s="390" t="s">
        <v>167</v>
      </c>
      <c r="D168" s="391">
        <f>K16*334.4/1000</f>
        <v>143.792</v>
      </c>
    </row>
    <row r="169" spans="2:5" x14ac:dyDescent="0.25">
      <c r="B169" s="459"/>
      <c r="C169" s="390" t="s">
        <v>168</v>
      </c>
      <c r="D169" s="391">
        <f>D43*(1.16*D34^0.86)</f>
        <v>272.67515832214741</v>
      </c>
    </row>
    <row r="170" spans="2:5" x14ac:dyDescent="0.25">
      <c r="B170" s="459"/>
      <c r="C170" s="390" t="s">
        <v>169</v>
      </c>
      <c r="D170" s="391">
        <f>D169+D168</f>
        <v>416.46715832214738</v>
      </c>
    </row>
    <row r="171" spans="2:5" x14ac:dyDescent="0.25">
      <c r="B171" s="459"/>
      <c r="C171" s="390" t="s">
        <v>116</v>
      </c>
    </row>
    <row r="172" spans="2:5" x14ac:dyDescent="0.25">
      <c r="B172" s="459"/>
      <c r="C172" s="392" t="s">
        <v>170</v>
      </c>
      <c r="D172" s="399">
        <f>D170/V39</f>
        <v>623.45382982357387</v>
      </c>
      <c r="E172" s="377"/>
    </row>
    <row r="173" spans="2:5" x14ac:dyDescent="0.25">
      <c r="C173" s="378"/>
    </row>
    <row r="174" spans="2:5" x14ac:dyDescent="0.25">
      <c r="B174" s="463" t="s">
        <v>72</v>
      </c>
      <c r="C174" s="463"/>
      <c r="D174" s="394">
        <f>K16</f>
        <v>430</v>
      </c>
    </row>
    <row r="175" spans="2:5" x14ac:dyDescent="0.25">
      <c r="B175" s="463" t="s">
        <v>69</v>
      </c>
      <c r="C175" s="463"/>
      <c r="D175" s="395">
        <f>K18</f>
        <v>1.5</v>
      </c>
      <c r="E175" s="391"/>
    </row>
    <row r="176" spans="2:5" x14ac:dyDescent="0.25">
      <c r="B176" s="392"/>
      <c r="C176" s="392"/>
    </row>
    <row r="177" spans="2:5" x14ac:dyDescent="0.25">
      <c r="C177" s="378"/>
    </row>
    <row r="178" spans="2:5" x14ac:dyDescent="0.25">
      <c r="B178" s="378" t="s">
        <v>14</v>
      </c>
      <c r="C178" s="378" t="s">
        <v>172</v>
      </c>
      <c r="D178" s="384">
        <f>313.1*D34^-0.1058</f>
        <v>167.47421062924658</v>
      </c>
      <c r="E178" s="384"/>
    </row>
    <row r="179" spans="2:5" x14ac:dyDescent="0.25">
      <c r="C179" s="378"/>
    </row>
    <row r="180" spans="2:5" x14ac:dyDescent="0.25">
      <c r="B180" s="458" t="s">
        <v>173</v>
      </c>
      <c r="C180" s="378" t="s">
        <v>172</v>
      </c>
      <c r="D180" s="384">
        <f>30.8*D34^-0.1631</f>
        <v>11.739433241837544</v>
      </c>
    </row>
    <row r="181" spans="2:5" x14ac:dyDescent="0.25">
      <c r="B181" s="458"/>
      <c r="C181" s="378" t="s">
        <v>15</v>
      </c>
      <c r="D181" s="384">
        <f>D180*D43</f>
        <v>17.06175316551893</v>
      </c>
    </row>
    <row r="182" spans="2:5" x14ac:dyDescent="0.25">
      <c r="B182" s="458"/>
      <c r="C182" s="378" t="s">
        <v>174</v>
      </c>
    </row>
    <row r="183" spans="2:5" x14ac:dyDescent="0.25">
      <c r="B183" s="458"/>
      <c r="C183" s="378" t="s">
        <v>175</v>
      </c>
      <c r="D183" s="388">
        <f>D181/AB11</f>
        <v>30.467416366998087</v>
      </c>
    </row>
    <row r="184" spans="2:5" x14ac:dyDescent="0.25">
      <c r="C184" s="378"/>
    </row>
    <row r="185" spans="2:5" x14ac:dyDescent="0.25">
      <c r="B185" s="458" t="s">
        <v>176</v>
      </c>
      <c r="C185" s="378" t="s">
        <v>172</v>
      </c>
      <c r="D185" s="384">
        <f>3.69*D34^0.0556</f>
        <v>5.1265898059634054</v>
      </c>
    </row>
    <row r="186" spans="2:5" x14ac:dyDescent="0.25">
      <c r="B186" s="458"/>
      <c r="C186" s="378" t="s">
        <v>15</v>
      </c>
      <c r="D186" s="384">
        <f>D185*D43</f>
        <v>7.4508375360480317</v>
      </c>
    </row>
    <row r="187" spans="2:5" x14ac:dyDescent="0.25">
      <c r="B187" s="458"/>
      <c r="C187" s="378" t="s">
        <v>174</v>
      </c>
    </row>
    <row r="188" spans="2:5" x14ac:dyDescent="0.25">
      <c r="B188" s="458"/>
      <c r="C188" s="378" t="s">
        <v>177</v>
      </c>
      <c r="D188" s="388">
        <f>D186/AB13</f>
        <v>12.017479896851665</v>
      </c>
    </row>
    <row r="189" spans="2:5" x14ac:dyDescent="0.25">
      <c r="C189" s="378"/>
    </row>
    <row r="190" spans="2:5" x14ac:dyDescent="0.25">
      <c r="B190" s="458" t="s">
        <v>178</v>
      </c>
      <c r="C190" s="378" t="s">
        <v>172</v>
      </c>
      <c r="D190" s="384">
        <f>9.56*D34^-0.0631</f>
        <v>6.5825293116210766</v>
      </c>
    </row>
    <row r="191" spans="2:5" x14ac:dyDescent="0.25">
      <c r="B191" s="458"/>
      <c r="C191" s="378" t="s">
        <v>15</v>
      </c>
      <c r="D191" s="384">
        <f>D190*D43</f>
        <v>9.5668579569427763</v>
      </c>
    </row>
    <row r="192" spans="2:5" x14ac:dyDescent="0.25">
      <c r="B192" s="458"/>
      <c r="C192" s="378" t="s">
        <v>174</v>
      </c>
    </row>
    <row r="193" spans="2:5" x14ac:dyDescent="0.25">
      <c r="B193" s="458"/>
      <c r="C193" s="378" t="s">
        <v>179</v>
      </c>
      <c r="D193" s="388">
        <f>D191/AB15</f>
        <v>31.889526523142589</v>
      </c>
      <c r="E193" s="388"/>
    </row>
    <row r="194" spans="2:5" x14ac:dyDescent="0.25">
      <c r="C194" s="378"/>
    </row>
    <row r="195" spans="2:5" x14ac:dyDescent="0.25">
      <c r="B195" s="458" t="s">
        <v>180</v>
      </c>
      <c r="C195" s="378" t="s">
        <v>172</v>
      </c>
      <c r="D195" s="384">
        <f>21.5*D34^-0.0997</f>
        <v>11.922586445246985</v>
      </c>
    </row>
    <row r="196" spans="2:5" x14ac:dyDescent="0.25">
      <c r="B196" s="458"/>
      <c r="C196" s="378" t="s">
        <v>15</v>
      </c>
      <c r="D196" s="384">
        <f>D195*D43</f>
        <v>17.327942740745545</v>
      </c>
    </row>
    <row r="197" spans="2:5" x14ac:dyDescent="0.25">
      <c r="B197" s="458"/>
      <c r="C197" s="378" t="s">
        <v>174</v>
      </c>
    </row>
    <row r="198" spans="2:5" x14ac:dyDescent="0.25">
      <c r="B198" s="458"/>
      <c r="C198" s="378" t="s">
        <v>183</v>
      </c>
      <c r="D198" s="388">
        <f>D196/AB17</f>
        <v>57.759809135818486</v>
      </c>
      <c r="E198" s="388"/>
    </row>
    <row r="199" spans="2:5" x14ac:dyDescent="0.25">
      <c r="C199" s="378"/>
    </row>
    <row r="200" spans="2:5" x14ac:dyDescent="0.25">
      <c r="B200" s="458" t="s">
        <v>181</v>
      </c>
      <c r="C200" s="378" t="s">
        <v>172</v>
      </c>
      <c r="D200" s="384">
        <f>15.9*D34^-0.0464</f>
        <v>12.084371346418543</v>
      </c>
    </row>
    <row r="201" spans="2:5" x14ac:dyDescent="0.25">
      <c r="B201" s="458"/>
      <c r="C201" s="378" t="s">
        <v>15</v>
      </c>
      <c r="D201" s="384">
        <f>D200*D43</f>
        <v>17.56307624274968</v>
      </c>
    </row>
    <row r="202" spans="2:5" x14ac:dyDescent="0.25">
      <c r="B202" s="458"/>
      <c r="C202" s="378" t="s">
        <v>174</v>
      </c>
    </row>
    <row r="203" spans="2:5" x14ac:dyDescent="0.25">
      <c r="B203" s="458"/>
      <c r="C203" s="378" t="s">
        <v>182</v>
      </c>
      <c r="D203" s="388">
        <f>D201/AB19</f>
        <v>47.467773629053191</v>
      </c>
    </row>
    <row r="204" spans="2:5" x14ac:dyDescent="0.25">
      <c r="C204" s="378"/>
    </row>
    <row r="205" spans="2:5" x14ac:dyDescent="0.25">
      <c r="B205" s="458" t="s">
        <v>185</v>
      </c>
      <c r="C205" s="378" t="s">
        <v>172</v>
      </c>
      <c r="D205" s="384">
        <f>5.43*D34^-0.0803</f>
        <v>3.3772135087737638</v>
      </c>
    </row>
    <row r="206" spans="2:5" x14ac:dyDescent="0.25">
      <c r="B206" s="458"/>
      <c r="C206" s="378" t="s">
        <v>15</v>
      </c>
      <c r="D206" s="384">
        <f>D205*D43</f>
        <v>4.9083445586283476</v>
      </c>
    </row>
    <row r="207" spans="2:5" x14ac:dyDescent="0.25">
      <c r="B207" s="458"/>
      <c r="C207" s="378" t="s">
        <v>174</v>
      </c>
    </row>
    <row r="208" spans="2:5" x14ac:dyDescent="0.25">
      <c r="B208" s="458"/>
      <c r="C208" s="378" t="s">
        <v>184</v>
      </c>
      <c r="D208" s="388">
        <f>D206/AB21</f>
        <v>8.4626630321178418</v>
      </c>
      <c r="E208" s="388"/>
    </row>
    <row r="209" spans="2:5" x14ac:dyDescent="0.25">
      <c r="C209" s="378"/>
    </row>
    <row r="210" spans="2:5" x14ac:dyDescent="0.25">
      <c r="B210" s="458" t="s">
        <v>186</v>
      </c>
      <c r="C210" s="378" t="s">
        <v>172</v>
      </c>
      <c r="D210" s="384">
        <f>8.98*D34^-0.063</f>
        <v>6.1868286010239091</v>
      </c>
    </row>
    <row r="211" spans="2:5" x14ac:dyDescent="0.25">
      <c r="B211" s="458"/>
      <c r="C211" s="378" t="s">
        <v>15</v>
      </c>
      <c r="D211" s="384">
        <f>D210*D43</f>
        <v>8.9917579744693015</v>
      </c>
    </row>
    <row r="212" spans="2:5" x14ac:dyDescent="0.25">
      <c r="B212" s="458"/>
      <c r="C212" s="378" t="s">
        <v>174</v>
      </c>
    </row>
    <row r="213" spans="2:5" x14ac:dyDescent="0.25">
      <c r="B213" s="458"/>
      <c r="C213" s="378" t="s">
        <v>187</v>
      </c>
      <c r="D213" s="388">
        <f>D211/AB23</f>
        <v>29.005670885384845</v>
      </c>
      <c r="E213" s="388"/>
    </row>
    <row r="214" spans="2:5" x14ac:dyDescent="0.25">
      <c r="C214" s="378"/>
    </row>
    <row r="215" spans="2:5" x14ac:dyDescent="0.25">
      <c r="B215" s="458" t="s">
        <v>188</v>
      </c>
      <c r="C215" s="378" t="s">
        <v>172</v>
      </c>
      <c r="D215" s="384">
        <f>9.54*D34^-0.0651</f>
        <v>6.4915217147661748</v>
      </c>
    </row>
    <row r="216" spans="2:5" x14ac:dyDescent="0.25">
      <c r="B216" s="458"/>
      <c r="C216" s="378" t="s">
        <v>15</v>
      </c>
      <c r="D216" s="384">
        <f>D215*D43</f>
        <v>9.4345901445417795</v>
      </c>
    </row>
    <row r="217" spans="2:5" x14ac:dyDescent="0.25">
      <c r="B217" s="458"/>
      <c r="C217" s="378" t="s">
        <v>174</v>
      </c>
    </row>
    <row r="218" spans="2:5" x14ac:dyDescent="0.25">
      <c r="B218" s="458"/>
      <c r="C218" s="378" t="s">
        <v>189</v>
      </c>
      <c r="D218" s="388">
        <f>D216/AB25</f>
        <v>27.748794542769936</v>
      </c>
      <c r="E218" s="388"/>
    </row>
    <row r="219" spans="2:5" x14ac:dyDescent="0.25">
      <c r="C219" s="378"/>
    </row>
    <row r="220" spans="2:5" x14ac:dyDescent="0.25">
      <c r="B220" s="458" t="s">
        <v>190</v>
      </c>
      <c r="C220" s="378" t="s">
        <v>172</v>
      </c>
      <c r="D220" s="384">
        <f>1.57*D34^-0.0302</f>
        <v>1.3132107426499804</v>
      </c>
    </row>
    <row r="221" spans="2:5" x14ac:dyDescent="0.25">
      <c r="B221" s="458"/>
      <c r="C221" s="378" t="s">
        <v>15</v>
      </c>
      <c r="D221" s="384">
        <f>D220*D43</f>
        <v>1.9085825596376629</v>
      </c>
    </row>
    <row r="222" spans="2:5" x14ac:dyDescent="0.25">
      <c r="B222" s="458"/>
      <c r="C222" s="378" t="s">
        <v>174</v>
      </c>
    </row>
    <row r="223" spans="2:5" x14ac:dyDescent="0.25">
      <c r="B223" s="458"/>
      <c r="C223" s="378" t="s">
        <v>191</v>
      </c>
      <c r="D223" s="388">
        <f>D221/AB27</f>
        <v>4.8938014349683661</v>
      </c>
      <c r="E223" s="388"/>
    </row>
    <row r="224" spans="2:5" x14ac:dyDescent="0.25">
      <c r="C224" s="378"/>
    </row>
    <row r="225" spans="2:5" x14ac:dyDescent="0.25">
      <c r="B225" s="458" t="s">
        <v>192</v>
      </c>
      <c r="C225" s="378" t="s">
        <v>172</v>
      </c>
      <c r="D225" s="384">
        <f>9.61*D34^-0.0249</f>
        <v>8.2941254969462843</v>
      </c>
    </row>
    <row r="226" spans="2:5" x14ac:dyDescent="0.25">
      <c r="B226" s="458"/>
      <c r="C226" s="378" t="s">
        <v>15</v>
      </c>
      <c r="D226" s="384">
        <f>D225*D43</f>
        <v>12.054442411104334</v>
      </c>
    </row>
    <row r="227" spans="2:5" x14ac:dyDescent="0.25">
      <c r="B227" s="458"/>
      <c r="C227" s="378" t="s">
        <v>174</v>
      </c>
    </row>
    <row r="228" spans="2:5" x14ac:dyDescent="0.25">
      <c r="B228" s="458"/>
      <c r="C228" s="378" t="s">
        <v>193</v>
      </c>
      <c r="D228" s="388">
        <f>D226/AB29</f>
        <v>30.136106027760835</v>
      </c>
      <c r="E228" s="388"/>
    </row>
    <row r="229" spans="2:5" x14ac:dyDescent="0.25">
      <c r="C229" s="378"/>
    </row>
    <row r="230" spans="2:5" x14ac:dyDescent="0.25">
      <c r="B230" s="458" t="s">
        <v>194</v>
      </c>
      <c r="C230" s="378" t="s">
        <v>172</v>
      </c>
      <c r="D230" s="384">
        <f>34.2*D34^-0.1885</f>
        <v>11.2172278662803</v>
      </c>
    </row>
    <row r="231" spans="2:5" x14ac:dyDescent="0.25">
      <c r="B231" s="458"/>
      <c r="C231" s="378" t="s">
        <v>15</v>
      </c>
      <c r="D231" s="384">
        <f>D230*D43</f>
        <v>16.302794957237474</v>
      </c>
    </row>
    <row r="232" spans="2:5" x14ac:dyDescent="0.25">
      <c r="B232" s="458"/>
      <c r="C232" s="378" t="s">
        <v>174</v>
      </c>
    </row>
    <row r="233" spans="2:5" x14ac:dyDescent="0.25">
      <c r="B233" s="458"/>
      <c r="C233" s="378" t="s">
        <v>195</v>
      </c>
      <c r="D233" s="388">
        <f>D231/AB32</f>
        <v>46.579414163535645</v>
      </c>
    </row>
    <row r="234" spans="2:5" x14ac:dyDescent="0.25">
      <c r="C234" s="378"/>
    </row>
    <row r="235" spans="2:5" x14ac:dyDescent="0.25">
      <c r="B235" s="458" t="s">
        <v>196</v>
      </c>
      <c r="C235" s="378" t="s">
        <v>172</v>
      </c>
      <c r="D235" s="384">
        <f>23.4*D34^-0.1249</f>
        <v>11.179556538124702</v>
      </c>
    </row>
    <row r="236" spans="2:5" x14ac:dyDescent="0.25">
      <c r="B236" s="458"/>
      <c r="C236" s="378" t="s">
        <v>15</v>
      </c>
      <c r="D236" s="384">
        <f>D235*D43</f>
        <v>16.248044537079412</v>
      </c>
    </row>
    <row r="237" spans="2:5" x14ac:dyDescent="0.25">
      <c r="B237" s="458"/>
      <c r="C237" s="378" t="s">
        <v>174</v>
      </c>
    </row>
    <row r="238" spans="2:5" x14ac:dyDescent="0.25">
      <c r="B238" s="458"/>
      <c r="C238" s="378" t="s">
        <v>197</v>
      </c>
      <c r="D238" s="388">
        <f>D236/AB34</f>
        <v>62.492478988766969</v>
      </c>
      <c r="E238" s="388"/>
    </row>
    <row r="239" spans="2:5" x14ac:dyDescent="0.25">
      <c r="C239" s="378"/>
    </row>
    <row r="240" spans="2:5" x14ac:dyDescent="0.25">
      <c r="B240" s="458" t="s">
        <v>199</v>
      </c>
      <c r="C240" s="378" t="s">
        <v>172</v>
      </c>
      <c r="D240" s="384">
        <f>1.64*D34^0.0111</f>
        <v>1.7512692457317227</v>
      </c>
    </row>
    <row r="241" spans="2:5" x14ac:dyDescent="0.25">
      <c r="B241" s="458"/>
      <c r="C241" s="378" t="s">
        <v>15</v>
      </c>
      <c r="D241" s="384">
        <f>D240*D43</f>
        <v>2.5452441341505656</v>
      </c>
    </row>
    <row r="242" spans="2:5" x14ac:dyDescent="0.25">
      <c r="B242" s="458"/>
      <c r="C242" s="378" t="s">
        <v>174</v>
      </c>
    </row>
    <row r="243" spans="2:5" x14ac:dyDescent="0.25">
      <c r="B243" s="458"/>
      <c r="C243" s="378" t="s">
        <v>198</v>
      </c>
      <c r="D243" s="388">
        <f>D241/AB36</f>
        <v>14.140245189725364</v>
      </c>
      <c r="E243" s="388"/>
    </row>
    <row r="244" spans="2:5" x14ac:dyDescent="0.25">
      <c r="C244" s="378"/>
    </row>
    <row r="245" spans="2:5" x14ac:dyDescent="0.25">
      <c r="B245" s="458" t="s">
        <v>200</v>
      </c>
      <c r="C245" s="378" t="s">
        <v>172</v>
      </c>
      <c r="D245" s="384">
        <f>37.7*D34^-0.0942</f>
        <v>21.597301321779845</v>
      </c>
    </row>
    <row r="246" spans="2:5" x14ac:dyDescent="0.25">
      <c r="B246" s="458"/>
      <c r="C246" s="378" t="s">
        <v>15</v>
      </c>
      <c r="D246" s="384">
        <f>D245*D43</f>
        <v>31.388893876095246</v>
      </c>
    </row>
    <row r="247" spans="2:5" x14ac:dyDescent="0.25">
      <c r="B247" s="458"/>
      <c r="C247" s="378" t="s">
        <v>174</v>
      </c>
    </row>
    <row r="248" spans="2:5" x14ac:dyDescent="0.25">
      <c r="B248" s="458"/>
      <c r="C248" s="378" t="s">
        <v>201</v>
      </c>
      <c r="D248" s="388">
        <f>D246/AB38</f>
        <v>46.849095337455587</v>
      </c>
      <c r="E248" s="388"/>
    </row>
    <row r="249" spans="2:5" x14ac:dyDescent="0.25">
      <c r="C249" s="378"/>
    </row>
    <row r="250" spans="2:5" x14ac:dyDescent="0.25">
      <c r="B250" s="458" t="s">
        <v>202</v>
      </c>
      <c r="C250" s="378" t="s">
        <v>172</v>
      </c>
      <c r="D250" s="384">
        <f>82.7*D34^-0.2709</f>
        <v>16.662111082229689</v>
      </c>
    </row>
    <row r="251" spans="2:5" x14ac:dyDescent="0.25">
      <c r="B251" s="458"/>
      <c r="C251" s="378" t="s">
        <v>15</v>
      </c>
      <c r="D251" s="384">
        <f>D250*D43</f>
        <v>24.216230941057088</v>
      </c>
    </row>
    <row r="252" spans="2:5" x14ac:dyDescent="0.25">
      <c r="B252" s="458"/>
      <c r="C252" s="378" t="s">
        <v>174</v>
      </c>
    </row>
    <row r="253" spans="2:5" x14ac:dyDescent="0.25">
      <c r="B253" s="458"/>
      <c r="C253" s="378" t="s">
        <v>204</v>
      </c>
      <c r="D253" s="388">
        <f>D251/AB40</f>
        <v>38.438461811201726</v>
      </c>
      <c r="E253" s="388"/>
    </row>
    <row r="254" spans="2:5" x14ac:dyDescent="0.25">
      <c r="C254" s="378"/>
    </row>
    <row r="255" spans="2:5" x14ac:dyDescent="0.25">
      <c r="B255" s="458" t="s">
        <v>203</v>
      </c>
      <c r="C255" s="378" t="s">
        <v>172</v>
      </c>
      <c r="D255" s="384">
        <f>47.7*D34^-0.245</f>
        <v>11.201187453606046</v>
      </c>
    </row>
    <row r="256" spans="2:5" x14ac:dyDescent="0.25">
      <c r="B256" s="458"/>
      <c r="C256" s="378" t="s">
        <v>15</v>
      </c>
      <c r="D256" s="384">
        <f>D255*D43</f>
        <v>16.279482284804033</v>
      </c>
    </row>
    <row r="257" spans="2:5" x14ac:dyDescent="0.25">
      <c r="B257" s="458"/>
      <c r="C257" s="378" t="s">
        <v>174</v>
      </c>
    </row>
    <row r="258" spans="2:5" x14ac:dyDescent="0.25">
      <c r="B258" s="458"/>
      <c r="C258" s="378" t="s">
        <v>205</v>
      </c>
      <c r="D258" s="388">
        <f>D256/AB42</f>
        <v>37.859261127451241</v>
      </c>
      <c r="E258" s="388"/>
    </row>
    <row r="259" spans="2:5" x14ac:dyDescent="0.25">
      <c r="C259" s="378"/>
    </row>
    <row r="260" spans="2:5" x14ac:dyDescent="0.25">
      <c r="B260" s="458" t="s">
        <v>206</v>
      </c>
      <c r="C260" s="378" t="s">
        <v>172</v>
      </c>
      <c r="D260" s="384">
        <f>16*D34^-0.1509</f>
        <v>6.5546679081164001</v>
      </c>
    </row>
    <row r="261" spans="2:5" x14ac:dyDescent="0.25">
      <c r="B261" s="458"/>
      <c r="C261" s="378" t="s">
        <v>15</v>
      </c>
      <c r="D261" s="384">
        <f>D260*D43</f>
        <v>9.5263649979004619</v>
      </c>
    </row>
    <row r="262" spans="2:5" x14ac:dyDescent="0.25">
      <c r="B262" s="458"/>
      <c r="C262" s="378" t="s">
        <v>174</v>
      </c>
    </row>
    <row r="263" spans="2:5" x14ac:dyDescent="0.25">
      <c r="B263" s="458"/>
      <c r="C263" s="378" t="s">
        <v>207</v>
      </c>
      <c r="D263" s="388">
        <f>D261/AB44</f>
        <v>30.730209670646651</v>
      </c>
    </row>
    <row r="264" spans="2:5" x14ac:dyDescent="0.25">
      <c r="C264" s="378"/>
    </row>
    <row r="265" spans="2:5" x14ac:dyDescent="0.25">
      <c r="B265" s="458" t="s">
        <v>208</v>
      </c>
      <c r="C265" s="378" t="s">
        <v>172</v>
      </c>
      <c r="D265" s="384">
        <f>6.53*D34^-0.0526</f>
        <v>4.7842749752659328</v>
      </c>
    </row>
    <row r="266" spans="2:5" x14ac:dyDescent="0.25">
      <c r="B266" s="458"/>
      <c r="C266" s="378" t="s">
        <v>15</v>
      </c>
      <c r="D266" s="384">
        <f>D265*D43</f>
        <v>6.9533270493030619</v>
      </c>
    </row>
    <row r="267" spans="2:5" x14ac:dyDescent="0.25">
      <c r="B267" s="458"/>
      <c r="C267" s="378" t="s">
        <v>174</v>
      </c>
    </row>
    <row r="268" spans="2:5" x14ac:dyDescent="0.25">
      <c r="B268" s="458"/>
      <c r="C268" s="378" t="s">
        <v>209</v>
      </c>
      <c r="D268" s="388">
        <f>D266/AB46</f>
        <v>26.743565574242545</v>
      </c>
    </row>
    <row r="269" spans="2:5" x14ac:dyDescent="0.25">
      <c r="C269" s="378"/>
    </row>
    <row r="270" spans="2:5" x14ac:dyDescent="0.25">
      <c r="C270" s="378"/>
    </row>
    <row r="271" spans="2:5" x14ac:dyDescent="0.25">
      <c r="B271" s="463" t="s">
        <v>72</v>
      </c>
      <c r="C271" s="463"/>
      <c r="D271" s="394">
        <f>K16</f>
        <v>430</v>
      </c>
    </row>
    <row r="272" spans="2:5" x14ac:dyDescent="0.25">
      <c r="B272" s="463" t="s">
        <v>69</v>
      </c>
      <c r="C272" s="463"/>
      <c r="D272" s="395">
        <f>K18</f>
        <v>1.5</v>
      </c>
    </row>
    <row r="273" spans="2:4" x14ac:dyDescent="0.25">
      <c r="B273" s="377"/>
      <c r="C273" s="377"/>
      <c r="D273" s="377"/>
    </row>
    <row r="274" spans="2:4" x14ac:dyDescent="0.25">
      <c r="B274" s="377"/>
      <c r="C274" s="377"/>
      <c r="D274" s="377"/>
    </row>
    <row r="275" spans="2:4" x14ac:dyDescent="0.25">
      <c r="B275" s="377"/>
      <c r="C275" s="377"/>
      <c r="D275" s="377"/>
    </row>
    <row r="276" spans="2:4" x14ac:dyDescent="0.25">
      <c r="B276" s="377"/>
      <c r="C276" s="377"/>
      <c r="D276" s="377"/>
    </row>
    <row r="277" spans="2:4" x14ac:dyDescent="0.25">
      <c r="B277" s="377"/>
      <c r="C277" s="377"/>
      <c r="D277" s="377"/>
    </row>
    <row r="278" spans="2:4" x14ac:dyDescent="0.25">
      <c r="B278" s="377"/>
      <c r="C278" s="377"/>
      <c r="D278" s="377"/>
    </row>
    <row r="279" spans="2:4" x14ac:dyDescent="0.25">
      <c r="B279" s="377"/>
      <c r="C279" s="377"/>
      <c r="D279" s="377"/>
    </row>
    <row r="280" spans="2:4" x14ac:dyDescent="0.25">
      <c r="B280" s="377"/>
      <c r="C280" s="377"/>
      <c r="D280" s="377"/>
    </row>
    <row r="281" spans="2:4" x14ac:dyDescent="0.25">
      <c r="B281" s="377"/>
      <c r="C281" s="377"/>
      <c r="D281" s="377"/>
    </row>
    <row r="282" spans="2:4" x14ac:dyDescent="0.25">
      <c r="B282" s="377"/>
      <c r="C282" s="377"/>
      <c r="D282" s="377"/>
    </row>
    <row r="283" spans="2:4" x14ac:dyDescent="0.25">
      <c r="B283" s="377"/>
      <c r="C283" s="377"/>
      <c r="D283" s="377"/>
    </row>
    <row r="284" spans="2:4" x14ac:dyDescent="0.25">
      <c r="B284" s="377"/>
      <c r="C284" s="377"/>
      <c r="D284" s="377"/>
    </row>
    <row r="285" spans="2:4" x14ac:dyDescent="0.25">
      <c r="B285" s="377"/>
      <c r="C285" s="377"/>
      <c r="D285" s="377"/>
    </row>
    <row r="286" spans="2:4" x14ac:dyDescent="0.25">
      <c r="B286" s="377"/>
      <c r="C286" s="377"/>
      <c r="D286" s="377"/>
    </row>
    <row r="287" spans="2:4" x14ac:dyDescent="0.25">
      <c r="B287" s="377"/>
      <c r="C287" s="377"/>
      <c r="D287" s="377"/>
    </row>
    <row r="288" spans="2:4" x14ac:dyDescent="0.25">
      <c r="B288" s="377"/>
      <c r="C288" s="377"/>
      <c r="D288" s="377"/>
    </row>
    <row r="289" spans="2:4" x14ac:dyDescent="0.25">
      <c r="B289" s="377"/>
      <c r="C289" s="377"/>
      <c r="D289" s="377"/>
    </row>
    <row r="290" spans="2:4" x14ac:dyDescent="0.25">
      <c r="B290" s="377"/>
      <c r="C290" s="377"/>
      <c r="D290" s="377"/>
    </row>
    <row r="291" spans="2:4" x14ac:dyDescent="0.25">
      <c r="B291" s="377"/>
      <c r="C291" s="377"/>
      <c r="D291" s="377"/>
    </row>
  </sheetData>
  <dataConsolidate/>
  <mergeCells count="171">
    <mergeCell ref="AC20:AC21"/>
    <mergeCell ref="AD20:AD21"/>
    <mergeCell ref="AA22:AA23"/>
    <mergeCell ref="AD14:AD15"/>
    <mergeCell ref="AA16:AA17"/>
    <mergeCell ref="AC16:AC17"/>
    <mergeCell ref="AD16:AD17"/>
    <mergeCell ref="AC22:AC23"/>
    <mergeCell ref="AD22:AD23"/>
    <mergeCell ref="T10:T22"/>
    <mergeCell ref="U10:U11"/>
    <mergeCell ref="U12:U13"/>
    <mergeCell ref="U15:U16"/>
    <mergeCell ref="U17:U18"/>
    <mergeCell ref="U19:U20"/>
    <mergeCell ref="U21:U22"/>
    <mergeCell ref="W10:W11"/>
    <mergeCell ref="X10:X11"/>
    <mergeCell ref="W21:W22"/>
    <mergeCell ref="X21:X22"/>
    <mergeCell ref="O8:R9"/>
    <mergeCell ref="B66:B77"/>
    <mergeCell ref="B79:B80"/>
    <mergeCell ref="B22:C22"/>
    <mergeCell ref="A19:C19"/>
    <mergeCell ref="I7:J8"/>
    <mergeCell ref="I10:J10"/>
    <mergeCell ref="I12:J12"/>
    <mergeCell ref="I14:I16"/>
    <mergeCell ref="I18:J18"/>
    <mergeCell ref="O37:O39"/>
    <mergeCell ref="O24:O34"/>
    <mergeCell ref="P3:AA7"/>
    <mergeCell ref="AA43:AA44"/>
    <mergeCell ref="U34:U35"/>
    <mergeCell ref="U36:U37"/>
    <mergeCell ref="W24:W25"/>
    <mergeCell ref="V14:X14"/>
    <mergeCell ref="T8:X9"/>
    <mergeCell ref="Z8:AD9"/>
    <mergeCell ref="P33:P34"/>
    <mergeCell ref="P29:P30"/>
    <mergeCell ref="P31:P32"/>
    <mergeCell ref="P20:P21"/>
    <mergeCell ref="B113:B118"/>
    <mergeCell ref="B120:B124"/>
    <mergeCell ref="B126:B130"/>
    <mergeCell ref="B83:B88"/>
    <mergeCell ref="B90:B95"/>
    <mergeCell ref="I20:J20"/>
    <mergeCell ref="I21:J21"/>
    <mergeCell ref="I23:J23"/>
    <mergeCell ref="H3:L4"/>
    <mergeCell ref="H47:L47"/>
    <mergeCell ref="H58:L63"/>
    <mergeCell ref="B97:C97"/>
    <mergeCell ref="B99:B104"/>
    <mergeCell ref="B106:B111"/>
    <mergeCell ref="B24:B26"/>
    <mergeCell ref="B28:B30"/>
    <mergeCell ref="B32:B34"/>
    <mergeCell ref="B36:B42"/>
    <mergeCell ref="B44:B47"/>
    <mergeCell ref="B49:B64"/>
    <mergeCell ref="U24:U25"/>
    <mergeCell ref="U32:U33"/>
    <mergeCell ref="Z31:Z46"/>
    <mergeCell ref="AD31:AD32"/>
    <mergeCell ref="B265:B268"/>
    <mergeCell ref="B271:C271"/>
    <mergeCell ref="B272:C272"/>
    <mergeCell ref="O10:O11"/>
    <mergeCell ref="O14:O21"/>
    <mergeCell ref="B200:B203"/>
    <mergeCell ref="B205:B208"/>
    <mergeCell ref="B210:B213"/>
    <mergeCell ref="B215:B218"/>
    <mergeCell ref="B220:B223"/>
    <mergeCell ref="B225:B228"/>
    <mergeCell ref="B230:B233"/>
    <mergeCell ref="B235:B238"/>
    <mergeCell ref="B240:B243"/>
    <mergeCell ref="B168:B172"/>
    <mergeCell ref="B174:C174"/>
    <mergeCell ref="B175:C175"/>
    <mergeCell ref="B180:B183"/>
    <mergeCell ref="B185:B188"/>
    <mergeCell ref="B190:B193"/>
    <mergeCell ref="B245:B248"/>
    <mergeCell ref="B250:B253"/>
    <mergeCell ref="B255:B258"/>
    <mergeCell ref="B260:B263"/>
    <mergeCell ref="B132:B136"/>
    <mergeCell ref="B138:B142"/>
    <mergeCell ref="B144:B148"/>
    <mergeCell ref="B150:B154"/>
    <mergeCell ref="B156:B160"/>
    <mergeCell ref="B162:B166"/>
    <mergeCell ref="B195:B198"/>
    <mergeCell ref="AD10:AD11"/>
    <mergeCell ref="AA12:AA13"/>
    <mergeCell ref="AC12:AC13"/>
    <mergeCell ref="AD12:AD13"/>
    <mergeCell ref="AA14:AA15"/>
    <mergeCell ref="AC14:AC15"/>
    <mergeCell ref="X24:X25"/>
    <mergeCell ref="W26:W27"/>
    <mergeCell ref="W28:W29"/>
    <mergeCell ref="AD26:AD27"/>
    <mergeCell ref="AD24:AD25"/>
    <mergeCell ref="AA24:AA25"/>
    <mergeCell ref="AC24:AC25"/>
    <mergeCell ref="Z10:Z29"/>
    <mergeCell ref="W12:W13"/>
    <mergeCell ref="X12:X13"/>
    <mergeCell ref="W15:W16"/>
    <mergeCell ref="X15:X16"/>
    <mergeCell ref="W17:W18"/>
    <mergeCell ref="X17:X18"/>
    <mergeCell ref="W19:W20"/>
    <mergeCell ref="X19:X20"/>
    <mergeCell ref="AD18:AD19"/>
    <mergeCell ref="AA20:AA21"/>
    <mergeCell ref="X28:X29"/>
    <mergeCell ref="X30:X31"/>
    <mergeCell ref="X32:X33"/>
    <mergeCell ref="X34:X35"/>
    <mergeCell ref="X36:X37"/>
    <mergeCell ref="AD33:AD34"/>
    <mergeCell ref="W30:W31"/>
    <mergeCell ref="AC26:AC27"/>
    <mergeCell ref="AA28:AA29"/>
    <mergeCell ref="AC28:AC29"/>
    <mergeCell ref="AD28:AD29"/>
    <mergeCell ref="U38:U39"/>
    <mergeCell ref="AA10:AA11"/>
    <mergeCell ref="AC10:AC11"/>
    <mergeCell ref="AA18:AA19"/>
    <mergeCell ref="AC18:AC19"/>
    <mergeCell ref="T24:T39"/>
    <mergeCell ref="W38:W39"/>
    <mergeCell ref="X38:X39"/>
    <mergeCell ref="U26:U27"/>
    <mergeCell ref="U28:U29"/>
    <mergeCell ref="AA31:AA32"/>
    <mergeCell ref="AC31:AC32"/>
    <mergeCell ref="AA33:AA34"/>
    <mergeCell ref="AC33:AC34"/>
    <mergeCell ref="AA35:AA36"/>
    <mergeCell ref="AC35:AC36"/>
    <mergeCell ref="AA37:AA38"/>
    <mergeCell ref="AC37:AC38"/>
    <mergeCell ref="U30:U31"/>
    <mergeCell ref="W32:W33"/>
    <mergeCell ref="AA26:AA27"/>
    <mergeCell ref="W34:W35"/>
    <mergeCell ref="W36:W37"/>
    <mergeCell ref="X26:X27"/>
    <mergeCell ref="AC43:AC44"/>
    <mergeCell ref="AA45:AA46"/>
    <mergeCell ref="AC45:AC46"/>
    <mergeCell ref="AD35:AD36"/>
    <mergeCell ref="AD37:AD38"/>
    <mergeCell ref="AD39:AD40"/>
    <mergeCell ref="AD41:AD42"/>
    <mergeCell ref="AD43:AD44"/>
    <mergeCell ref="AD45:AD46"/>
    <mergeCell ref="AA39:AA40"/>
    <mergeCell ref="AC39:AC40"/>
    <mergeCell ref="AA41:AA42"/>
    <mergeCell ref="AC41:AC42"/>
  </mergeCells>
  <conditionalFormatting sqref="K8">
    <cfRule type="expression" dxfId="1" priority="1">
      <formula>$K$7="Zebuíno"</formula>
    </cfRule>
  </conditionalFormatting>
  <dataValidations count="5">
    <dataValidation type="list" allowBlank="1" showErrorMessage="1" sqref="K23" xr:uid="{D41A4A14-FED9-4AC3-8B04-CB8543BAC821}">
      <formula1>$B$9:$C$9</formula1>
    </dataValidation>
    <dataValidation type="list" allowBlank="1" showInputMessage="1" showErrorMessage="1" sqref="K7" xr:uid="{DB6D6A92-4DA2-4B15-851D-E97882B2AD02}">
      <formula1>$B$6:$C$6</formula1>
    </dataValidation>
    <dataValidation type="list" allowBlank="1" showInputMessage="1" showErrorMessage="1" sqref="K8" xr:uid="{FB849191-C87F-4114-BE4A-77D6DEC10BED}">
      <formula1>$C$5:$D$5</formula1>
    </dataValidation>
    <dataValidation type="list" allowBlank="1" showInputMessage="1" showErrorMessage="1" sqref="K10" xr:uid="{1D2E641A-6510-47C1-8F57-590F576D3C26}">
      <formula1>$B$7:$D$7</formula1>
    </dataValidation>
    <dataValidation type="list" allowBlank="1" showInputMessage="1" showErrorMessage="1" sqref="K12" xr:uid="{72F79B3D-3E08-4FC2-9C56-1880E6E858D2}">
      <formula1>$B$8:$C$8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FBA1-9E80-4A47-977E-4C87F93361EF}">
  <dimension ref="A2:AI316"/>
  <sheetViews>
    <sheetView topLeftCell="E5" zoomScale="70" zoomScaleNormal="70" workbookViewId="0">
      <selection activeCell="AC46" sqref="AC46"/>
    </sheetView>
  </sheetViews>
  <sheetFormatPr defaultRowHeight="14.25" x14ac:dyDescent="0.2"/>
  <cols>
    <col min="1" max="1" width="26.140625" style="378" hidden="1" customWidth="1"/>
    <col min="2" max="2" width="11.5703125" style="378" hidden="1" customWidth="1"/>
    <col min="3" max="3" width="7.42578125" style="380" hidden="1" customWidth="1"/>
    <col min="4" max="4" width="9.140625" style="400" hidden="1" customWidth="1"/>
    <col min="5" max="5" width="7" style="337"/>
    <col min="6" max="6" width="5.28515625" style="258" customWidth="1"/>
    <col min="7" max="7" width="23.5703125" style="258" customWidth="1"/>
    <col min="8" max="8" width="19.85546875" style="258" customWidth="1"/>
    <col min="9" max="9" width="17.85546875" style="257" bestFit="1" customWidth="1"/>
    <col min="10" max="10" width="5" style="257" customWidth="1"/>
    <col min="11" max="12" width="9.140625" style="296" customWidth="1"/>
    <col min="13" max="13" width="16.85546875" style="257" customWidth="1"/>
    <col min="14" max="14" width="9.7109375" style="296" customWidth="1"/>
    <col min="15" max="15" width="13.5703125" style="296" customWidth="1"/>
    <col min="16" max="16" width="5.7109375" style="296" customWidth="1"/>
    <col min="17" max="17" width="9.140625" style="296" customWidth="1"/>
    <col min="18" max="18" width="10.140625" style="296" customWidth="1"/>
    <col min="19" max="19" width="9.42578125" style="296" customWidth="1"/>
    <col min="20" max="20" width="9.140625" style="296" customWidth="1"/>
    <col min="21" max="21" width="12" style="296" customWidth="1"/>
    <col min="22" max="22" width="4.140625" style="296" customWidth="1"/>
    <col min="23" max="24" width="7.42578125" style="296" customWidth="1"/>
    <col min="25" max="25" width="15.5703125" style="257" customWidth="1"/>
    <col min="26" max="26" width="12.7109375" style="296" customWidth="1"/>
    <col min="27" max="27" width="13" style="296" customWidth="1"/>
    <col min="28" max="29" width="9.140625" style="296" customWidth="1"/>
    <col min="30" max="30" width="10.140625" style="296" bestFit="1" customWidth="1"/>
    <col min="31" max="31" width="8.28515625" style="296" bestFit="1" customWidth="1"/>
    <col min="32" max="32" width="9.28515625" style="296" bestFit="1" customWidth="1"/>
    <col min="33" max="33" width="11.85546875" style="296" customWidth="1"/>
    <col min="34" max="34" width="4.140625" style="296" customWidth="1"/>
    <col min="35" max="35" width="9.140625" style="296" customWidth="1"/>
    <col min="36" max="16384" width="9.140625" style="296"/>
  </cols>
  <sheetData>
    <row r="2" spans="1:35" ht="15" thickBot="1" x14ac:dyDescent="0.25">
      <c r="A2" s="380" t="s">
        <v>16</v>
      </c>
      <c r="B2" s="380" t="s">
        <v>215</v>
      </c>
      <c r="G2" s="295"/>
      <c r="H2" s="295"/>
    </row>
    <row r="3" spans="1:35" ht="18.75" customHeight="1" x14ac:dyDescent="0.2">
      <c r="A3" s="380"/>
      <c r="B3" s="380" t="s">
        <v>216</v>
      </c>
      <c r="F3" s="508" t="s">
        <v>414</v>
      </c>
      <c r="G3" s="508"/>
      <c r="H3" s="508"/>
      <c r="I3" s="508"/>
      <c r="J3" s="508"/>
      <c r="L3" s="510" t="s">
        <v>515</v>
      </c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511"/>
      <c r="AB3" s="511"/>
      <c r="AC3" s="511"/>
      <c r="AD3" s="511"/>
      <c r="AE3" s="511"/>
      <c r="AF3" s="511"/>
      <c r="AG3" s="511"/>
      <c r="AH3" s="511"/>
      <c r="AI3" s="512"/>
    </row>
    <row r="4" spans="1:35" ht="18.75" customHeight="1" thickBot="1" x14ac:dyDescent="0.25">
      <c r="F4" s="509"/>
      <c r="G4" s="509"/>
      <c r="H4" s="509"/>
      <c r="I4" s="509"/>
      <c r="J4" s="509"/>
      <c r="L4" s="513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5"/>
    </row>
    <row r="5" spans="1:35" ht="9" customHeight="1" x14ac:dyDescent="0.2">
      <c r="L5" s="513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4"/>
      <c r="Z5" s="514"/>
      <c r="AA5" s="514"/>
      <c r="AB5" s="514"/>
      <c r="AC5" s="514"/>
      <c r="AD5" s="514"/>
      <c r="AE5" s="514"/>
      <c r="AF5" s="514"/>
      <c r="AG5" s="514"/>
      <c r="AH5" s="514"/>
      <c r="AI5" s="515"/>
    </row>
    <row r="6" spans="1:35" ht="18.75" customHeight="1" x14ac:dyDescent="0.2">
      <c r="F6" s="507" t="s">
        <v>273</v>
      </c>
      <c r="G6" s="507"/>
      <c r="H6" s="507"/>
      <c r="I6" s="507"/>
      <c r="J6" s="507"/>
      <c r="L6" s="513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4"/>
      <c r="AA6" s="514"/>
      <c r="AB6" s="514"/>
      <c r="AC6" s="514"/>
      <c r="AD6" s="514"/>
      <c r="AE6" s="514"/>
      <c r="AF6" s="514"/>
      <c r="AG6" s="514"/>
      <c r="AH6" s="514"/>
      <c r="AI6" s="515"/>
    </row>
    <row r="7" spans="1:35" ht="18.75" customHeight="1" x14ac:dyDescent="0.2">
      <c r="F7" s="507"/>
      <c r="G7" s="507"/>
      <c r="H7" s="507"/>
      <c r="I7" s="507"/>
      <c r="J7" s="507"/>
      <c r="L7" s="513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4"/>
      <c r="AG7" s="514"/>
      <c r="AH7" s="514"/>
      <c r="AI7" s="515"/>
    </row>
    <row r="8" spans="1:35" ht="18.75" customHeight="1" thickBot="1" x14ac:dyDescent="0.25">
      <c r="F8" s="303"/>
      <c r="G8" s="304"/>
      <c r="H8" s="304"/>
      <c r="I8" s="305"/>
      <c r="J8" s="306"/>
      <c r="L8" s="298"/>
      <c r="M8" s="477" t="s">
        <v>273</v>
      </c>
      <c r="N8" s="477"/>
      <c r="O8" s="477"/>
      <c r="P8" s="477"/>
      <c r="Q8" s="477"/>
      <c r="R8" s="477"/>
      <c r="S8" s="477"/>
      <c r="T8" s="477"/>
      <c r="U8" s="477"/>
      <c r="V8" s="477"/>
      <c r="W8" s="420"/>
      <c r="X8" s="420"/>
      <c r="Y8" s="477" t="s">
        <v>494</v>
      </c>
      <c r="Z8" s="477"/>
      <c r="AA8" s="477"/>
      <c r="AB8" s="477"/>
      <c r="AC8" s="477"/>
      <c r="AD8" s="477"/>
      <c r="AE8" s="477"/>
      <c r="AF8" s="477"/>
      <c r="AG8" s="477"/>
      <c r="AH8" s="477"/>
      <c r="AI8" s="300"/>
    </row>
    <row r="9" spans="1:35" ht="18.75" customHeight="1" thickBot="1" x14ac:dyDescent="0.25">
      <c r="F9" s="307"/>
      <c r="G9" s="335" t="s">
        <v>16</v>
      </c>
      <c r="H9" s="336"/>
      <c r="I9" s="330" t="s">
        <v>216</v>
      </c>
      <c r="J9" s="308"/>
      <c r="L9" s="298"/>
      <c r="M9" s="478"/>
      <c r="N9" s="478"/>
      <c r="O9" s="478"/>
      <c r="P9" s="478"/>
      <c r="Q9" s="478"/>
      <c r="R9" s="478"/>
      <c r="S9" s="478"/>
      <c r="T9" s="478"/>
      <c r="U9" s="478"/>
      <c r="V9" s="478"/>
      <c r="W9" s="308"/>
      <c r="X9" s="299"/>
      <c r="Y9" s="478"/>
      <c r="Z9" s="478"/>
      <c r="AA9" s="478"/>
      <c r="AB9" s="478"/>
      <c r="AC9" s="478"/>
      <c r="AD9" s="478"/>
      <c r="AE9" s="478"/>
      <c r="AF9" s="478"/>
      <c r="AG9" s="478"/>
      <c r="AH9" s="478"/>
      <c r="AI9" s="300"/>
    </row>
    <row r="10" spans="1:35" ht="18.75" customHeight="1" thickBot="1" x14ac:dyDescent="0.25">
      <c r="F10" s="307"/>
      <c r="G10" s="368"/>
      <c r="H10" s="368"/>
      <c r="I10" s="369"/>
      <c r="J10" s="308"/>
      <c r="L10" s="298"/>
      <c r="M10" s="477" t="s">
        <v>463</v>
      </c>
      <c r="N10" s="477"/>
      <c r="O10" s="477"/>
      <c r="P10" s="477"/>
      <c r="Q10" s="299"/>
      <c r="R10" s="477" t="s">
        <v>274</v>
      </c>
      <c r="S10" s="477"/>
      <c r="T10" s="477"/>
      <c r="U10" s="477"/>
      <c r="V10" s="477"/>
      <c r="W10" s="308"/>
      <c r="X10" s="299"/>
      <c r="Y10" s="477" t="s">
        <v>463</v>
      </c>
      <c r="Z10" s="477"/>
      <c r="AA10" s="477"/>
      <c r="AB10" s="477"/>
      <c r="AC10" s="299"/>
      <c r="AD10" s="477" t="s">
        <v>274</v>
      </c>
      <c r="AE10" s="477"/>
      <c r="AF10" s="477"/>
      <c r="AG10" s="477"/>
      <c r="AH10" s="477"/>
      <c r="AI10" s="300"/>
    </row>
    <row r="11" spans="1:35" ht="18.75" customHeight="1" thickBot="1" x14ac:dyDescent="0.25">
      <c r="F11" s="307"/>
      <c r="G11" s="485" t="s">
        <v>495</v>
      </c>
      <c r="H11" s="486"/>
      <c r="I11" s="370">
        <v>500</v>
      </c>
      <c r="J11" s="308"/>
      <c r="L11" s="298"/>
      <c r="M11" s="478"/>
      <c r="N11" s="478"/>
      <c r="O11" s="478"/>
      <c r="P11" s="478"/>
      <c r="Q11" s="299"/>
      <c r="R11" s="478"/>
      <c r="S11" s="478"/>
      <c r="T11" s="478"/>
      <c r="U11" s="478"/>
      <c r="V11" s="478"/>
      <c r="W11" s="308"/>
      <c r="X11" s="299"/>
      <c r="Y11" s="478"/>
      <c r="Z11" s="478"/>
      <c r="AA11" s="478"/>
      <c r="AB11" s="478"/>
      <c r="AC11" s="299"/>
      <c r="AD11" s="478"/>
      <c r="AE11" s="478"/>
      <c r="AF11" s="478"/>
      <c r="AG11" s="478"/>
      <c r="AH11" s="478"/>
      <c r="AI11" s="300"/>
    </row>
    <row r="12" spans="1:35" ht="18.75" customHeight="1" thickBot="1" x14ac:dyDescent="0.25">
      <c r="F12" s="307"/>
      <c r="G12" s="329"/>
      <c r="H12" s="329"/>
      <c r="I12" s="369"/>
      <c r="J12" s="308"/>
      <c r="L12" s="298"/>
      <c r="M12" s="285" t="s">
        <v>457</v>
      </c>
      <c r="N12" s="363" t="s">
        <v>0</v>
      </c>
      <c r="O12" s="354">
        <f>C25*I11/1000</f>
        <v>10.669204295340993</v>
      </c>
      <c r="P12" s="358" t="s">
        <v>1</v>
      </c>
      <c r="Q12" s="299"/>
      <c r="R12" s="447" t="s">
        <v>471</v>
      </c>
      <c r="S12" s="452" t="s">
        <v>27</v>
      </c>
      <c r="T12" s="283" t="s">
        <v>116</v>
      </c>
      <c r="U12" s="433">
        <f>C65</f>
        <v>25.007245382651931</v>
      </c>
      <c r="V12" s="498" t="s">
        <v>15</v>
      </c>
      <c r="W12" s="308"/>
      <c r="X12" s="299"/>
      <c r="Y12" s="460" t="s">
        <v>457</v>
      </c>
      <c r="Z12" s="363" t="s">
        <v>13</v>
      </c>
      <c r="AA12" s="350">
        <f>I23*C181</f>
        <v>0.27800000000000002</v>
      </c>
      <c r="AB12" s="358" t="s">
        <v>1</v>
      </c>
      <c r="AC12" s="299"/>
      <c r="AD12" s="447" t="s">
        <v>471</v>
      </c>
      <c r="AE12" s="443" t="s">
        <v>27</v>
      </c>
      <c r="AF12" s="283" t="s">
        <v>116</v>
      </c>
      <c r="AG12" s="503">
        <f>C220</f>
        <v>6.3973615024880797</v>
      </c>
      <c r="AH12" s="498" t="s">
        <v>15</v>
      </c>
      <c r="AI12" s="300"/>
    </row>
    <row r="13" spans="1:35" ht="18.75" customHeight="1" thickBot="1" x14ac:dyDescent="0.3">
      <c r="F13" s="307"/>
      <c r="G13" s="485" t="s">
        <v>217</v>
      </c>
      <c r="H13" s="486"/>
      <c r="I13" s="370">
        <v>10</v>
      </c>
      <c r="J13" s="308"/>
      <c r="L13" s="298"/>
      <c r="M13" s="371"/>
      <c r="N13" s="372"/>
      <c r="O13" s="374"/>
      <c r="P13" s="373"/>
      <c r="Q13" s="293"/>
      <c r="R13" s="448"/>
      <c r="S13" s="453"/>
      <c r="T13" s="261">
        <v>0.56799999999999995</v>
      </c>
      <c r="U13" s="434"/>
      <c r="V13" s="499"/>
      <c r="W13" s="308"/>
      <c r="X13" s="299"/>
      <c r="Y13" s="461"/>
      <c r="Z13" s="364" t="s">
        <v>493</v>
      </c>
      <c r="AA13" s="353">
        <f>0.353-0.532*AA12+0.01065*I21+0.3497*I25</f>
        <v>2.4050439999999997</v>
      </c>
      <c r="AB13" s="359" t="s">
        <v>1</v>
      </c>
      <c r="AC13" s="299"/>
      <c r="AD13" s="448"/>
      <c r="AE13" s="444"/>
      <c r="AF13" s="261">
        <v>0.56799999999999995</v>
      </c>
      <c r="AG13" s="504"/>
      <c r="AH13" s="499"/>
      <c r="AI13" s="300"/>
    </row>
    <row r="14" spans="1:35" ht="18.75" customHeight="1" thickBot="1" x14ac:dyDescent="0.25">
      <c r="B14" s="380"/>
      <c r="F14" s="307"/>
      <c r="G14" s="329"/>
      <c r="H14" s="329"/>
      <c r="I14" s="369"/>
      <c r="J14" s="308"/>
      <c r="L14" s="298"/>
      <c r="M14" s="294" t="s">
        <v>496</v>
      </c>
      <c r="N14" s="364" t="s">
        <v>497</v>
      </c>
      <c r="O14" s="353">
        <f>IF($I$9="Primípara",C22,C21)</f>
        <v>6.9859958444201453</v>
      </c>
      <c r="P14" s="359" t="s">
        <v>1</v>
      </c>
      <c r="Q14" s="299"/>
      <c r="R14" s="497"/>
      <c r="S14" s="445" t="s">
        <v>28</v>
      </c>
      <c r="T14" s="284" t="s">
        <v>116</v>
      </c>
      <c r="U14" s="437">
        <f>C72</f>
        <v>18.388602770803207</v>
      </c>
      <c r="V14" s="500" t="s">
        <v>15</v>
      </c>
      <c r="W14" s="308"/>
      <c r="X14" s="299"/>
      <c r="Y14" s="462"/>
      <c r="Z14" s="363" t="s">
        <v>507</v>
      </c>
      <c r="AA14" s="350">
        <f>AA13+AA12</f>
        <v>2.6830439999999998</v>
      </c>
      <c r="AB14" s="358" t="s">
        <v>1</v>
      </c>
      <c r="AC14" s="299"/>
      <c r="AD14" s="448"/>
      <c r="AE14" s="435" t="s">
        <v>28</v>
      </c>
      <c r="AF14" s="284" t="s">
        <v>116</v>
      </c>
      <c r="AG14" s="456">
        <f>C226</f>
        <v>5.9817955702572201</v>
      </c>
      <c r="AH14" s="500" t="s">
        <v>15</v>
      </c>
      <c r="AI14" s="300"/>
    </row>
    <row r="15" spans="1:35" ht="18.75" customHeight="1" thickBot="1" x14ac:dyDescent="0.3">
      <c r="B15" s="380"/>
      <c r="F15" s="307"/>
      <c r="G15" s="485" t="s">
        <v>401</v>
      </c>
      <c r="H15" s="486"/>
      <c r="I15" s="330">
        <v>0.1</v>
      </c>
      <c r="J15" s="308"/>
      <c r="L15" s="298"/>
      <c r="M15" s="371"/>
      <c r="N15" s="372"/>
      <c r="O15" s="374"/>
      <c r="P15" s="373"/>
      <c r="Q15" s="299"/>
      <c r="R15" s="497"/>
      <c r="S15" s="446"/>
      <c r="T15" s="261">
        <v>0.67800000000000005</v>
      </c>
      <c r="U15" s="438"/>
      <c r="V15" s="501"/>
      <c r="W15" s="308"/>
      <c r="X15" s="299"/>
      <c r="Y15" s="371"/>
      <c r="Z15" s="372"/>
      <c r="AA15" s="374"/>
      <c r="AB15" s="373"/>
      <c r="AC15" s="299"/>
      <c r="AD15" s="448"/>
      <c r="AE15" s="436"/>
      <c r="AF15" s="261">
        <v>0.67800000000000005</v>
      </c>
      <c r="AG15" s="457"/>
      <c r="AH15" s="501"/>
      <c r="AI15" s="300"/>
    </row>
    <row r="16" spans="1:35" ht="18.75" customHeight="1" x14ac:dyDescent="0.2">
      <c r="A16" s="502" t="s">
        <v>69</v>
      </c>
      <c r="B16" s="502"/>
      <c r="C16" s="391">
        <v>0.2</v>
      </c>
      <c r="F16" s="309"/>
      <c r="G16" s="275"/>
      <c r="H16" s="275"/>
      <c r="I16" s="301"/>
      <c r="J16" s="310"/>
      <c r="L16" s="298"/>
      <c r="M16" s="460" t="s">
        <v>68</v>
      </c>
      <c r="N16" s="363" t="s">
        <v>8</v>
      </c>
      <c r="O16" s="350">
        <f>(97.8*C28^0.75)/1000</f>
        <v>9.0252451104821052</v>
      </c>
      <c r="P16" s="358" t="s">
        <v>347</v>
      </c>
      <c r="Q16" s="299"/>
      <c r="R16" s="497"/>
      <c r="S16" s="366" t="s">
        <v>171</v>
      </c>
      <c r="T16" s="491">
        <f>C74</f>
        <v>1.3599317846137597</v>
      </c>
      <c r="U16" s="491"/>
      <c r="V16" s="492"/>
      <c r="W16" s="308"/>
      <c r="X16" s="299"/>
      <c r="Y16" s="460" t="s">
        <v>68</v>
      </c>
      <c r="Z16" s="363" t="s">
        <v>8</v>
      </c>
      <c r="AA16" s="350">
        <f>70.3*C179^0.75/1000</f>
        <v>3.6316929737552726</v>
      </c>
      <c r="AB16" s="358" t="s">
        <v>347</v>
      </c>
      <c r="AC16" s="299"/>
      <c r="AD16" s="448"/>
      <c r="AE16" s="265" t="s">
        <v>171</v>
      </c>
      <c r="AF16" s="491">
        <f>C228</f>
        <v>1.0694717710342934</v>
      </c>
      <c r="AG16" s="491"/>
      <c r="AH16" s="492"/>
      <c r="AI16" s="300"/>
    </row>
    <row r="17" spans="1:35" ht="18.75" customHeight="1" x14ac:dyDescent="0.2">
      <c r="A17" s="380"/>
      <c r="B17" s="380"/>
      <c r="D17" s="401"/>
      <c r="L17" s="298"/>
      <c r="M17" s="461"/>
      <c r="N17" s="364" t="s">
        <v>9</v>
      </c>
      <c r="O17" s="353">
        <f>C29*(1.0076*C28^0.2389)</f>
        <v>0.39606887787032086</v>
      </c>
      <c r="P17" s="359" t="s">
        <v>347</v>
      </c>
      <c r="Q17" s="299"/>
      <c r="R17" s="448"/>
      <c r="S17" s="445" t="s">
        <v>29</v>
      </c>
      <c r="T17" s="284" t="s">
        <v>116</v>
      </c>
      <c r="U17" s="456">
        <f>C81</f>
        <v>9.7397274838780916</v>
      </c>
      <c r="V17" s="500" t="s">
        <v>15</v>
      </c>
      <c r="W17" s="308"/>
      <c r="X17" s="299"/>
      <c r="Y17" s="461"/>
      <c r="Z17" s="364" t="s">
        <v>9</v>
      </c>
      <c r="AA17" s="353">
        <f>0.0932*C179^0.75*C180^0.9157</f>
        <v>1.0603745038988153</v>
      </c>
      <c r="AB17" s="359" t="s">
        <v>347</v>
      </c>
      <c r="AC17" s="299"/>
      <c r="AD17" s="448"/>
      <c r="AE17" s="435" t="s">
        <v>29</v>
      </c>
      <c r="AF17" s="284" t="s">
        <v>116</v>
      </c>
      <c r="AG17" s="456">
        <f>C234</f>
        <v>3.4946257279943516</v>
      </c>
      <c r="AH17" s="500" t="s">
        <v>15</v>
      </c>
      <c r="AI17" s="300"/>
    </row>
    <row r="18" spans="1:35" ht="18.75" customHeight="1" x14ac:dyDescent="0.2">
      <c r="D18" s="401"/>
      <c r="F18" s="507" t="s">
        <v>494</v>
      </c>
      <c r="G18" s="507"/>
      <c r="H18" s="507"/>
      <c r="I18" s="507"/>
      <c r="J18" s="507"/>
      <c r="L18" s="298"/>
      <c r="M18" s="461"/>
      <c r="N18" s="363" t="s">
        <v>502</v>
      </c>
      <c r="O18" s="350">
        <f>(C37*O14)</f>
        <v>5.7285165924245192</v>
      </c>
      <c r="P18" s="358" t="s">
        <v>347</v>
      </c>
      <c r="Q18" s="299"/>
      <c r="R18" s="448"/>
      <c r="S18" s="446"/>
      <c r="T18" s="261">
        <v>0.35499999999999998</v>
      </c>
      <c r="U18" s="457"/>
      <c r="V18" s="501"/>
      <c r="W18" s="308"/>
      <c r="X18" s="299"/>
      <c r="Y18" s="461"/>
      <c r="Z18" s="363" t="s">
        <v>5</v>
      </c>
      <c r="AA18" s="350">
        <f>118.6*C179^0.75/1000</f>
        <v>6.1268675204463063</v>
      </c>
      <c r="AB18" s="358" t="s">
        <v>347</v>
      </c>
      <c r="AC18" s="299"/>
      <c r="AD18" s="448"/>
      <c r="AE18" s="436"/>
      <c r="AF18" s="261">
        <v>0.35499999999999998</v>
      </c>
      <c r="AG18" s="457"/>
      <c r="AH18" s="501"/>
      <c r="AI18" s="300"/>
    </row>
    <row r="19" spans="1:35" ht="18.75" customHeight="1" x14ac:dyDescent="0.2">
      <c r="C19" s="384"/>
      <c r="F19" s="507"/>
      <c r="G19" s="507"/>
      <c r="H19" s="507"/>
      <c r="I19" s="507"/>
      <c r="J19" s="507"/>
      <c r="L19" s="298"/>
      <c r="M19" s="461"/>
      <c r="N19" s="364" t="s">
        <v>5</v>
      </c>
      <c r="O19" s="351">
        <f>(135*C28^0.75)/1000</f>
        <v>12.458160428579593</v>
      </c>
      <c r="P19" s="359" t="s">
        <v>347</v>
      </c>
      <c r="Q19" s="299"/>
      <c r="R19" s="448"/>
      <c r="S19" s="452" t="s">
        <v>31</v>
      </c>
      <c r="T19" s="283" t="s">
        <v>116</v>
      </c>
      <c r="U19" s="433">
        <f>C88</f>
        <v>12.504698355626447</v>
      </c>
      <c r="V19" s="498" t="s">
        <v>15</v>
      </c>
      <c r="W19" s="308"/>
      <c r="X19" s="299"/>
      <c r="Y19" s="461"/>
      <c r="Z19" s="364" t="s">
        <v>6</v>
      </c>
      <c r="AA19" s="353">
        <f>AA17/C191</f>
        <v>1.8205928250818406</v>
      </c>
      <c r="AB19" s="359" t="s">
        <v>347</v>
      </c>
      <c r="AC19" s="299"/>
      <c r="AD19" s="448"/>
      <c r="AE19" s="443" t="s">
        <v>31</v>
      </c>
      <c r="AF19" s="283" t="s">
        <v>116</v>
      </c>
      <c r="AG19" s="503">
        <f>C240</f>
        <v>3.9509943027039207</v>
      </c>
      <c r="AH19" s="498" t="s">
        <v>15</v>
      </c>
      <c r="AI19" s="300"/>
    </row>
    <row r="20" spans="1:35" ht="18.75" customHeight="1" thickBot="1" x14ac:dyDescent="0.25">
      <c r="F20" s="303"/>
      <c r="G20" s="304"/>
      <c r="H20" s="304"/>
      <c r="I20" s="305"/>
      <c r="J20" s="312"/>
      <c r="L20" s="298"/>
      <c r="M20" s="461"/>
      <c r="N20" s="363" t="s">
        <v>6</v>
      </c>
      <c r="O20" s="350">
        <f>O17/C35</f>
        <v>0.90015654061436556</v>
      </c>
      <c r="P20" s="358" t="s">
        <v>347</v>
      </c>
      <c r="Q20" s="299"/>
      <c r="R20" s="448"/>
      <c r="S20" s="453"/>
      <c r="T20" s="261">
        <v>0.371</v>
      </c>
      <c r="U20" s="434"/>
      <c r="V20" s="499"/>
      <c r="W20" s="308"/>
      <c r="X20" s="299"/>
      <c r="Y20" s="461"/>
      <c r="Z20" s="363" t="s">
        <v>504</v>
      </c>
      <c r="AA20" s="350">
        <f>AA19+AA18</f>
        <v>7.947460345528147</v>
      </c>
      <c r="AB20" s="358" t="s">
        <v>347</v>
      </c>
      <c r="AC20" s="299"/>
      <c r="AD20" s="448"/>
      <c r="AE20" s="444"/>
      <c r="AF20" s="261">
        <v>0.371</v>
      </c>
      <c r="AG20" s="504"/>
      <c r="AH20" s="499"/>
      <c r="AI20" s="300"/>
    </row>
    <row r="21" spans="1:35" ht="18.75" customHeight="1" thickBot="1" x14ac:dyDescent="0.25">
      <c r="A21" s="458" t="s">
        <v>218</v>
      </c>
      <c r="B21" s="378" t="s">
        <v>219</v>
      </c>
      <c r="C21" s="389">
        <f>7.996-0.101*I13-7.996*EXP(-1.447*I13)</f>
        <v>6.9859958444201453</v>
      </c>
      <c r="F21" s="307"/>
      <c r="G21" s="485" t="s">
        <v>495</v>
      </c>
      <c r="H21" s="505"/>
      <c r="I21" s="370">
        <v>200</v>
      </c>
      <c r="J21" s="308"/>
      <c r="L21" s="298"/>
      <c r="M21" s="461"/>
      <c r="N21" s="364" t="s">
        <v>503</v>
      </c>
      <c r="O21" s="353">
        <f>O18/C38</f>
        <v>7.9562730450340551</v>
      </c>
      <c r="P21" s="359" t="s">
        <v>347</v>
      </c>
      <c r="Q21" s="299"/>
      <c r="R21" s="448"/>
      <c r="S21" s="445" t="s">
        <v>30</v>
      </c>
      <c r="T21" s="284" t="s">
        <v>116</v>
      </c>
      <c r="U21" s="437">
        <f>C95</f>
        <v>34.544180415078344</v>
      </c>
      <c r="V21" s="500" t="s">
        <v>15</v>
      </c>
      <c r="W21" s="308"/>
      <c r="X21" s="299"/>
      <c r="Y21" s="461"/>
      <c r="Z21" s="364" t="s">
        <v>508</v>
      </c>
      <c r="AA21" s="353">
        <f>I23*0.18</f>
        <v>0.36</v>
      </c>
      <c r="AB21" s="359" t="s">
        <v>1</v>
      </c>
      <c r="AC21" s="299"/>
      <c r="AD21" s="448"/>
      <c r="AE21" s="435" t="s">
        <v>30</v>
      </c>
      <c r="AF21" s="284" t="s">
        <v>116</v>
      </c>
      <c r="AG21" s="437">
        <f>C246</f>
        <v>10.135721323637993</v>
      </c>
      <c r="AH21" s="500" t="s">
        <v>15</v>
      </c>
      <c r="AI21" s="300"/>
    </row>
    <row r="22" spans="1:35" ht="18.75" customHeight="1" thickBot="1" x14ac:dyDescent="0.25">
      <c r="A22" s="458"/>
      <c r="B22" s="378" t="s">
        <v>220</v>
      </c>
      <c r="C22" s="389">
        <f>6.431-0.072*I13-6.431*EXP(-2.188*I13)</f>
        <v>5.7109999979773756</v>
      </c>
      <c r="F22" s="307"/>
      <c r="G22" s="368"/>
      <c r="H22" s="368"/>
      <c r="I22" s="369"/>
      <c r="J22" s="308"/>
      <c r="L22" s="298"/>
      <c r="M22" s="461"/>
      <c r="N22" s="363" t="s">
        <v>504</v>
      </c>
      <c r="O22" s="354">
        <f>O19+O20+O21</f>
        <v>21.314590014228013</v>
      </c>
      <c r="P22" s="358" t="s">
        <v>347</v>
      </c>
      <c r="Q22" s="299"/>
      <c r="R22" s="448"/>
      <c r="S22" s="446"/>
      <c r="T22" s="261">
        <v>0.48399999999999999</v>
      </c>
      <c r="U22" s="438"/>
      <c r="V22" s="501"/>
      <c r="W22" s="308"/>
      <c r="X22" s="299"/>
      <c r="Y22" s="461"/>
      <c r="Z22" s="363" t="s">
        <v>509</v>
      </c>
      <c r="AA22" s="350">
        <f>AA23-AA21</f>
        <v>1.5215010287708681</v>
      </c>
      <c r="AB22" s="358" t="s">
        <v>1</v>
      </c>
      <c r="AC22" s="299"/>
      <c r="AD22" s="448"/>
      <c r="AE22" s="436"/>
      <c r="AF22" s="261">
        <v>0.48399999999999999</v>
      </c>
      <c r="AG22" s="438"/>
      <c r="AH22" s="501"/>
      <c r="AI22" s="300"/>
    </row>
    <row r="23" spans="1:35" ht="18.75" customHeight="1" thickBot="1" x14ac:dyDescent="0.25">
      <c r="A23" s="458"/>
      <c r="B23" s="379" t="s">
        <v>79</v>
      </c>
      <c r="F23" s="307"/>
      <c r="G23" s="485" t="s">
        <v>498</v>
      </c>
      <c r="H23" s="486"/>
      <c r="I23" s="419">
        <v>2</v>
      </c>
      <c r="J23" s="308"/>
      <c r="L23" s="298"/>
      <c r="M23" s="461"/>
      <c r="N23" s="493" t="s">
        <v>2</v>
      </c>
      <c r="O23" s="353">
        <f>C42/4.4</f>
        <v>5.901036670490698</v>
      </c>
      <c r="P23" s="359" t="s">
        <v>312</v>
      </c>
      <c r="Q23" s="299"/>
      <c r="R23" s="448"/>
      <c r="S23" s="452" t="s">
        <v>33</v>
      </c>
      <c r="T23" s="283" t="s">
        <v>116</v>
      </c>
      <c r="U23" s="503">
        <f>C102</f>
        <v>10.213485154615039</v>
      </c>
      <c r="V23" s="498" t="s">
        <v>15</v>
      </c>
      <c r="W23" s="308"/>
      <c r="X23" s="299"/>
      <c r="Y23" s="461"/>
      <c r="Z23" s="364" t="s">
        <v>510</v>
      </c>
      <c r="AA23" s="353">
        <f>C194/4.4</f>
        <v>1.8815010287708682</v>
      </c>
      <c r="AB23" s="359" t="s">
        <v>1</v>
      </c>
      <c r="AC23" s="299"/>
      <c r="AD23" s="448"/>
      <c r="AE23" s="443" t="s">
        <v>33</v>
      </c>
      <c r="AF23" s="283" t="s">
        <v>116</v>
      </c>
      <c r="AG23" s="503">
        <f>C266</f>
        <v>3.5066188119651125</v>
      </c>
      <c r="AH23" s="498" t="s">
        <v>15</v>
      </c>
      <c r="AI23" s="300"/>
    </row>
    <row r="24" spans="1:35" ht="18.75" customHeight="1" thickBot="1" x14ac:dyDescent="0.25">
      <c r="F24" s="307"/>
      <c r="G24" s="329"/>
      <c r="H24" s="329"/>
      <c r="I24" s="369"/>
      <c r="J24" s="308"/>
      <c r="L24" s="298"/>
      <c r="M24" s="462"/>
      <c r="N24" s="494"/>
      <c r="O24" s="351">
        <f>O23/O12*100</f>
        <v>55.309060611647965</v>
      </c>
      <c r="P24" s="359" t="s">
        <v>343</v>
      </c>
      <c r="Q24" s="299"/>
      <c r="R24" s="449"/>
      <c r="S24" s="453"/>
      <c r="T24" s="261">
        <v>0.77300000000000002</v>
      </c>
      <c r="U24" s="504"/>
      <c r="V24" s="499"/>
      <c r="W24" s="308"/>
      <c r="X24" s="299"/>
      <c r="Y24" s="462"/>
      <c r="Z24" s="363" t="s">
        <v>510</v>
      </c>
      <c r="AA24" s="354">
        <f>AA23/AA14*100</f>
        <v>70.125612131998892</v>
      </c>
      <c r="AB24" s="358" t="s">
        <v>343</v>
      </c>
      <c r="AC24" s="299"/>
      <c r="AD24" s="449"/>
      <c r="AE24" s="444"/>
      <c r="AF24" s="261">
        <v>0.77</v>
      </c>
      <c r="AG24" s="504"/>
      <c r="AH24" s="499"/>
      <c r="AI24" s="300"/>
    </row>
    <row r="25" spans="1:35" ht="18.75" thickBot="1" x14ac:dyDescent="0.3">
      <c r="B25" s="378" t="s">
        <v>227</v>
      </c>
      <c r="C25" s="389">
        <f>6.535-7.558*EXP(-0.578*I13)+0.323*I13+1.66*O14</f>
        <v>21.338408590681986</v>
      </c>
      <c r="F25" s="307"/>
      <c r="G25" s="485" t="s">
        <v>401</v>
      </c>
      <c r="H25" s="486"/>
      <c r="I25" s="330">
        <v>0.2</v>
      </c>
      <c r="J25" s="308"/>
      <c r="L25" s="298"/>
      <c r="M25" s="371"/>
      <c r="N25" s="372"/>
      <c r="O25" s="374"/>
      <c r="P25" s="373"/>
      <c r="Q25" s="299"/>
      <c r="R25" s="348"/>
      <c r="S25" s="348"/>
      <c r="T25" s="262"/>
      <c r="U25" s="329"/>
      <c r="V25" s="360"/>
      <c r="W25" s="308"/>
      <c r="X25" s="299"/>
      <c r="Y25" s="371"/>
      <c r="Z25" s="372"/>
      <c r="AA25" s="374"/>
      <c r="AB25" s="373"/>
      <c r="AC25" s="299"/>
      <c r="AD25" s="299"/>
      <c r="AE25" s="299"/>
      <c r="AF25" s="299"/>
      <c r="AG25" s="374"/>
      <c r="AH25" s="299"/>
      <c r="AI25" s="300"/>
    </row>
    <row r="26" spans="1:35" ht="18.75" customHeight="1" x14ac:dyDescent="0.2">
      <c r="B26" s="378" t="s">
        <v>67</v>
      </c>
      <c r="F26" s="309"/>
      <c r="G26" s="275"/>
      <c r="H26" s="275"/>
      <c r="I26" s="301"/>
      <c r="J26" s="313"/>
      <c r="L26" s="298"/>
      <c r="M26" s="460" t="s">
        <v>94</v>
      </c>
      <c r="N26" s="363" t="s">
        <v>23</v>
      </c>
      <c r="O26" s="355">
        <f>3.9*C27^0.75</f>
        <v>405.92795065295701</v>
      </c>
      <c r="P26" s="358" t="s">
        <v>15</v>
      </c>
      <c r="Q26" s="299"/>
      <c r="R26" s="447" t="s">
        <v>472</v>
      </c>
      <c r="S26" s="452" t="s">
        <v>37</v>
      </c>
      <c r="T26" s="283" t="s">
        <v>116</v>
      </c>
      <c r="U26" s="433">
        <f>C109</f>
        <v>85.106727260512415</v>
      </c>
      <c r="V26" s="498" t="s">
        <v>356</v>
      </c>
      <c r="W26" s="308"/>
      <c r="X26" s="299"/>
      <c r="Y26" s="460" t="s">
        <v>94</v>
      </c>
      <c r="Z26" s="363" t="s">
        <v>23</v>
      </c>
      <c r="AA26" s="355">
        <f>3.9*C178^0.75</f>
        <v>207.41353998085444</v>
      </c>
      <c r="AB26" s="358" t="s">
        <v>15</v>
      </c>
      <c r="AC26" s="299"/>
      <c r="AD26" s="447" t="s">
        <v>472</v>
      </c>
      <c r="AE26" s="443" t="s">
        <v>37</v>
      </c>
      <c r="AF26" s="283" t="s">
        <v>116</v>
      </c>
      <c r="AG26" s="433">
        <f>C272</f>
        <v>27.673790462435221</v>
      </c>
      <c r="AH26" s="498" t="s">
        <v>356</v>
      </c>
      <c r="AI26" s="300"/>
    </row>
    <row r="27" spans="1:35" ht="18.75" customHeight="1" x14ac:dyDescent="0.2">
      <c r="B27" s="378" t="s">
        <v>222</v>
      </c>
      <c r="C27" s="384">
        <f>0.8915*I11^1.0151</f>
        <v>489.60494881921881</v>
      </c>
      <c r="L27" s="298"/>
      <c r="M27" s="461"/>
      <c r="N27" s="364" t="s">
        <v>24</v>
      </c>
      <c r="O27" s="351">
        <f>C48/C49</f>
        <v>24.352867131131003</v>
      </c>
      <c r="P27" s="359" t="s">
        <v>15</v>
      </c>
      <c r="Q27" s="299"/>
      <c r="R27" s="448"/>
      <c r="S27" s="453"/>
      <c r="T27" s="261">
        <v>0.73499999999999999</v>
      </c>
      <c r="U27" s="434"/>
      <c r="V27" s="499"/>
      <c r="W27" s="308"/>
      <c r="X27" s="299"/>
      <c r="Y27" s="461"/>
      <c r="Z27" s="364" t="s">
        <v>24</v>
      </c>
      <c r="AA27" s="351">
        <f>C202/C203*100</f>
        <v>51.940801816320572</v>
      </c>
      <c r="AB27" s="359" t="s">
        <v>15</v>
      </c>
      <c r="AC27" s="299"/>
      <c r="AD27" s="448"/>
      <c r="AE27" s="444"/>
      <c r="AF27" s="261">
        <v>0.74</v>
      </c>
      <c r="AG27" s="434"/>
      <c r="AH27" s="499"/>
      <c r="AI27" s="300"/>
    </row>
    <row r="28" spans="1:35" ht="18.75" customHeight="1" x14ac:dyDescent="0.2">
      <c r="B28" s="378" t="s">
        <v>223</v>
      </c>
      <c r="C28" s="384">
        <f>0.8507*C27^1.0002</f>
        <v>417.02318500973416</v>
      </c>
      <c r="L28" s="298"/>
      <c r="M28" s="461"/>
      <c r="N28" s="363" t="s">
        <v>505</v>
      </c>
      <c r="O28" s="355">
        <f>50.5*O14</f>
        <v>352.79279014321736</v>
      </c>
      <c r="P28" s="358" t="s">
        <v>15</v>
      </c>
      <c r="Q28" s="299"/>
      <c r="R28" s="448"/>
      <c r="S28" s="445" t="s">
        <v>35</v>
      </c>
      <c r="T28" s="284" t="s">
        <v>116</v>
      </c>
      <c r="U28" s="456">
        <f>C116</f>
        <v>9.6318227856810221</v>
      </c>
      <c r="V28" s="500" t="s">
        <v>356</v>
      </c>
      <c r="W28" s="308"/>
      <c r="X28" s="299"/>
      <c r="Y28" s="461"/>
      <c r="Z28" s="363" t="s">
        <v>506</v>
      </c>
      <c r="AA28" s="355">
        <f>AA27+AA26</f>
        <v>259.35434179717504</v>
      </c>
      <c r="AB28" s="358" t="s">
        <v>15</v>
      </c>
      <c r="AC28" s="299"/>
      <c r="AD28" s="448"/>
      <c r="AE28" s="435" t="s">
        <v>35</v>
      </c>
      <c r="AF28" s="284" t="s">
        <v>116</v>
      </c>
      <c r="AG28" s="456">
        <f>C278</f>
        <v>3.1122294390751657</v>
      </c>
      <c r="AH28" s="500" t="s">
        <v>356</v>
      </c>
      <c r="AI28" s="300"/>
    </row>
    <row r="29" spans="1:35" ht="18.75" customHeight="1" x14ac:dyDescent="0.2">
      <c r="B29" s="378" t="s">
        <v>48</v>
      </c>
      <c r="C29" s="386">
        <f>0.963*I15^1.0151</f>
        <v>9.3009281002506494E-2</v>
      </c>
      <c r="L29" s="298"/>
      <c r="M29" s="461"/>
      <c r="N29" s="364" t="s">
        <v>506</v>
      </c>
      <c r="O29" s="356">
        <f>O26+O28+O27</f>
        <v>783.07360792730537</v>
      </c>
      <c r="P29" s="359" t="s">
        <v>15</v>
      </c>
      <c r="Q29" s="299"/>
      <c r="R29" s="448"/>
      <c r="S29" s="446"/>
      <c r="T29" s="261">
        <v>0.86799999999999999</v>
      </c>
      <c r="U29" s="457"/>
      <c r="V29" s="501"/>
      <c r="W29" s="308"/>
      <c r="X29" s="299"/>
      <c r="Y29" s="461"/>
      <c r="Z29" s="493" t="s">
        <v>18</v>
      </c>
      <c r="AA29" s="351">
        <f>C208</f>
        <v>165.01876457544017</v>
      </c>
      <c r="AB29" s="359" t="s">
        <v>15</v>
      </c>
      <c r="AC29" s="299"/>
      <c r="AD29" s="448"/>
      <c r="AE29" s="436"/>
      <c r="AF29" s="261">
        <v>0.87</v>
      </c>
      <c r="AG29" s="457"/>
      <c r="AH29" s="501"/>
      <c r="AI29" s="300"/>
    </row>
    <row r="30" spans="1:35" ht="18.75" customHeight="1" x14ac:dyDescent="0.2">
      <c r="L30" s="298"/>
      <c r="M30" s="461"/>
      <c r="N30" s="495" t="s">
        <v>18</v>
      </c>
      <c r="O30" s="355">
        <f>C53*1000</f>
        <v>715.77733851110622</v>
      </c>
      <c r="P30" s="358" t="s">
        <v>15</v>
      </c>
      <c r="Q30" s="299"/>
      <c r="R30" s="448"/>
      <c r="S30" s="452" t="s">
        <v>65</v>
      </c>
      <c r="T30" s="283" t="s">
        <v>116</v>
      </c>
      <c r="U30" s="433">
        <f>C123</f>
        <v>44.200881821918337</v>
      </c>
      <c r="V30" s="498" t="s">
        <v>356</v>
      </c>
      <c r="W30" s="308"/>
      <c r="X30" s="299"/>
      <c r="Y30" s="461"/>
      <c r="Z30" s="494"/>
      <c r="AA30" s="353">
        <f>AA29/AA34*100</f>
        <v>46.198291792858676</v>
      </c>
      <c r="AB30" s="359" t="s">
        <v>458</v>
      </c>
      <c r="AC30" s="299"/>
      <c r="AD30" s="448"/>
      <c r="AE30" s="443" t="s">
        <v>65</v>
      </c>
      <c r="AF30" s="283" t="s">
        <v>116</v>
      </c>
      <c r="AG30" s="503">
        <f>C284</f>
        <v>7.2694300697846721</v>
      </c>
      <c r="AH30" s="498" t="s">
        <v>356</v>
      </c>
      <c r="AI30" s="300"/>
    </row>
    <row r="31" spans="1:35" ht="18.75" customHeight="1" x14ac:dyDescent="0.2">
      <c r="A31" s="458" t="s">
        <v>68</v>
      </c>
      <c r="B31" s="378" t="s">
        <v>228</v>
      </c>
      <c r="L31" s="298"/>
      <c r="M31" s="461"/>
      <c r="N31" s="496"/>
      <c r="O31" s="354">
        <f>O30/O34*100</f>
        <v>63.79491512181842</v>
      </c>
      <c r="P31" s="358" t="s">
        <v>458</v>
      </c>
      <c r="Q31" s="299"/>
      <c r="R31" s="448"/>
      <c r="S31" s="453"/>
      <c r="T31" s="261">
        <v>0.78400000000000003</v>
      </c>
      <c r="U31" s="434"/>
      <c r="V31" s="499"/>
      <c r="W31" s="308"/>
      <c r="X31" s="299"/>
      <c r="Y31" s="461"/>
      <c r="Z31" s="495" t="s">
        <v>21</v>
      </c>
      <c r="AA31" s="355">
        <f>(AA28-(C208*0.64))/0.8</f>
        <v>192.17791558611665</v>
      </c>
      <c r="AB31" s="358" t="s">
        <v>15</v>
      </c>
      <c r="AC31" s="299"/>
      <c r="AD31" s="448"/>
      <c r="AE31" s="444"/>
      <c r="AF31" s="261">
        <v>0.78</v>
      </c>
      <c r="AG31" s="504"/>
      <c r="AH31" s="499"/>
      <c r="AI31" s="300"/>
    </row>
    <row r="32" spans="1:35" ht="18.75" customHeight="1" x14ac:dyDescent="0.2">
      <c r="A32" s="458"/>
      <c r="B32" s="378" t="s">
        <v>5</v>
      </c>
      <c r="L32" s="298"/>
      <c r="M32" s="461"/>
      <c r="N32" s="493" t="s">
        <v>21</v>
      </c>
      <c r="O32" s="356">
        <f>(O29-((C53*1000)*0.64))/0.8</f>
        <v>406.22013910024668</v>
      </c>
      <c r="P32" s="359" t="s">
        <v>15</v>
      </c>
      <c r="Q32" s="299"/>
      <c r="R32" s="448"/>
      <c r="S32" s="445" t="s">
        <v>39</v>
      </c>
      <c r="T32" s="284" t="s">
        <v>116</v>
      </c>
      <c r="U32" s="450">
        <f>C130</f>
        <v>2294.2732197386681</v>
      </c>
      <c r="V32" s="500" t="s">
        <v>356</v>
      </c>
      <c r="W32" s="308"/>
      <c r="X32" s="299"/>
      <c r="Y32" s="461"/>
      <c r="Z32" s="496"/>
      <c r="AA32" s="354">
        <f>AA31/AA34*100</f>
        <v>53.801708207141317</v>
      </c>
      <c r="AB32" s="358" t="s">
        <v>458</v>
      </c>
      <c r="AC32" s="299"/>
      <c r="AD32" s="448"/>
      <c r="AE32" s="435" t="s">
        <v>39</v>
      </c>
      <c r="AF32" s="284" t="s">
        <v>116</v>
      </c>
      <c r="AG32" s="450">
        <f>C290</f>
        <v>815.67268526774171</v>
      </c>
      <c r="AH32" s="500" t="s">
        <v>356</v>
      </c>
      <c r="AI32" s="300"/>
    </row>
    <row r="33" spans="1:35" ht="18.75" customHeight="1" x14ac:dyDescent="0.2">
      <c r="A33" s="458"/>
      <c r="B33" s="378" t="s">
        <v>10</v>
      </c>
      <c r="L33" s="298"/>
      <c r="M33" s="461"/>
      <c r="N33" s="494"/>
      <c r="O33" s="351">
        <f>O32/O34*100</f>
        <v>36.20508487818158</v>
      </c>
      <c r="P33" s="359" t="s">
        <v>458</v>
      </c>
      <c r="Q33" s="299"/>
      <c r="R33" s="448"/>
      <c r="S33" s="446"/>
      <c r="T33" s="261">
        <v>0.73399999999999999</v>
      </c>
      <c r="U33" s="451"/>
      <c r="V33" s="501"/>
      <c r="W33" s="308"/>
      <c r="X33" s="299"/>
      <c r="Y33" s="461"/>
      <c r="Z33" s="364" t="s">
        <v>511</v>
      </c>
      <c r="AA33" s="356">
        <f>C206*1000</f>
        <v>71.2</v>
      </c>
      <c r="AB33" s="359" t="s">
        <v>15</v>
      </c>
      <c r="AC33" s="299"/>
      <c r="AD33" s="448"/>
      <c r="AE33" s="436"/>
      <c r="AF33" s="261">
        <v>0.73</v>
      </c>
      <c r="AG33" s="451"/>
      <c r="AH33" s="501"/>
      <c r="AI33" s="300"/>
    </row>
    <row r="34" spans="1:35" ht="18.75" customHeight="1" x14ac:dyDescent="0.2">
      <c r="A34" s="458"/>
      <c r="B34" s="378" t="s">
        <v>9</v>
      </c>
      <c r="L34" s="298"/>
      <c r="M34" s="461"/>
      <c r="N34" s="495" t="s">
        <v>14</v>
      </c>
      <c r="O34" s="355">
        <f>O32+O30</f>
        <v>1121.9974776113529</v>
      </c>
      <c r="P34" s="358" t="s">
        <v>15</v>
      </c>
      <c r="Q34" s="299"/>
      <c r="R34" s="448"/>
      <c r="S34" s="452" t="s">
        <v>41</v>
      </c>
      <c r="T34" s="283" t="s">
        <v>116</v>
      </c>
      <c r="U34" s="454">
        <f>C137</f>
        <v>234.8806868842633</v>
      </c>
      <c r="V34" s="498" t="s">
        <v>356</v>
      </c>
      <c r="W34" s="308"/>
      <c r="X34" s="299"/>
      <c r="Y34" s="461"/>
      <c r="Z34" s="495" t="s">
        <v>512</v>
      </c>
      <c r="AA34" s="355">
        <f>AA31+AA29</f>
        <v>357.19668016155686</v>
      </c>
      <c r="AB34" s="358" t="s">
        <v>15</v>
      </c>
      <c r="AC34" s="299"/>
      <c r="AD34" s="448"/>
      <c r="AE34" s="443" t="s">
        <v>41</v>
      </c>
      <c r="AF34" s="283" t="s">
        <v>116</v>
      </c>
      <c r="AG34" s="433">
        <f>C296</f>
        <v>86.093808112175083</v>
      </c>
      <c r="AH34" s="498" t="s">
        <v>356</v>
      </c>
      <c r="AI34" s="300"/>
    </row>
    <row r="35" spans="1:35" ht="18.75" customHeight="1" x14ac:dyDescent="0.2">
      <c r="A35" s="458"/>
      <c r="B35" s="378" t="s">
        <v>1</v>
      </c>
      <c r="C35" s="388">
        <v>0.44</v>
      </c>
      <c r="L35" s="298"/>
      <c r="M35" s="462"/>
      <c r="N35" s="496"/>
      <c r="O35" s="354">
        <f>C57</f>
        <v>10.516224514524522</v>
      </c>
      <c r="P35" s="358" t="s">
        <v>343</v>
      </c>
      <c r="Q35" s="299"/>
      <c r="R35" s="448"/>
      <c r="S35" s="453"/>
      <c r="T35" s="261">
        <v>0.439</v>
      </c>
      <c r="U35" s="455"/>
      <c r="V35" s="499"/>
      <c r="W35" s="308"/>
      <c r="X35" s="299"/>
      <c r="Y35" s="462"/>
      <c r="Z35" s="496"/>
      <c r="AA35" s="354">
        <f>AA34/AA14/10</f>
        <v>13.313113022431121</v>
      </c>
      <c r="AB35" s="358" t="s">
        <v>343</v>
      </c>
      <c r="AC35" s="299"/>
      <c r="AD35" s="448"/>
      <c r="AE35" s="444"/>
      <c r="AF35" s="261">
        <v>0.44</v>
      </c>
      <c r="AG35" s="434"/>
      <c r="AH35" s="499"/>
      <c r="AI35" s="300"/>
    </row>
    <row r="36" spans="1:35" ht="18.75" customHeight="1" x14ac:dyDescent="0.2">
      <c r="A36" s="458"/>
      <c r="B36" s="378" t="s">
        <v>6</v>
      </c>
      <c r="L36" s="298"/>
      <c r="M36" s="293"/>
      <c r="N36" s="299"/>
      <c r="O36" s="299"/>
      <c r="P36" s="299"/>
      <c r="Q36" s="299"/>
      <c r="R36" s="448"/>
      <c r="S36" s="445" t="s">
        <v>45</v>
      </c>
      <c r="T36" s="284" t="s">
        <v>116</v>
      </c>
      <c r="U36" s="450">
        <f>C144</f>
        <v>649.45848472957971</v>
      </c>
      <c r="V36" s="500" t="s">
        <v>356</v>
      </c>
      <c r="W36" s="308"/>
      <c r="X36" s="299"/>
      <c r="Y36" s="293"/>
      <c r="Z36" s="299"/>
      <c r="AA36" s="299"/>
      <c r="AB36" s="299"/>
      <c r="AC36" s="299"/>
      <c r="AD36" s="448"/>
      <c r="AE36" s="435" t="s">
        <v>66</v>
      </c>
      <c r="AF36" s="284" t="s">
        <v>116</v>
      </c>
      <c r="AG36" s="456">
        <f>C302</f>
        <v>1.3195882437721098</v>
      </c>
      <c r="AH36" s="500" t="s">
        <v>356</v>
      </c>
      <c r="AI36" s="300"/>
    </row>
    <row r="37" spans="1:35" ht="18.75" customHeight="1" x14ac:dyDescent="0.2">
      <c r="A37" s="458"/>
      <c r="B37" s="378" t="s">
        <v>230</v>
      </c>
      <c r="C37" s="386">
        <v>0.82</v>
      </c>
      <c r="J37" s="296"/>
      <c r="L37" s="298"/>
      <c r="M37" s="293"/>
      <c r="N37" s="299"/>
      <c r="O37" s="299"/>
      <c r="P37" s="299"/>
      <c r="Q37" s="299"/>
      <c r="R37" s="448"/>
      <c r="S37" s="446"/>
      <c r="T37" s="261">
        <v>0.66800000000000004</v>
      </c>
      <c r="U37" s="451"/>
      <c r="V37" s="501"/>
      <c r="W37" s="308"/>
      <c r="X37" s="299"/>
      <c r="Y37" s="293"/>
      <c r="Z37" s="299"/>
      <c r="AA37" s="299"/>
      <c r="AB37" s="299"/>
      <c r="AC37" s="299"/>
      <c r="AD37" s="448"/>
      <c r="AE37" s="436"/>
      <c r="AF37" s="261">
        <v>0.5</v>
      </c>
      <c r="AG37" s="457"/>
      <c r="AH37" s="501"/>
      <c r="AI37" s="300"/>
    </row>
    <row r="38" spans="1:35" ht="17.25" customHeight="1" x14ac:dyDescent="0.35">
      <c r="A38" s="458"/>
      <c r="B38" s="378" t="s">
        <v>229</v>
      </c>
      <c r="C38" s="386">
        <v>0.72</v>
      </c>
      <c r="F38" s="314"/>
      <c r="J38" s="296"/>
      <c r="L38" s="298"/>
      <c r="M38" s="293"/>
      <c r="N38" s="299"/>
      <c r="O38" s="299"/>
      <c r="P38" s="299"/>
      <c r="Q38" s="299"/>
      <c r="R38" s="448"/>
      <c r="S38" s="452" t="s">
        <v>66</v>
      </c>
      <c r="T38" s="283" t="s">
        <v>116</v>
      </c>
      <c r="U38" s="503">
        <f>C152</f>
        <v>3.2777248491886608</v>
      </c>
      <c r="V38" s="498" t="s">
        <v>356</v>
      </c>
      <c r="W38" s="308"/>
      <c r="X38" s="299"/>
      <c r="Y38" s="293"/>
      <c r="Z38" s="299"/>
      <c r="AA38" s="299"/>
      <c r="AB38" s="299"/>
      <c r="AC38" s="299"/>
      <c r="AD38" s="448"/>
      <c r="AE38" s="443" t="s">
        <v>43</v>
      </c>
      <c r="AF38" s="283" t="s">
        <v>116</v>
      </c>
      <c r="AG38" s="503">
        <f>C308</f>
        <v>1.8078941984980057</v>
      </c>
      <c r="AH38" s="498" t="s">
        <v>356</v>
      </c>
      <c r="AI38" s="300"/>
    </row>
    <row r="39" spans="1:35" ht="17.25" customHeight="1" x14ac:dyDescent="0.2">
      <c r="A39" s="458"/>
      <c r="B39" s="378" t="s">
        <v>231</v>
      </c>
      <c r="L39" s="298"/>
      <c r="M39" s="293"/>
      <c r="N39" s="299"/>
      <c r="O39" s="299"/>
      <c r="P39" s="299"/>
      <c r="Q39" s="299"/>
      <c r="R39" s="448"/>
      <c r="S39" s="453"/>
      <c r="T39" s="261">
        <v>0.5</v>
      </c>
      <c r="U39" s="504"/>
      <c r="V39" s="499"/>
      <c r="W39" s="308"/>
      <c r="X39" s="299"/>
      <c r="Y39" s="293"/>
      <c r="Z39" s="299"/>
      <c r="AA39" s="299"/>
      <c r="AB39" s="299"/>
      <c r="AC39" s="299"/>
      <c r="AD39" s="448"/>
      <c r="AE39" s="444"/>
      <c r="AF39" s="261">
        <v>0.49</v>
      </c>
      <c r="AG39" s="504"/>
      <c r="AH39" s="499"/>
      <c r="AI39" s="300"/>
    </row>
    <row r="40" spans="1:35" ht="17.25" customHeight="1" x14ac:dyDescent="0.2">
      <c r="A40" s="458"/>
      <c r="B40" s="378" t="s">
        <v>224</v>
      </c>
      <c r="L40" s="298"/>
      <c r="M40" s="293"/>
      <c r="N40" s="299"/>
      <c r="O40" s="299"/>
      <c r="P40" s="299"/>
      <c r="Q40" s="299"/>
      <c r="R40" s="448"/>
      <c r="S40" s="445" t="s">
        <v>43</v>
      </c>
      <c r="T40" s="284" t="s">
        <v>116</v>
      </c>
      <c r="U40" s="456">
        <f>C158</f>
        <v>3.9290565948250187</v>
      </c>
      <c r="V40" s="500" t="s">
        <v>356</v>
      </c>
      <c r="W40" s="308"/>
      <c r="X40" s="299"/>
      <c r="Y40" s="293"/>
      <c r="Z40" s="299"/>
      <c r="AA40" s="299"/>
      <c r="AB40" s="299"/>
      <c r="AC40" s="299"/>
      <c r="AD40" s="448"/>
      <c r="AE40" s="435" t="s">
        <v>45</v>
      </c>
      <c r="AF40" s="284" t="s">
        <v>116</v>
      </c>
      <c r="AG40" s="450">
        <f>C314</f>
        <v>130.38382993822546</v>
      </c>
      <c r="AH40" s="500" t="s">
        <v>356</v>
      </c>
      <c r="AI40" s="300"/>
    </row>
    <row r="41" spans="1:35" ht="17.25" customHeight="1" x14ac:dyDescent="0.2">
      <c r="A41" s="458"/>
      <c r="B41" s="378" t="s">
        <v>225</v>
      </c>
      <c r="L41" s="298"/>
      <c r="M41" s="293"/>
      <c r="N41" s="299"/>
      <c r="O41" s="299"/>
      <c r="P41" s="299"/>
      <c r="Q41" s="299"/>
      <c r="R41" s="449"/>
      <c r="S41" s="446"/>
      <c r="T41" s="261">
        <v>0.49</v>
      </c>
      <c r="U41" s="457"/>
      <c r="V41" s="501"/>
      <c r="W41" s="308"/>
      <c r="X41" s="299"/>
      <c r="Y41" s="293"/>
      <c r="Z41" s="299"/>
      <c r="AA41" s="299"/>
      <c r="AB41" s="299"/>
      <c r="AC41" s="299"/>
      <c r="AD41" s="449"/>
      <c r="AE41" s="436"/>
      <c r="AF41" s="261">
        <v>0.67</v>
      </c>
      <c r="AG41" s="451"/>
      <c r="AH41" s="501"/>
      <c r="AI41" s="300"/>
    </row>
    <row r="42" spans="1:35" ht="17.25" customHeight="1" x14ac:dyDescent="0.2">
      <c r="A42" s="458"/>
      <c r="B42" s="378" t="s">
        <v>3</v>
      </c>
      <c r="C42" s="389">
        <f>(((O22/O12)+0.3032)/0.9455)*O12</f>
        <v>25.964561350159073</v>
      </c>
      <c r="F42" s="472" t="s">
        <v>387</v>
      </c>
      <c r="G42" s="472"/>
      <c r="H42" s="472"/>
      <c r="I42" s="472"/>
      <c r="J42" s="472"/>
      <c r="L42" s="298"/>
      <c r="M42" s="293"/>
      <c r="N42" s="299"/>
      <c r="O42" s="299"/>
      <c r="P42" s="299"/>
      <c r="Q42" s="299"/>
      <c r="R42" s="299"/>
      <c r="S42" s="299"/>
      <c r="T42" s="299"/>
      <c r="U42" s="299"/>
      <c r="V42" s="299"/>
      <c r="W42" s="308"/>
      <c r="X42" s="299"/>
      <c r="Y42" s="293"/>
      <c r="Z42" s="299"/>
      <c r="AA42" s="299"/>
      <c r="AB42" s="299"/>
      <c r="AC42" s="299"/>
      <c r="AD42" s="299"/>
      <c r="AE42" s="299"/>
      <c r="AF42" s="299"/>
      <c r="AG42" s="299"/>
      <c r="AH42" s="299"/>
      <c r="AI42" s="300"/>
    </row>
    <row r="43" spans="1:35" ht="20.25" customHeight="1" thickBot="1" x14ac:dyDescent="0.25">
      <c r="A43" s="458"/>
      <c r="B43" s="378" t="s">
        <v>103</v>
      </c>
      <c r="F43" s="517"/>
      <c r="G43" s="517"/>
      <c r="H43" s="517"/>
      <c r="I43" s="517"/>
      <c r="J43" s="517"/>
      <c r="L43" s="315"/>
      <c r="M43" s="316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6"/>
      <c r="Z43" s="317"/>
      <c r="AA43" s="317"/>
      <c r="AB43" s="317"/>
      <c r="AC43" s="317"/>
      <c r="AD43" s="317"/>
      <c r="AE43" s="317"/>
      <c r="AF43" s="317"/>
      <c r="AG43" s="317"/>
      <c r="AH43" s="317"/>
      <c r="AI43" s="318"/>
    </row>
    <row r="44" spans="1:35" x14ac:dyDescent="0.2">
      <c r="A44" s="458"/>
      <c r="B44" s="378" t="s">
        <v>93</v>
      </c>
      <c r="F44" s="270" t="s">
        <v>385</v>
      </c>
      <c r="G44" s="286"/>
      <c r="H44" s="322"/>
      <c r="I44" s="297"/>
      <c r="J44" s="323"/>
    </row>
    <row r="45" spans="1:35" x14ac:dyDescent="0.2">
      <c r="A45" s="458"/>
      <c r="F45" s="271" t="s">
        <v>382</v>
      </c>
      <c r="G45" s="287"/>
      <c r="H45" s="287"/>
      <c r="I45" s="293"/>
      <c r="J45" s="302"/>
      <c r="M45" s="296"/>
    </row>
    <row r="46" spans="1:35" ht="15" x14ac:dyDescent="0.2">
      <c r="F46" s="271" t="s">
        <v>490</v>
      </c>
      <c r="G46" s="287"/>
      <c r="H46" s="287"/>
      <c r="I46" s="293"/>
      <c r="J46" s="302"/>
      <c r="M46" s="255"/>
      <c r="N46" s="256"/>
      <c r="O46" s="10"/>
    </row>
    <row r="47" spans="1:35" x14ac:dyDescent="0.2">
      <c r="A47" s="458" t="s">
        <v>94</v>
      </c>
      <c r="B47" s="378" t="s">
        <v>23</v>
      </c>
      <c r="F47" s="271" t="s">
        <v>489</v>
      </c>
      <c r="G47" s="287"/>
      <c r="H47" s="287"/>
      <c r="I47" s="293"/>
      <c r="J47" s="302"/>
    </row>
    <row r="48" spans="1:35" x14ac:dyDescent="0.2">
      <c r="A48" s="458"/>
      <c r="B48" s="378" t="s">
        <v>25</v>
      </c>
      <c r="C48" s="389">
        <f>C29*(376.4*C28^-0.1839)</f>
        <v>11.543259020156095</v>
      </c>
      <c r="F48" s="271" t="s">
        <v>375</v>
      </c>
      <c r="G48" s="287"/>
      <c r="H48" s="287"/>
      <c r="I48" s="293"/>
      <c r="J48" s="302"/>
    </row>
    <row r="49" spans="1:23" x14ac:dyDescent="0.2">
      <c r="A49" s="458"/>
      <c r="B49" s="378" t="s">
        <v>26</v>
      </c>
      <c r="C49" s="388">
        <v>0.47399999999999998</v>
      </c>
      <c r="F49" s="271" t="s">
        <v>378</v>
      </c>
      <c r="G49" s="287"/>
      <c r="H49" s="287"/>
      <c r="I49" s="293"/>
      <c r="J49" s="302"/>
    </row>
    <row r="50" spans="1:23" x14ac:dyDescent="0.2">
      <c r="A50" s="458"/>
      <c r="B50" s="378" t="s">
        <v>24</v>
      </c>
      <c r="F50" s="271" t="s">
        <v>491</v>
      </c>
      <c r="G50" s="287"/>
      <c r="H50" s="321"/>
      <c r="I50" s="293"/>
      <c r="J50" s="302"/>
    </row>
    <row r="51" spans="1:23" x14ac:dyDescent="0.2">
      <c r="A51" s="458"/>
      <c r="B51" s="378" t="s">
        <v>232</v>
      </c>
      <c r="F51" s="271" t="s">
        <v>373</v>
      </c>
      <c r="G51" s="287"/>
      <c r="H51" s="262"/>
      <c r="I51" s="293"/>
      <c r="J51" s="302"/>
    </row>
    <row r="52" spans="1:23" x14ac:dyDescent="0.2">
      <c r="A52" s="458"/>
      <c r="B52" s="378" t="s">
        <v>226</v>
      </c>
      <c r="F52" s="269"/>
      <c r="G52" s="293"/>
      <c r="H52" s="287"/>
      <c r="I52" s="293"/>
      <c r="J52" s="302"/>
    </row>
    <row r="53" spans="1:23" ht="14.25" customHeight="1" x14ac:dyDescent="0.2">
      <c r="A53" s="458"/>
      <c r="B53" s="378" t="s">
        <v>20</v>
      </c>
      <c r="C53" s="386">
        <f>('PBmic Vacas'!C103)/1000</f>
        <v>0.71577733851110625</v>
      </c>
      <c r="F53" s="272" t="s">
        <v>370</v>
      </c>
      <c r="G53" s="288"/>
      <c r="H53" s="262"/>
      <c r="I53" s="293"/>
      <c r="J53" s="302"/>
    </row>
    <row r="54" spans="1:23" ht="14.25" customHeight="1" x14ac:dyDescent="0.2">
      <c r="A54" s="458"/>
      <c r="B54" s="378" t="s">
        <v>18</v>
      </c>
      <c r="F54" s="473" t="s">
        <v>514</v>
      </c>
      <c r="G54" s="474"/>
      <c r="H54" s="474"/>
      <c r="I54" s="474"/>
      <c r="J54" s="475"/>
    </row>
    <row r="55" spans="1:23" x14ac:dyDescent="0.2">
      <c r="A55" s="458"/>
      <c r="B55" s="378" t="s">
        <v>21</v>
      </c>
      <c r="F55" s="473"/>
      <c r="G55" s="474"/>
      <c r="H55" s="474"/>
      <c r="I55" s="474"/>
      <c r="J55" s="475"/>
    </row>
    <row r="56" spans="1:23" x14ac:dyDescent="0.2">
      <c r="A56" s="458"/>
      <c r="B56" s="378" t="s">
        <v>14</v>
      </c>
      <c r="F56" s="473"/>
      <c r="G56" s="474"/>
      <c r="H56" s="474"/>
      <c r="I56" s="474"/>
      <c r="J56" s="475"/>
    </row>
    <row r="57" spans="1:23" x14ac:dyDescent="0.2">
      <c r="A57" s="458"/>
      <c r="B57" s="378" t="s">
        <v>96</v>
      </c>
      <c r="C57" s="389">
        <f>(O34/1000)/O12*100</f>
        <v>10.516224514524522</v>
      </c>
      <c r="F57" s="473"/>
      <c r="G57" s="474"/>
      <c r="H57" s="474"/>
      <c r="I57" s="474"/>
      <c r="J57" s="475"/>
    </row>
    <row r="58" spans="1:23" x14ac:dyDescent="0.2">
      <c r="A58" s="458"/>
      <c r="F58" s="473"/>
      <c r="G58" s="474"/>
      <c r="H58" s="474"/>
      <c r="I58" s="474"/>
      <c r="J58" s="475"/>
    </row>
    <row r="59" spans="1:23" x14ac:dyDescent="0.2">
      <c r="F59" s="319"/>
      <c r="G59" s="320"/>
      <c r="H59" s="320"/>
      <c r="I59" s="293"/>
      <c r="J59" s="302"/>
    </row>
    <row r="60" spans="1:23" x14ac:dyDescent="0.2">
      <c r="B60" s="378" t="s">
        <v>57</v>
      </c>
      <c r="C60" s="391">
        <f>IF(C28&lt;462,C29*(147*C28^-0.5),0)</f>
        <v>0.6695199484841351</v>
      </c>
      <c r="F60" s="272" t="s">
        <v>363</v>
      </c>
      <c r="G60" s="288"/>
      <c r="H60" s="262"/>
      <c r="I60" s="293"/>
      <c r="J60" s="302"/>
    </row>
    <row r="61" spans="1:23" x14ac:dyDescent="0.2">
      <c r="A61" s="459" t="s">
        <v>107</v>
      </c>
      <c r="B61" s="390" t="s">
        <v>58</v>
      </c>
      <c r="C61" s="391">
        <f>11.7*I11/1000</f>
        <v>5.85</v>
      </c>
      <c r="F61" s="271" t="s">
        <v>362</v>
      </c>
      <c r="G61" s="287"/>
      <c r="H61" s="287"/>
      <c r="I61" s="293"/>
      <c r="J61" s="302"/>
    </row>
    <row r="62" spans="1:23" x14ac:dyDescent="0.2">
      <c r="A62" s="459"/>
      <c r="B62" s="390" t="s">
        <v>233</v>
      </c>
      <c r="C62" s="391">
        <f>1.1*O14</f>
        <v>7.6845954288621607</v>
      </c>
      <c r="F62" s="271" t="s">
        <v>361</v>
      </c>
      <c r="G62" s="287"/>
      <c r="H62" s="287"/>
      <c r="I62" s="293"/>
      <c r="J62" s="302"/>
    </row>
    <row r="63" spans="1:23" x14ac:dyDescent="0.2">
      <c r="A63" s="459"/>
      <c r="B63" s="390" t="s">
        <v>110</v>
      </c>
      <c r="C63" s="391">
        <f>C62+C61+C60</f>
        <v>14.204115377346296</v>
      </c>
      <c r="F63" s="271" t="s">
        <v>358</v>
      </c>
      <c r="G63" s="287"/>
      <c r="H63" s="287"/>
      <c r="I63" s="293"/>
      <c r="J63" s="302"/>
    </row>
    <row r="64" spans="1:23" x14ac:dyDescent="0.2">
      <c r="A64" s="459"/>
      <c r="B64" s="390" t="s">
        <v>106</v>
      </c>
      <c r="F64" s="271" t="s">
        <v>357</v>
      </c>
      <c r="G64" s="287"/>
      <c r="H64" s="287"/>
      <c r="I64" s="293"/>
      <c r="J64" s="302"/>
      <c r="W64" s="308"/>
    </row>
    <row r="65" spans="1:10" ht="15" thickBot="1" x14ac:dyDescent="0.25">
      <c r="A65" s="459"/>
      <c r="B65" s="392" t="s">
        <v>111</v>
      </c>
      <c r="C65" s="393">
        <f>C63/T13</f>
        <v>25.007245382651931</v>
      </c>
      <c r="F65" s="273" t="s">
        <v>492</v>
      </c>
      <c r="G65" s="289"/>
      <c r="H65" s="289"/>
      <c r="I65" s="316"/>
      <c r="J65" s="324"/>
    </row>
    <row r="66" spans="1:10" x14ac:dyDescent="0.2">
      <c r="A66" s="390"/>
      <c r="B66" s="390"/>
    </row>
    <row r="67" spans="1:10" x14ac:dyDescent="0.2">
      <c r="A67" s="459" t="s">
        <v>112</v>
      </c>
      <c r="B67" s="390" t="s">
        <v>59</v>
      </c>
      <c r="C67" s="391">
        <f>13.5*I11/1000</f>
        <v>6.75</v>
      </c>
    </row>
    <row r="68" spans="1:10" x14ac:dyDescent="0.2">
      <c r="A68" s="459"/>
      <c r="B68" s="390" t="s">
        <v>234</v>
      </c>
      <c r="C68" s="391">
        <f>C29*(54.4*C28^-0.4484)</f>
        <v>0.33825587840106464</v>
      </c>
    </row>
    <row r="69" spans="1:10" x14ac:dyDescent="0.2">
      <c r="A69" s="459"/>
      <c r="B69" s="390" t="s">
        <v>235</v>
      </c>
      <c r="C69" s="395">
        <f>0.77*O14</f>
        <v>5.3792168002035119</v>
      </c>
    </row>
    <row r="70" spans="1:10" x14ac:dyDescent="0.2">
      <c r="A70" s="459"/>
      <c r="B70" s="390" t="s">
        <v>115</v>
      </c>
      <c r="C70" s="395">
        <f>C69+C68+C67</f>
        <v>12.467472678604576</v>
      </c>
    </row>
    <row r="71" spans="1:10" x14ac:dyDescent="0.2">
      <c r="A71" s="459"/>
      <c r="B71" s="390" t="s">
        <v>116</v>
      </c>
    </row>
    <row r="72" spans="1:10" x14ac:dyDescent="0.2">
      <c r="A72" s="459"/>
      <c r="B72" s="392" t="s">
        <v>117</v>
      </c>
      <c r="C72" s="393">
        <f>C70/T15</f>
        <v>18.388602770803207</v>
      </c>
    </row>
    <row r="73" spans="1:10" x14ac:dyDescent="0.2">
      <c r="A73" s="392"/>
      <c r="B73" s="392"/>
    </row>
    <row r="74" spans="1:10" x14ac:dyDescent="0.2">
      <c r="A74" s="506" t="s">
        <v>118</v>
      </c>
      <c r="B74" s="506"/>
      <c r="C74" s="396">
        <f>C65/C72</f>
        <v>1.3599317846137597</v>
      </c>
    </row>
    <row r="75" spans="1:10" x14ac:dyDescent="0.2">
      <c r="A75" s="390"/>
      <c r="B75" s="390"/>
    </row>
    <row r="76" spans="1:10" x14ac:dyDescent="0.2">
      <c r="A76" s="459" t="s">
        <v>119</v>
      </c>
      <c r="B76" s="390" t="s">
        <v>60</v>
      </c>
      <c r="C76" s="391">
        <f>I11*5.9/1000</f>
        <v>2.95</v>
      </c>
    </row>
    <row r="77" spans="1:10" x14ac:dyDescent="0.2">
      <c r="A77" s="459"/>
      <c r="B77" s="390" t="s">
        <v>236</v>
      </c>
      <c r="C77" s="391">
        <f>C29*(1.4*C28^-0.3227)</f>
        <v>1.8583547667311878E-2</v>
      </c>
    </row>
    <row r="78" spans="1:10" x14ac:dyDescent="0.2">
      <c r="A78" s="459"/>
      <c r="B78" s="390" t="s">
        <v>237</v>
      </c>
      <c r="C78" s="395">
        <f>0.07*O14</f>
        <v>0.48901970910941023</v>
      </c>
    </row>
    <row r="79" spans="1:10" x14ac:dyDescent="0.2">
      <c r="A79" s="459"/>
      <c r="B79" s="390" t="s">
        <v>122</v>
      </c>
      <c r="C79" s="395">
        <f>C78+C77+C76</f>
        <v>3.4576032567767223</v>
      </c>
    </row>
    <row r="80" spans="1:10" x14ac:dyDescent="0.2">
      <c r="A80" s="459"/>
      <c r="B80" s="390" t="s">
        <v>116</v>
      </c>
    </row>
    <row r="81" spans="1:4" x14ac:dyDescent="0.2">
      <c r="A81" s="459"/>
      <c r="B81" s="392" t="s">
        <v>123</v>
      </c>
      <c r="C81" s="396">
        <f>C79/T18</f>
        <v>9.7397274838780916</v>
      </c>
      <c r="D81" s="397"/>
    </row>
    <row r="82" spans="1:4" x14ac:dyDescent="0.2">
      <c r="A82" s="390"/>
      <c r="B82" s="392"/>
    </row>
    <row r="83" spans="1:4" x14ac:dyDescent="0.2">
      <c r="A83" s="459" t="s">
        <v>124</v>
      </c>
      <c r="B83" s="390" t="s">
        <v>61</v>
      </c>
      <c r="C83" s="391">
        <f>I11*6.3/1000</f>
        <v>3.15</v>
      </c>
    </row>
    <row r="84" spans="1:4" x14ac:dyDescent="0.2">
      <c r="A84" s="459"/>
      <c r="B84" s="390" t="s">
        <v>238</v>
      </c>
      <c r="C84" s="391">
        <f>C29*(1.4*C28^-0.0575)</f>
        <v>9.2043921053382535E-2</v>
      </c>
    </row>
    <row r="85" spans="1:4" x14ac:dyDescent="0.2">
      <c r="A85" s="459"/>
      <c r="B85" s="390" t="s">
        <v>239</v>
      </c>
      <c r="C85" s="395">
        <f>0.2*O14</f>
        <v>1.3971991688840291</v>
      </c>
    </row>
    <row r="86" spans="1:4" x14ac:dyDescent="0.2">
      <c r="A86" s="459"/>
      <c r="B86" s="390" t="s">
        <v>127</v>
      </c>
      <c r="C86" s="395">
        <f>C85+C84+C83</f>
        <v>4.6392430899374117</v>
      </c>
    </row>
    <row r="87" spans="1:4" x14ac:dyDescent="0.2">
      <c r="A87" s="459"/>
      <c r="B87" s="390" t="s">
        <v>116</v>
      </c>
    </row>
    <row r="88" spans="1:4" x14ac:dyDescent="0.2">
      <c r="A88" s="459"/>
      <c r="B88" s="392" t="s">
        <v>128</v>
      </c>
      <c r="C88" s="393">
        <f>C86/T20</f>
        <v>12.504698355626447</v>
      </c>
      <c r="D88" s="386"/>
    </row>
    <row r="90" spans="1:4" x14ac:dyDescent="0.2">
      <c r="A90" s="459" t="s">
        <v>129</v>
      </c>
      <c r="B90" s="390" t="s">
        <v>130</v>
      </c>
      <c r="C90" s="391">
        <f>I11*23.5/1000</f>
        <v>11.75</v>
      </c>
    </row>
    <row r="91" spans="1:4" x14ac:dyDescent="0.2">
      <c r="A91" s="459"/>
      <c r="B91" s="390" t="s">
        <v>240</v>
      </c>
      <c r="C91" s="391">
        <f>C29*(3.1*C28^-0.2142)</f>
        <v>7.9186229803814956E-2</v>
      </c>
    </row>
    <row r="92" spans="1:4" x14ac:dyDescent="0.2">
      <c r="A92" s="459"/>
      <c r="B92" s="390" t="s">
        <v>241</v>
      </c>
      <c r="C92" s="391">
        <f>0.7*O14</f>
        <v>4.8901970910941017</v>
      </c>
    </row>
    <row r="93" spans="1:4" x14ac:dyDescent="0.2">
      <c r="A93" s="459"/>
      <c r="B93" s="390" t="s">
        <v>133</v>
      </c>
      <c r="C93" s="391">
        <f>C92+C91+C90</f>
        <v>16.719383320897919</v>
      </c>
    </row>
    <row r="94" spans="1:4" x14ac:dyDescent="0.2">
      <c r="A94" s="459"/>
      <c r="B94" s="390" t="s">
        <v>116</v>
      </c>
    </row>
    <row r="95" spans="1:4" x14ac:dyDescent="0.2">
      <c r="A95" s="459"/>
      <c r="B95" s="392" t="s">
        <v>134</v>
      </c>
      <c r="C95" s="396">
        <f>C93/T22</f>
        <v>34.544180415078344</v>
      </c>
      <c r="D95" s="398"/>
    </row>
    <row r="96" spans="1:4" x14ac:dyDescent="0.2">
      <c r="A96" s="390"/>
      <c r="B96" s="392"/>
    </row>
    <row r="97" spans="1:4" x14ac:dyDescent="0.2">
      <c r="A97" s="459" t="s">
        <v>32</v>
      </c>
      <c r="B97" s="390" t="s">
        <v>135</v>
      </c>
      <c r="C97" s="391">
        <f>I11*10.4/1000</f>
        <v>5.2</v>
      </c>
    </row>
    <row r="98" spans="1:4" x14ac:dyDescent="0.2">
      <c r="A98" s="459"/>
      <c r="B98" s="390" t="s">
        <v>138</v>
      </c>
      <c r="C98" s="391">
        <f>C29*(0.03*C28^0.89)</f>
        <v>0.59922527119138169</v>
      </c>
    </row>
    <row r="99" spans="1:4" x14ac:dyDescent="0.2">
      <c r="A99" s="459"/>
      <c r="B99" s="390" t="s">
        <v>242</v>
      </c>
      <c r="C99" s="391">
        <f>0.3*O14</f>
        <v>2.0957987533260436</v>
      </c>
    </row>
    <row r="100" spans="1:4" x14ac:dyDescent="0.2">
      <c r="A100" s="459"/>
      <c r="B100" s="390" t="s">
        <v>136</v>
      </c>
      <c r="C100" s="391">
        <f>C99+C98+C97</f>
        <v>7.8950240245174257</v>
      </c>
    </row>
    <row r="101" spans="1:4" x14ac:dyDescent="0.2">
      <c r="A101" s="459"/>
      <c r="B101" s="390" t="s">
        <v>116</v>
      </c>
    </row>
    <row r="102" spans="1:4" x14ac:dyDescent="0.2">
      <c r="A102" s="459"/>
      <c r="B102" s="392" t="s">
        <v>137</v>
      </c>
      <c r="C102" s="396">
        <f>C100/T24</f>
        <v>10.213485154615039</v>
      </c>
    </row>
    <row r="103" spans="1:4" x14ac:dyDescent="0.2">
      <c r="A103" s="390"/>
      <c r="B103" s="392"/>
    </row>
    <row r="104" spans="1:4" x14ac:dyDescent="0.2">
      <c r="A104" s="459" t="s">
        <v>36</v>
      </c>
      <c r="B104" s="390" t="s">
        <v>139</v>
      </c>
      <c r="C104" s="391">
        <f>I11*95.6/1000</f>
        <v>47.8</v>
      </c>
    </row>
    <row r="105" spans="1:4" x14ac:dyDescent="0.2">
      <c r="A105" s="459"/>
      <c r="B105" s="390" t="s">
        <v>140</v>
      </c>
      <c r="C105" s="391">
        <f>C29*(1.25*C28^0.33)</f>
        <v>0.8513128060805315</v>
      </c>
    </row>
    <row r="106" spans="1:4" x14ac:dyDescent="0.2">
      <c r="A106" s="459"/>
      <c r="B106" s="390" t="s">
        <v>243</v>
      </c>
      <c r="C106" s="391">
        <f>1.99*O14</f>
        <v>13.902131730396089</v>
      </c>
    </row>
    <row r="107" spans="1:4" x14ac:dyDescent="0.2">
      <c r="A107" s="459"/>
      <c r="B107" s="390" t="s">
        <v>141</v>
      </c>
      <c r="C107" s="391">
        <f>C106+C105+C104</f>
        <v>62.553444536476619</v>
      </c>
    </row>
    <row r="108" spans="1:4" x14ac:dyDescent="0.2">
      <c r="A108" s="459"/>
      <c r="B108" s="390" t="s">
        <v>116</v>
      </c>
    </row>
    <row r="109" spans="1:4" x14ac:dyDescent="0.2">
      <c r="A109" s="459"/>
      <c r="B109" s="392" t="s">
        <v>142</v>
      </c>
      <c r="C109" s="396">
        <f>C107/T27</f>
        <v>85.106727260512415</v>
      </c>
      <c r="D109" s="396"/>
    </row>
    <row r="110" spans="1:4" x14ac:dyDescent="0.2">
      <c r="A110" s="390"/>
      <c r="B110" s="392"/>
    </row>
    <row r="111" spans="1:4" x14ac:dyDescent="0.2">
      <c r="A111" s="459" t="s">
        <v>34</v>
      </c>
      <c r="B111" s="390" t="s">
        <v>143</v>
      </c>
      <c r="C111" s="391">
        <f>I11*13.5/1000</f>
        <v>6.75</v>
      </c>
    </row>
    <row r="112" spans="1:4" x14ac:dyDescent="0.2">
      <c r="A112" s="459"/>
      <c r="B112" s="390" t="s">
        <v>144</v>
      </c>
      <c r="C112" s="402">
        <f>C29*(0.045*C28^-0.023)</f>
        <v>3.6431337544947087E-3</v>
      </c>
    </row>
    <row r="113" spans="1:4" x14ac:dyDescent="0.2">
      <c r="A113" s="459"/>
      <c r="B113" s="390" t="s">
        <v>244</v>
      </c>
      <c r="C113" s="391">
        <f>0.23*O14</f>
        <v>1.6067790442166334</v>
      </c>
    </row>
    <row r="114" spans="1:4" x14ac:dyDescent="0.2">
      <c r="A114" s="459"/>
      <c r="B114" s="390" t="s">
        <v>145</v>
      </c>
      <c r="C114" s="391">
        <f>C113+C112+C111</f>
        <v>8.3604221779711274</v>
      </c>
    </row>
    <row r="115" spans="1:4" x14ac:dyDescent="0.2">
      <c r="A115" s="459"/>
      <c r="B115" s="390" t="s">
        <v>116</v>
      </c>
    </row>
    <row r="116" spans="1:4" x14ac:dyDescent="0.2">
      <c r="A116" s="459"/>
      <c r="B116" s="392" t="s">
        <v>146</v>
      </c>
      <c r="C116" s="396">
        <f>C114/T29</f>
        <v>9.6318227856810221</v>
      </c>
      <c r="D116" s="397"/>
    </row>
    <row r="117" spans="1:4" x14ac:dyDescent="0.2">
      <c r="A117" s="390"/>
      <c r="B117" s="390"/>
    </row>
    <row r="118" spans="1:4" x14ac:dyDescent="0.2">
      <c r="A118" s="459" t="s">
        <v>64</v>
      </c>
      <c r="B118" s="390" t="s">
        <v>147</v>
      </c>
      <c r="C118" s="391">
        <f>I11*22.9/1000</f>
        <v>11.45</v>
      </c>
    </row>
    <row r="119" spans="1:4" x14ac:dyDescent="0.2">
      <c r="A119" s="459"/>
      <c r="B119" s="390" t="s">
        <v>148</v>
      </c>
      <c r="C119" s="391">
        <f>C29*(0.23*C28^0.61)</f>
        <v>0.84830464623951074</v>
      </c>
    </row>
    <row r="120" spans="1:4" x14ac:dyDescent="0.2">
      <c r="A120" s="459"/>
      <c r="B120" s="390" t="s">
        <v>245</v>
      </c>
      <c r="C120" s="391">
        <f>3.2*O14</f>
        <v>22.355186702144465</v>
      </c>
    </row>
    <row r="121" spans="1:4" x14ac:dyDescent="0.2">
      <c r="A121" s="459"/>
      <c r="B121" s="390" t="s">
        <v>149</v>
      </c>
      <c r="C121" s="391">
        <f>C120+C119+C118</f>
        <v>34.65349134838398</v>
      </c>
    </row>
    <row r="122" spans="1:4" x14ac:dyDescent="0.2">
      <c r="A122" s="459"/>
      <c r="B122" s="390" t="s">
        <v>116</v>
      </c>
    </row>
    <row r="123" spans="1:4" x14ac:dyDescent="0.2">
      <c r="A123" s="459"/>
      <c r="B123" s="392" t="s">
        <v>150</v>
      </c>
      <c r="C123" s="396">
        <f>C121/T31</f>
        <v>44.200881821918337</v>
      </c>
      <c r="D123" s="386"/>
    </row>
    <row r="125" spans="1:4" x14ac:dyDescent="0.2">
      <c r="A125" s="459" t="s">
        <v>38</v>
      </c>
      <c r="B125" s="390" t="s">
        <v>151</v>
      </c>
      <c r="C125" s="394">
        <f>I11*2942/1000</f>
        <v>1471</v>
      </c>
    </row>
    <row r="126" spans="1:4" x14ac:dyDescent="0.2">
      <c r="A126" s="459"/>
      <c r="B126" s="390" t="s">
        <v>152</v>
      </c>
      <c r="C126" s="394">
        <f>C29*(10.4*C28^0.24)</f>
        <v>4.1152675400199872</v>
      </c>
    </row>
    <row r="127" spans="1:4" x14ac:dyDescent="0.2">
      <c r="A127" s="459"/>
      <c r="B127" s="378" t="s">
        <v>246</v>
      </c>
      <c r="C127" s="395">
        <f>29.9*O14</f>
        <v>208.88127574816232</v>
      </c>
    </row>
    <row r="128" spans="1:4" x14ac:dyDescent="0.2">
      <c r="A128" s="459"/>
      <c r="B128" s="390" t="s">
        <v>153</v>
      </c>
      <c r="C128" s="394">
        <f>C127+C126+C125</f>
        <v>1683.9965432881822</v>
      </c>
    </row>
    <row r="129" spans="1:4" x14ac:dyDescent="0.2">
      <c r="A129" s="459"/>
      <c r="B129" s="390" t="s">
        <v>116</v>
      </c>
    </row>
    <row r="130" spans="1:4" x14ac:dyDescent="0.2">
      <c r="A130" s="459"/>
      <c r="B130" s="392" t="s">
        <v>154</v>
      </c>
      <c r="C130" s="399">
        <f>C128/T33</f>
        <v>2294.2732197386681</v>
      </c>
    </row>
    <row r="131" spans="1:4" x14ac:dyDescent="0.2">
      <c r="A131" s="390"/>
      <c r="B131" s="390"/>
    </row>
    <row r="132" spans="1:4" x14ac:dyDescent="0.2">
      <c r="A132" s="459" t="s">
        <v>40</v>
      </c>
      <c r="B132" s="390" t="s">
        <v>155</v>
      </c>
      <c r="C132" s="394">
        <f>I11*184.9/1000</f>
        <v>92.45</v>
      </c>
    </row>
    <row r="133" spans="1:4" x14ac:dyDescent="0.2">
      <c r="A133" s="459"/>
      <c r="B133" s="390" t="s">
        <v>156</v>
      </c>
      <c r="C133" s="395">
        <f>C29*(0.07*C28^0.8)</f>
        <v>0.81236740155918841</v>
      </c>
    </row>
    <row r="134" spans="1:4" x14ac:dyDescent="0.2">
      <c r="A134" s="459"/>
      <c r="B134" s="390" t="s">
        <v>247</v>
      </c>
      <c r="C134" s="395">
        <f>1.41*O14</f>
        <v>9.8502541406324049</v>
      </c>
    </row>
    <row r="135" spans="1:4" x14ac:dyDescent="0.2">
      <c r="A135" s="459"/>
      <c r="B135" s="390" t="s">
        <v>157</v>
      </c>
      <c r="C135" s="394">
        <f>C134+C133+C132</f>
        <v>103.11262154219159</v>
      </c>
    </row>
    <row r="136" spans="1:4" x14ac:dyDescent="0.2">
      <c r="A136" s="459"/>
      <c r="B136" s="390" t="s">
        <v>116</v>
      </c>
    </row>
    <row r="137" spans="1:4" x14ac:dyDescent="0.2">
      <c r="A137" s="459"/>
      <c r="B137" s="392" t="s">
        <v>158</v>
      </c>
      <c r="C137" s="393">
        <f>C135/T35</f>
        <v>234.8806868842633</v>
      </c>
      <c r="D137" s="397"/>
    </row>
    <row r="138" spans="1:4" x14ac:dyDescent="0.2">
      <c r="A138" s="390"/>
      <c r="B138" s="390"/>
    </row>
    <row r="139" spans="1:4" x14ac:dyDescent="0.2">
      <c r="A139" s="459" t="s">
        <v>44</v>
      </c>
      <c r="B139" s="390" t="s">
        <v>167</v>
      </c>
      <c r="C139" s="391">
        <f>I11*334.4/1000</f>
        <v>167.2</v>
      </c>
    </row>
    <row r="140" spans="1:4" x14ac:dyDescent="0.2">
      <c r="A140" s="459"/>
      <c r="B140" s="390" t="s">
        <v>168</v>
      </c>
      <c r="C140" s="391">
        <f>C29*(1.16*C28^0.86)</f>
        <v>19.334014906886186</v>
      </c>
    </row>
    <row r="141" spans="1:4" x14ac:dyDescent="0.2">
      <c r="A141" s="459"/>
      <c r="B141" s="390" t="s">
        <v>248</v>
      </c>
      <c r="C141" s="391">
        <f>35.4*O14</f>
        <v>247.30425289247313</v>
      </c>
    </row>
    <row r="142" spans="1:4" x14ac:dyDescent="0.2">
      <c r="A142" s="459"/>
      <c r="B142" s="390" t="s">
        <v>169</v>
      </c>
      <c r="C142" s="391">
        <f>C141+C140+C139</f>
        <v>433.8382677993593</v>
      </c>
    </row>
    <row r="143" spans="1:4" x14ac:dyDescent="0.2">
      <c r="A143" s="459"/>
      <c r="B143" s="390" t="s">
        <v>116</v>
      </c>
    </row>
    <row r="144" spans="1:4" x14ac:dyDescent="0.2">
      <c r="A144" s="459"/>
      <c r="B144" s="392" t="s">
        <v>170</v>
      </c>
      <c r="C144" s="399">
        <f>C142/T37</f>
        <v>649.45848472957971</v>
      </c>
      <c r="D144" s="377"/>
    </row>
    <row r="145" spans="1:4" x14ac:dyDescent="0.2">
      <c r="A145" s="390"/>
      <c r="B145" s="392"/>
      <c r="C145" s="399"/>
      <c r="D145" s="377"/>
    </row>
    <row r="146" spans="1:4" x14ac:dyDescent="0.2">
      <c r="A146" s="390"/>
      <c r="B146" s="392"/>
      <c r="C146" s="399"/>
      <c r="D146" s="377"/>
    </row>
    <row r="147" spans="1:4" x14ac:dyDescent="0.2">
      <c r="A147" s="390" t="s">
        <v>500</v>
      </c>
      <c r="B147" s="392"/>
      <c r="C147" s="399"/>
      <c r="D147" s="377"/>
    </row>
    <row r="148" spans="1:4" x14ac:dyDescent="0.2">
      <c r="A148" s="516" t="s">
        <v>63</v>
      </c>
      <c r="B148" s="403" t="s">
        <v>159</v>
      </c>
      <c r="C148" s="404">
        <f>I11*3.27/1000</f>
        <v>1.635</v>
      </c>
      <c r="D148" s="377"/>
    </row>
    <row r="149" spans="1:4" x14ac:dyDescent="0.2">
      <c r="A149" s="516"/>
      <c r="B149" s="403" t="s">
        <v>160</v>
      </c>
      <c r="C149" s="404">
        <f>C29*(0.0035*C28^0.41)</f>
        <v>3.8624245943304067E-3</v>
      </c>
      <c r="D149" s="377"/>
    </row>
    <row r="150" spans="1:4" x14ac:dyDescent="0.2">
      <c r="A150" s="516"/>
      <c r="B150" s="403" t="s">
        <v>161</v>
      </c>
      <c r="C150" s="404">
        <f>C149+C148</f>
        <v>1.6388624245943304</v>
      </c>
      <c r="D150" s="377"/>
    </row>
    <row r="151" spans="1:4" ht="15" x14ac:dyDescent="0.2">
      <c r="A151" s="516"/>
      <c r="B151" s="403" t="s">
        <v>116</v>
      </c>
      <c r="C151" s="405"/>
      <c r="D151" s="377"/>
    </row>
    <row r="152" spans="1:4" x14ac:dyDescent="0.2">
      <c r="A152" s="516"/>
      <c r="B152" s="406" t="s">
        <v>162</v>
      </c>
      <c r="C152" s="407">
        <f>C150/T39</f>
        <v>3.2777248491886608</v>
      </c>
      <c r="D152" s="377"/>
    </row>
    <row r="153" spans="1:4" ht="15" x14ac:dyDescent="0.2">
      <c r="A153" s="403"/>
      <c r="B153" s="403"/>
      <c r="C153" s="405"/>
      <c r="D153" s="377"/>
    </row>
    <row r="154" spans="1:4" x14ac:dyDescent="0.2">
      <c r="A154" s="516" t="s">
        <v>42</v>
      </c>
      <c r="B154" s="403" t="s">
        <v>163</v>
      </c>
      <c r="C154" s="404">
        <f>I11*3.72/1000</f>
        <v>1.86</v>
      </c>
      <c r="D154" s="377"/>
    </row>
    <row r="155" spans="1:4" x14ac:dyDescent="0.2">
      <c r="A155" s="516"/>
      <c r="B155" s="403" t="s">
        <v>164</v>
      </c>
      <c r="C155" s="404">
        <f>C29*(1.07*C28^-0.07)</f>
        <v>6.5237731464258916E-2</v>
      </c>
      <c r="D155" s="377"/>
    </row>
    <row r="156" spans="1:4" x14ac:dyDescent="0.2">
      <c r="A156" s="516"/>
      <c r="B156" s="403" t="s">
        <v>165</v>
      </c>
      <c r="C156" s="404">
        <f>C155+C154</f>
        <v>1.925237731464259</v>
      </c>
      <c r="D156" s="377"/>
    </row>
    <row r="157" spans="1:4" ht="15" x14ac:dyDescent="0.2">
      <c r="A157" s="516"/>
      <c r="B157" s="403" t="s">
        <v>116</v>
      </c>
      <c r="C157" s="405"/>
      <c r="D157" s="377"/>
    </row>
    <row r="158" spans="1:4" x14ac:dyDescent="0.2">
      <c r="A158" s="516"/>
      <c r="B158" s="406" t="s">
        <v>166</v>
      </c>
      <c r="C158" s="407">
        <f>C156/T41</f>
        <v>3.9290565948250187</v>
      </c>
      <c r="D158" s="377"/>
    </row>
    <row r="159" spans="1:4" x14ac:dyDescent="0.2">
      <c r="A159" s="390"/>
      <c r="B159" s="392"/>
      <c r="C159" s="399"/>
      <c r="D159" s="377"/>
    </row>
    <row r="160" spans="1:4" x14ac:dyDescent="0.2">
      <c r="A160" s="390"/>
      <c r="B160" s="392"/>
      <c r="C160" s="399"/>
      <c r="D160" s="377"/>
    </row>
    <row r="161" spans="1:4" x14ac:dyDescent="0.2">
      <c r="A161" s="390"/>
      <c r="B161" s="392"/>
      <c r="C161" s="399"/>
      <c r="D161" s="377"/>
    </row>
    <row r="163" spans="1:4" x14ac:dyDescent="0.2">
      <c r="A163" s="502" t="s">
        <v>72</v>
      </c>
      <c r="B163" s="502"/>
      <c r="C163" s="394">
        <f>I11</f>
        <v>500</v>
      </c>
    </row>
    <row r="164" spans="1:4" x14ac:dyDescent="0.2">
      <c r="A164" s="502" t="s">
        <v>217</v>
      </c>
      <c r="B164" s="502"/>
      <c r="C164" s="394">
        <f>I13</f>
        <v>10</v>
      </c>
    </row>
    <row r="165" spans="1:4" x14ac:dyDescent="0.2">
      <c r="A165" s="502" t="s">
        <v>249</v>
      </c>
      <c r="B165" s="502"/>
      <c r="C165" s="391">
        <f>O14</f>
        <v>6.9859958444201453</v>
      </c>
    </row>
    <row r="166" spans="1:4" x14ac:dyDescent="0.2">
      <c r="A166" s="502" t="s">
        <v>67</v>
      </c>
      <c r="B166" s="502"/>
      <c r="C166" s="395">
        <f>O12</f>
        <v>10.669204295340993</v>
      </c>
    </row>
    <row r="167" spans="1:4" x14ac:dyDescent="0.2">
      <c r="A167" s="502" t="s">
        <v>69</v>
      </c>
      <c r="B167" s="502"/>
      <c r="D167" s="395"/>
    </row>
    <row r="168" spans="1:4" x14ac:dyDescent="0.2">
      <c r="A168" s="392"/>
      <c r="B168" s="392"/>
    </row>
    <row r="170" spans="1:4" x14ac:dyDescent="0.2">
      <c r="A170" s="502" t="s">
        <v>72</v>
      </c>
      <c r="B170" s="502"/>
      <c r="C170" s="394">
        <f>I11</f>
        <v>500</v>
      </c>
    </row>
    <row r="171" spans="1:4" x14ac:dyDescent="0.2">
      <c r="A171" s="502" t="s">
        <v>217</v>
      </c>
      <c r="B171" s="502"/>
      <c r="C171" s="394">
        <f>I13</f>
        <v>10</v>
      </c>
    </row>
    <row r="172" spans="1:4" x14ac:dyDescent="0.2">
      <c r="A172" s="502" t="s">
        <v>249</v>
      </c>
      <c r="B172" s="502"/>
      <c r="C172" s="391">
        <f>C165</f>
        <v>6.9859958444201453</v>
      </c>
    </row>
    <row r="173" spans="1:4" x14ac:dyDescent="0.2">
      <c r="A173" s="408"/>
      <c r="B173" s="408"/>
      <c r="C173" s="408"/>
      <c r="D173" s="391"/>
    </row>
    <row r="174" spans="1:4" x14ac:dyDescent="0.2">
      <c r="A174" s="409"/>
      <c r="B174" s="392"/>
    </row>
    <row r="175" spans="1:4" ht="15" x14ac:dyDescent="0.2">
      <c r="A175" s="409"/>
      <c r="B175" s="410" t="s">
        <v>256</v>
      </c>
      <c r="C175" s="384">
        <f>I21</f>
        <v>200</v>
      </c>
    </row>
    <row r="176" spans="1:4" x14ac:dyDescent="0.2">
      <c r="A176" s="409"/>
      <c r="B176" s="378" t="s">
        <v>252</v>
      </c>
      <c r="C176" s="384">
        <f>I23</f>
        <v>2</v>
      </c>
    </row>
    <row r="177" spans="1:4" ht="15" x14ac:dyDescent="0.2">
      <c r="A177" s="409"/>
      <c r="B177" s="410" t="s">
        <v>255</v>
      </c>
      <c r="C177" s="389">
        <f>I25</f>
        <v>0.2</v>
      </c>
    </row>
    <row r="178" spans="1:4" ht="15" x14ac:dyDescent="0.2">
      <c r="A178" s="410"/>
      <c r="B178" s="392" t="s">
        <v>259</v>
      </c>
      <c r="C178" s="411">
        <f>I21</f>
        <v>200</v>
      </c>
    </row>
    <row r="179" spans="1:4" x14ac:dyDescent="0.2">
      <c r="A179" s="409"/>
      <c r="B179" s="392" t="s">
        <v>47</v>
      </c>
      <c r="C179" s="394">
        <f>0.962*C178</f>
        <v>192.4</v>
      </c>
    </row>
    <row r="180" spans="1:4" ht="15" x14ac:dyDescent="0.2">
      <c r="A180" s="410"/>
      <c r="B180" s="392" t="s">
        <v>48</v>
      </c>
      <c r="C180" s="391">
        <f>0.958*I25</f>
        <v>0.19159999999999999</v>
      </c>
    </row>
    <row r="181" spans="1:4" x14ac:dyDescent="0.2">
      <c r="B181" s="378" t="s">
        <v>253</v>
      </c>
      <c r="C181" s="380">
        <v>0.13900000000000001</v>
      </c>
    </row>
    <row r="182" spans="1:4" x14ac:dyDescent="0.2">
      <c r="B182" s="378" t="s">
        <v>254</v>
      </c>
    </row>
    <row r="183" spans="1:4" x14ac:dyDescent="0.2">
      <c r="B183" s="378" t="s">
        <v>257</v>
      </c>
    </row>
    <row r="184" spans="1:4" x14ac:dyDescent="0.2">
      <c r="B184" s="378" t="s">
        <v>258</v>
      </c>
    </row>
    <row r="185" spans="1:4" x14ac:dyDescent="0.2">
      <c r="B185" s="378" t="s">
        <v>266</v>
      </c>
      <c r="C185" s="412">
        <f>AA12/AA14*100</f>
        <v>10.361365672720986</v>
      </c>
    </row>
    <row r="186" spans="1:4" x14ac:dyDescent="0.2">
      <c r="B186" s="378" t="s">
        <v>267</v>
      </c>
      <c r="C186" s="412">
        <f>AA13/AA14*100</f>
        <v>89.638634327279007</v>
      </c>
      <c r="D186" s="380"/>
    </row>
    <row r="188" spans="1:4" x14ac:dyDescent="0.2">
      <c r="A188" s="458" t="s">
        <v>68</v>
      </c>
      <c r="B188" s="378" t="s">
        <v>8</v>
      </c>
    </row>
    <row r="189" spans="1:4" x14ac:dyDescent="0.2">
      <c r="A189" s="458"/>
      <c r="B189" s="378" t="s">
        <v>5</v>
      </c>
    </row>
    <row r="190" spans="1:4" x14ac:dyDescent="0.2">
      <c r="A190" s="458"/>
      <c r="B190" s="378" t="s">
        <v>9</v>
      </c>
    </row>
    <row r="191" spans="1:4" x14ac:dyDescent="0.2">
      <c r="A191" s="458"/>
      <c r="B191" s="378" t="s">
        <v>1</v>
      </c>
      <c r="C191" s="388">
        <f>(C185*0.69+C186*0.57)/100</f>
        <v>0.58243363880726517</v>
      </c>
    </row>
    <row r="192" spans="1:4" x14ac:dyDescent="0.2">
      <c r="A192" s="458"/>
      <c r="B192" s="378" t="s">
        <v>260</v>
      </c>
    </row>
    <row r="193" spans="1:3" x14ac:dyDescent="0.2">
      <c r="A193" s="458"/>
      <c r="B193" s="378" t="s">
        <v>261</v>
      </c>
    </row>
    <row r="194" spans="1:3" x14ac:dyDescent="0.2">
      <c r="A194" s="458"/>
      <c r="B194" s="378" t="s">
        <v>3</v>
      </c>
      <c r="C194" s="389">
        <f>AA20/0.96</f>
        <v>8.2786045265918204</v>
      </c>
    </row>
    <row r="195" spans="1:3" x14ac:dyDescent="0.2">
      <c r="A195" s="458"/>
      <c r="B195" s="378" t="s">
        <v>2</v>
      </c>
    </row>
    <row r="196" spans="1:3" x14ac:dyDescent="0.2">
      <c r="A196" s="458"/>
      <c r="B196" s="378" t="s">
        <v>93</v>
      </c>
    </row>
    <row r="197" spans="1:3" x14ac:dyDescent="0.2">
      <c r="A197" s="458"/>
      <c r="B197" s="378" t="s">
        <v>264</v>
      </c>
    </row>
    <row r="198" spans="1:3" x14ac:dyDescent="0.2">
      <c r="A198" s="458"/>
      <c r="B198" s="378" t="s">
        <v>275</v>
      </c>
    </row>
    <row r="199" spans="1:3" x14ac:dyDescent="0.2">
      <c r="A199" s="458"/>
      <c r="B199" s="378" t="s">
        <v>276</v>
      </c>
      <c r="C199" s="413">
        <f>AA22/AA13</f>
        <v>0.63262918631462384</v>
      </c>
    </row>
    <row r="201" spans="1:3" x14ac:dyDescent="0.2">
      <c r="A201" s="458" t="s">
        <v>94</v>
      </c>
      <c r="B201" s="378" t="s">
        <v>262</v>
      </c>
    </row>
    <row r="202" spans="1:3" x14ac:dyDescent="0.2">
      <c r="A202" s="458"/>
      <c r="B202" s="378" t="s">
        <v>25</v>
      </c>
      <c r="C202" s="389">
        <f>0.1397*C179^0.0351*C180*1000</f>
        <v>32.193449150094381</v>
      </c>
    </row>
    <row r="203" spans="1:3" x14ac:dyDescent="0.2">
      <c r="A203" s="458"/>
      <c r="B203" s="378" t="s">
        <v>26</v>
      </c>
      <c r="C203" s="389">
        <f>84.665-0.1179*C179</f>
        <v>61.981040000000007</v>
      </c>
    </row>
    <row r="204" spans="1:3" x14ac:dyDescent="0.2">
      <c r="A204" s="458"/>
      <c r="B204" s="378" t="s">
        <v>24</v>
      </c>
    </row>
    <row r="205" spans="1:3" x14ac:dyDescent="0.2">
      <c r="A205" s="458"/>
      <c r="B205" s="378" t="s">
        <v>226</v>
      </c>
    </row>
    <row r="206" spans="1:3" x14ac:dyDescent="0.2">
      <c r="A206" s="458"/>
      <c r="B206" s="378" t="s">
        <v>263</v>
      </c>
      <c r="C206" s="388">
        <f>I23*0.0356</f>
        <v>7.1199999999999999E-2</v>
      </c>
    </row>
    <row r="207" spans="1:3" x14ac:dyDescent="0.2">
      <c r="A207" s="458"/>
      <c r="B207" s="378" t="s">
        <v>264</v>
      </c>
      <c r="C207" s="388">
        <f>I23*0.18</f>
        <v>0.36</v>
      </c>
    </row>
    <row r="208" spans="1:3" x14ac:dyDescent="0.2">
      <c r="A208" s="458"/>
      <c r="B208" s="378" t="s">
        <v>251</v>
      </c>
      <c r="C208" s="384">
        <f>IF(C178&lt;150,120*(AA23-C207),'PBmic Bezerros'!D103)</f>
        <v>165.01876457544017</v>
      </c>
    </row>
    <row r="209" spans="1:3" x14ac:dyDescent="0.2">
      <c r="A209" s="458"/>
      <c r="B209" s="414" t="s">
        <v>18</v>
      </c>
    </row>
    <row r="210" spans="1:3" x14ac:dyDescent="0.2">
      <c r="A210" s="458"/>
      <c r="B210" s="378" t="s">
        <v>21</v>
      </c>
    </row>
    <row r="211" spans="1:3" x14ac:dyDescent="0.2">
      <c r="A211" s="458"/>
      <c r="B211" s="378" t="s">
        <v>14</v>
      </c>
    </row>
    <row r="212" spans="1:3" x14ac:dyDescent="0.2">
      <c r="A212" s="458"/>
      <c r="B212" s="378" t="s">
        <v>96</v>
      </c>
    </row>
    <row r="213" spans="1:3" x14ac:dyDescent="0.2">
      <c r="A213" s="458"/>
      <c r="B213" s="378" t="s">
        <v>98</v>
      </c>
    </row>
    <row r="214" spans="1:3" x14ac:dyDescent="0.2">
      <c r="A214" s="458"/>
      <c r="B214" s="378" t="s">
        <v>99</v>
      </c>
    </row>
    <row r="216" spans="1:3" x14ac:dyDescent="0.2">
      <c r="A216" s="459" t="s">
        <v>107</v>
      </c>
      <c r="B216" s="390" t="s">
        <v>58</v>
      </c>
      <c r="C216" s="391">
        <f>11.7*I21/1000</f>
        <v>2.34</v>
      </c>
    </row>
    <row r="217" spans="1:3" x14ac:dyDescent="0.2">
      <c r="A217" s="459"/>
      <c r="B217" s="390" t="s">
        <v>57</v>
      </c>
      <c r="C217" s="391">
        <f>C180*(54.8*C179^-0.3981)</f>
        <v>1.2937013334132292</v>
      </c>
    </row>
    <row r="218" spans="1:3" x14ac:dyDescent="0.2">
      <c r="A218" s="459"/>
      <c r="B218" s="390" t="s">
        <v>110</v>
      </c>
      <c r="C218" s="391">
        <f>C217+C216</f>
        <v>3.6337013334132289</v>
      </c>
    </row>
    <row r="219" spans="1:3" x14ac:dyDescent="0.2">
      <c r="A219" s="459"/>
      <c r="B219" s="390" t="s">
        <v>106</v>
      </c>
    </row>
    <row r="220" spans="1:3" x14ac:dyDescent="0.2">
      <c r="A220" s="459"/>
      <c r="B220" s="392" t="s">
        <v>111</v>
      </c>
      <c r="C220" s="393">
        <f>C218/AF13</f>
        <v>6.3973615024880797</v>
      </c>
    </row>
    <row r="221" spans="1:3" x14ac:dyDescent="0.2">
      <c r="A221" s="390"/>
      <c r="B221" s="390"/>
    </row>
    <row r="222" spans="1:3" x14ac:dyDescent="0.2">
      <c r="A222" s="459" t="s">
        <v>112</v>
      </c>
      <c r="B222" s="390" t="s">
        <v>59</v>
      </c>
      <c r="C222" s="391">
        <f>13.5*I21/1000</f>
        <v>2.7</v>
      </c>
    </row>
    <row r="223" spans="1:3" x14ac:dyDescent="0.2">
      <c r="A223" s="459"/>
      <c r="B223" s="390" t="s">
        <v>234</v>
      </c>
      <c r="C223" s="391">
        <f>C180*(8.6*C179^-0.0371)</f>
        <v>1.3556573966343952</v>
      </c>
    </row>
    <row r="224" spans="1:3" x14ac:dyDescent="0.2">
      <c r="A224" s="459"/>
      <c r="B224" s="390" t="s">
        <v>115</v>
      </c>
      <c r="C224" s="391">
        <f>C223+C222</f>
        <v>4.0556573966343956</v>
      </c>
    </row>
    <row r="225" spans="1:4" x14ac:dyDescent="0.2">
      <c r="A225" s="459"/>
      <c r="B225" s="390" t="s">
        <v>116</v>
      </c>
    </row>
    <row r="226" spans="1:4" x14ac:dyDescent="0.2">
      <c r="A226" s="459"/>
      <c r="B226" s="392" t="s">
        <v>117</v>
      </c>
      <c r="C226" s="393">
        <f>C224/AF15</f>
        <v>5.9817955702572201</v>
      </c>
      <c r="D226" s="396"/>
    </row>
    <row r="227" spans="1:4" x14ac:dyDescent="0.2">
      <c r="A227" s="392"/>
      <c r="B227" s="392"/>
    </row>
    <row r="228" spans="1:4" x14ac:dyDescent="0.2">
      <c r="A228" s="506" t="s">
        <v>118</v>
      </c>
      <c r="B228" s="506"/>
      <c r="C228" s="396">
        <f>C220/C226</f>
        <v>1.0694717710342934</v>
      </c>
    </row>
    <row r="229" spans="1:4" x14ac:dyDescent="0.2">
      <c r="A229" s="390"/>
      <c r="B229" s="390"/>
    </row>
    <row r="230" spans="1:4" x14ac:dyDescent="0.2">
      <c r="A230" s="459" t="s">
        <v>119</v>
      </c>
      <c r="B230" s="390" t="s">
        <v>60</v>
      </c>
      <c r="C230" s="391">
        <f>I21*5.9/1000</f>
        <v>1.18</v>
      </c>
    </row>
    <row r="231" spans="1:4" x14ac:dyDescent="0.2">
      <c r="A231" s="459"/>
      <c r="B231" s="390" t="s">
        <v>120</v>
      </c>
      <c r="C231" s="391">
        <f>C180*(0.3466*I21^-0.0173)</f>
        <v>6.0592133437994813E-2</v>
      </c>
    </row>
    <row r="232" spans="1:4" x14ac:dyDescent="0.2">
      <c r="A232" s="459"/>
      <c r="B232" s="390" t="s">
        <v>122</v>
      </c>
      <c r="C232" s="391">
        <f>C231+C230</f>
        <v>1.2405921334379948</v>
      </c>
    </row>
    <row r="233" spans="1:4" x14ac:dyDescent="0.2">
      <c r="A233" s="459"/>
      <c r="B233" s="390" t="s">
        <v>116</v>
      </c>
    </row>
    <row r="234" spans="1:4" x14ac:dyDescent="0.2">
      <c r="A234" s="459"/>
      <c r="B234" s="392" t="s">
        <v>123</v>
      </c>
      <c r="C234" s="396">
        <f>C232/AF18</f>
        <v>3.4946257279943516</v>
      </c>
      <c r="D234" s="397"/>
    </row>
    <row r="235" spans="1:4" x14ac:dyDescent="0.2">
      <c r="A235" s="390"/>
      <c r="B235" s="392"/>
    </row>
    <row r="236" spans="1:4" x14ac:dyDescent="0.2">
      <c r="A236" s="459" t="s">
        <v>124</v>
      </c>
      <c r="B236" s="390" t="s">
        <v>61</v>
      </c>
      <c r="C236" s="391">
        <f>I21*6.3/1000</f>
        <v>1.26</v>
      </c>
    </row>
    <row r="237" spans="1:4" x14ac:dyDescent="0.2">
      <c r="A237" s="459"/>
      <c r="B237" s="390" t="s">
        <v>125</v>
      </c>
      <c r="C237" s="391">
        <f>C180*(1.2*I21^-0.0209)</f>
        <v>0.20581888630315448</v>
      </c>
    </row>
    <row r="238" spans="1:4" x14ac:dyDescent="0.2">
      <c r="A238" s="459"/>
      <c r="B238" s="390" t="s">
        <v>127</v>
      </c>
      <c r="C238" s="391">
        <f>C237+C236</f>
        <v>1.4658188863031545</v>
      </c>
    </row>
    <row r="239" spans="1:4" x14ac:dyDescent="0.2">
      <c r="A239" s="459"/>
      <c r="B239" s="390" t="s">
        <v>116</v>
      </c>
    </row>
    <row r="240" spans="1:4" x14ac:dyDescent="0.2">
      <c r="A240" s="459"/>
      <c r="B240" s="392" t="s">
        <v>128</v>
      </c>
      <c r="C240" s="396">
        <f>C238/AF20</f>
        <v>3.9509943027039207</v>
      </c>
      <c r="D240" s="396"/>
    </row>
    <row r="241" spans="1:4" x14ac:dyDescent="0.2">
      <c r="A241" s="390"/>
      <c r="B241" s="392"/>
    </row>
    <row r="242" spans="1:4" x14ac:dyDescent="0.2">
      <c r="A242" s="459" t="s">
        <v>129</v>
      </c>
      <c r="B242" s="390" t="s">
        <v>130</v>
      </c>
      <c r="C242" s="391">
        <f>23.5*I21/1000</f>
        <v>4.7</v>
      </c>
    </row>
    <row r="243" spans="1:4" x14ac:dyDescent="0.2">
      <c r="A243" s="459"/>
      <c r="B243" s="390" t="s">
        <v>131</v>
      </c>
      <c r="C243" s="391">
        <f>C180*(1.5*C179^-0.0636)</f>
        <v>0.20568912064078892</v>
      </c>
    </row>
    <row r="244" spans="1:4" x14ac:dyDescent="0.2">
      <c r="A244" s="459"/>
      <c r="B244" s="390" t="s">
        <v>133</v>
      </c>
      <c r="C244" s="391">
        <f>C243+C242</f>
        <v>4.9056891206407887</v>
      </c>
    </row>
    <row r="245" spans="1:4" x14ac:dyDescent="0.2">
      <c r="A245" s="459"/>
      <c r="B245" s="390" t="s">
        <v>116</v>
      </c>
    </row>
    <row r="246" spans="1:4" x14ac:dyDescent="0.2">
      <c r="A246" s="459"/>
      <c r="B246" s="392" t="s">
        <v>134</v>
      </c>
      <c r="C246" s="396">
        <f>C244/AF22</f>
        <v>10.135721323637993</v>
      </c>
      <c r="D246" s="396"/>
    </row>
    <row r="247" spans="1:4" x14ac:dyDescent="0.2">
      <c r="A247" s="390"/>
      <c r="B247" s="392"/>
    </row>
    <row r="249" spans="1:4" x14ac:dyDescent="0.2">
      <c r="A249" s="502" t="s">
        <v>72</v>
      </c>
      <c r="B249" s="502"/>
      <c r="C249" s="394">
        <f>I21</f>
        <v>200</v>
      </c>
    </row>
    <row r="250" spans="1:4" x14ac:dyDescent="0.2">
      <c r="A250" s="502" t="s">
        <v>272</v>
      </c>
      <c r="B250" s="502"/>
      <c r="C250" s="395">
        <f>I23</f>
        <v>2</v>
      </c>
    </row>
    <row r="251" spans="1:4" x14ac:dyDescent="0.2">
      <c r="A251" s="502" t="s">
        <v>69</v>
      </c>
      <c r="B251" s="502"/>
      <c r="C251" s="395">
        <f>I25</f>
        <v>0.2</v>
      </c>
    </row>
    <row r="252" spans="1:4" x14ac:dyDescent="0.2">
      <c r="A252" s="408"/>
      <c r="B252" s="408"/>
      <c r="C252" s="408"/>
    </row>
    <row r="253" spans="1:4" x14ac:dyDescent="0.2">
      <c r="A253" s="408"/>
      <c r="B253" s="408"/>
      <c r="C253" s="408"/>
      <c r="D253" s="377"/>
    </row>
    <row r="255" spans="1:4" x14ac:dyDescent="0.2">
      <c r="A255" s="502" t="s">
        <v>72</v>
      </c>
      <c r="B255" s="502"/>
      <c r="C255" s="394">
        <f>I21</f>
        <v>200</v>
      </c>
    </row>
    <row r="256" spans="1:4" x14ac:dyDescent="0.2">
      <c r="A256" s="502" t="s">
        <v>265</v>
      </c>
      <c r="B256" s="502"/>
      <c r="C256" s="395">
        <f>I23</f>
        <v>2</v>
      </c>
    </row>
    <row r="257" spans="1:4" x14ac:dyDescent="0.2">
      <c r="A257" s="502" t="s">
        <v>69</v>
      </c>
      <c r="B257" s="502"/>
      <c r="C257" s="395">
        <f>I25</f>
        <v>0.2</v>
      </c>
      <c r="D257" s="395"/>
    </row>
    <row r="259" spans="1:4" x14ac:dyDescent="0.2">
      <c r="A259" s="408"/>
      <c r="B259" s="408"/>
      <c r="C259" s="408"/>
    </row>
    <row r="260" spans="1:4" x14ac:dyDescent="0.2">
      <c r="A260" s="408"/>
      <c r="B260" s="408"/>
      <c r="C260" s="408"/>
    </row>
    <row r="261" spans="1:4" x14ac:dyDescent="0.2">
      <c r="A261" s="408" t="s">
        <v>499</v>
      </c>
      <c r="B261" s="408"/>
      <c r="C261" s="408"/>
    </row>
    <row r="262" spans="1:4" x14ac:dyDescent="0.2">
      <c r="A262" s="516" t="s">
        <v>32</v>
      </c>
      <c r="B262" s="403" t="s">
        <v>135</v>
      </c>
      <c r="C262" s="404">
        <f>I21*10.4/1000</f>
        <v>2.08</v>
      </c>
    </row>
    <row r="263" spans="1:4" x14ac:dyDescent="0.2">
      <c r="A263" s="516"/>
      <c r="B263" s="403" t="s">
        <v>138</v>
      </c>
      <c r="C263" s="404">
        <f>C180*(0.03*C179^0.89)</f>
        <v>0.62009648521313643</v>
      </c>
    </row>
    <row r="264" spans="1:4" x14ac:dyDescent="0.2">
      <c r="A264" s="516"/>
      <c r="B264" s="403" t="s">
        <v>136</v>
      </c>
      <c r="C264" s="404">
        <f>C263+C262</f>
        <v>2.7000964852131366</v>
      </c>
    </row>
    <row r="265" spans="1:4" ht="15" x14ac:dyDescent="0.2">
      <c r="A265" s="516"/>
      <c r="B265" s="403" t="s">
        <v>116</v>
      </c>
      <c r="C265" s="405"/>
    </row>
    <row r="266" spans="1:4" x14ac:dyDescent="0.2">
      <c r="A266" s="516"/>
      <c r="B266" s="406" t="s">
        <v>137</v>
      </c>
      <c r="C266" s="407">
        <f>C264/AF24</f>
        <v>3.5066188119651125</v>
      </c>
    </row>
    <row r="267" spans="1:4" ht="15" x14ac:dyDescent="0.2">
      <c r="A267" s="403"/>
      <c r="B267" s="406"/>
      <c r="C267" s="405"/>
    </row>
    <row r="268" spans="1:4" x14ac:dyDescent="0.2">
      <c r="A268" s="516" t="s">
        <v>36</v>
      </c>
      <c r="B268" s="403" t="s">
        <v>139</v>
      </c>
      <c r="C268" s="404">
        <f>I21*95.6/1000</f>
        <v>19.12</v>
      </c>
    </row>
    <row r="269" spans="1:4" x14ac:dyDescent="0.2">
      <c r="A269" s="516"/>
      <c r="B269" s="403" t="s">
        <v>140</v>
      </c>
      <c r="C269" s="404">
        <f>C180*(1.25*C179^0.33)</f>
        <v>1.3586049422020645</v>
      </c>
    </row>
    <row r="270" spans="1:4" x14ac:dyDescent="0.2">
      <c r="A270" s="516"/>
      <c r="B270" s="403" t="s">
        <v>141</v>
      </c>
      <c r="C270" s="404">
        <f>C269+C268</f>
        <v>20.478604942202065</v>
      </c>
    </row>
    <row r="271" spans="1:4" ht="15" x14ac:dyDescent="0.2">
      <c r="A271" s="516"/>
      <c r="B271" s="403" t="s">
        <v>116</v>
      </c>
      <c r="C271" s="405"/>
    </row>
    <row r="272" spans="1:4" x14ac:dyDescent="0.2">
      <c r="A272" s="516"/>
      <c r="B272" s="406" t="s">
        <v>142</v>
      </c>
      <c r="C272" s="407">
        <f>C270/AF27</f>
        <v>27.673790462435221</v>
      </c>
    </row>
    <row r="273" spans="1:3" ht="15" x14ac:dyDescent="0.2">
      <c r="A273" s="403"/>
      <c r="B273" s="406"/>
      <c r="C273" s="405"/>
    </row>
    <row r="274" spans="1:3" x14ac:dyDescent="0.2">
      <c r="A274" s="516" t="s">
        <v>34</v>
      </c>
      <c r="B274" s="403" t="s">
        <v>143</v>
      </c>
      <c r="C274" s="404">
        <f>I21*13.5/1000</f>
        <v>2.7</v>
      </c>
    </row>
    <row r="275" spans="1:3" x14ac:dyDescent="0.2">
      <c r="A275" s="516"/>
      <c r="B275" s="403" t="s">
        <v>144</v>
      </c>
      <c r="C275" s="404">
        <f>C180*(0.045*C179^-0.023)</f>
        <v>7.6396119953942316E-3</v>
      </c>
    </row>
    <row r="276" spans="1:3" x14ac:dyDescent="0.2">
      <c r="A276" s="516"/>
      <c r="B276" s="403" t="s">
        <v>145</v>
      </c>
      <c r="C276" s="404">
        <f>C275+C274</f>
        <v>2.7076396119953943</v>
      </c>
    </row>
    <row r="277" spans="1:3" ht="15" x14ac:dyDescent="0.2">
      <c r="A277" s="516"/>
      <c r="B277" s="403" t="s">
        <v>116</v>
      </c>
      <c r="C277" s="405"/>
    </row>
    <row r="278" spans="1:3" x14ac:dyDescent="0.2">
      <c r="A278" s="516"/>
      <c r="B278" s="406" t="s">
        <v>146</v>
      </c>
      <c r="C278" s="407">
        <f>C276/AF29</f>
        <v>3.1122294390751657</v>
      </c>
    </row>
    <row r="279" spans="1:3" ht="15" x14ac:dyDescent="0.2">
      <c r="A279" s="403"/>
      <c r="B279" s="403"/>
      <c r="C279" s="405"/>
    </row>
    <row r="280" spans="1:3" x14ac:dyDescent="0.2">
      <c r="A280" s="516" t="s">
        <v>64</v>
      </c>
      <c r="B280" s="403" t="s">
        <v>147</v>
      </c>
      <c r="C280" s="404">
        <f>I21*22.9/1000</f>
        <v>4.58</v>
      </c>
    </row>
    <row r="281" spans="1:3" x14ac:dyDescent="0.2">
      <c r="A281" s="516"/>
      <c r="B281" s="403" t="s">
        <v>148</v>
      </c>
      <c r="C281" s="404">
        <f>C180*(0.23*C179^0.61)</f>
        <v>1.0901554544320444</v>
      </c>
    </row>
    <row r="282" spans="1:3" x14ac:dyDescent="0.2">
      <c r="A282" s="516"/>
      <c r="B282" s="403" t="s">
        <v>149</v>
      </c>
      <c r="C282" s="404">
        <f>C281+C280</f>
        <v>5.6701554544320443</v>
      </c>
    </row>
    <row r="283" spans="1:3" ht="15" x14ac:dyDescent="0.2">
      <c r="A283" s="516"/>
      <c r="B283" s="403" t="s">
        <v>116</v>
      </c>
      <c r="C283" s="405"/>
    </row>
    <row r="284" spans="1:3" x14ac:dyDescent="0.2">
      <c r="A284" s="516"/>
      <c r="B284" s="406" t="s">
        <v>150</v>
      </c>
      <c r="C284" s="407">
        <f>C282/AF31</f>
        <v>7.2694300697846721</v>
      </c>
    </row>
    <row r="285" spans="1:3" ht="15" x14ac:dyDescent="0.2">
      <c r="A285" s="403"/>
      <c r="B285" s="403"/>
      <c r="C285" s="405"/>
    </row>
    <row r="286" spans="1:3" x14ac:dyDescent="0.2">
      <c r="A286" s="516" t="s">
        <v>38</v>
      </c>
      <c r="B286" s="403" t="s">
        <v>151</v>
      </c>
      <c r="C286" s="415">
        <f>I21*2942/1000</f>
        <v>588.4</v>
      </c>
    </row>
    <row r="287" spans="1:3" x14ac:dyDescent="0.2">
      <c r="A287" s="516"/>
      <c r="B287" s="403" t="s">
        <v>152</v>
      </c>
      <c r="C287" s="416">
        <f>C180*(10.4*C179^0.24)</f>
        <v>7.0410602454514768</v>
      </c>
    </row>
    <row r="288" spans="1:3" x14ac:dyDescent="0.2">
      <c r="A288" s="516"/>
      <c r="B288" s="403" t="s">
        <v>153</v>
      </c>
      <c r="C288" s="415">
        <f>C287+C286</f>
        <v>595.44106024545147</v>
      </c>
    </row>
    <row r="289" spans="1:3" ht="15" x14ac:dyDescent="0.2">
      <c r="A289" s="516"/>
      <c r="B289" s="403" t="s">
        <v>116</v>
      </c>
      <c r="C289" s="405"/>
    </row>
    <row r="290" spans="1:3" x14ac:dyDescent="0.2">
      <c r="A290" s="516"/>
      <c r="B290" s="406" t="s">
        <v>154</v>
      </c>
      <c r="C290" s="417">
        <f>C288/AF33</f>
        <v>815.67268526774171</v>
      </c>
    </row>
    <row r="291" spans="1:3" ht="15" x14ac:dyDescent="0.2">
      <c r="A291" s="403"/>
      <c r="B291" s="403"/>
      <c r="C291" s="405"/>
    </row>
    <row r="292" spans="1:3" x14ac:dyDescent="0.2">
      <c r="A292" s="516" t="s">
        <v>40</v>
      </c>
      <c r="B292" s="403" t="s">
        <v>155</v>
      </c>
      <c r="C292" s="415">
        <f>I21*184.9/1000</f>
        <v>36.979999999999997</v>
      </c>
    </row>
    <row r="293" spans="1:3" x14ac:dyDescent="0.2">
      <c r="A293" s="516"/>
      <c r="B293" s="403" t="s">
        <v>156</v>
      </c>
      <c r="C293" s="416">
        <f>C180*(0.07*C179^0.8)</f>
        <v>0.90127556935704234</v>
      </c>
    </row>
    <row r="294" spans="1:3" x14ac:dyDescent="0.2">
      <c r="A294" s="516"/>
      <c r="B294" s="403" t="s">
        <v>157</v>
      </c>
      <c r="C294" s="415">
        <f>C293+C292</f>
        <v>37.881275569357037</v>
      </c>
    </row>
    <row r="295" spans="1:3" ht="15" x14ac:dyDescent="0.2">
      <c r="A295" s="516"/>
      <c r="B295" s="403" t="s">
        <v>116</v>
      </c>
      <c r="C295" s="405"/>
    </row>
    <row r="296" spans="1:3" x14ac:dyDescent="0.2">
      <c r="A296" s="516"/>
      <c r="B296" s="406" t="s">
        <v>158</v>
      </c>
      <c r="C296" s="418">
        <f>C294/AF35</f>
        <v>86.093808112175083</v>
      </c>
    </row>
    <row r="297" spans="1:3" ht="15" x14ac:dyDescent="0.2">
      <c r="A297" s="403"/>
      <c r="B297" s="403"/>
      <c r="C297" s="405"/>
    </row>
    <row r="298" spans="1:3" x14ac:dyDescent="0.2">
      <c r="A298" s="516" t="s">
        <v>63</v>
      </c>
      <c r="B298" s="403" t="s">
        <v>159</v>
      </c>
      <c r="C298" s="404">
        <f>I21*3.27/1000</f>
        <v>0.65400000000000003</v>
      </c>
    </row>
    <row r="299" spans="1:3" x14ac:dyDescent="0.2">
      <c r="A299" s="516"/>
      <c r="B299" s="403" t="s">
        <v>160</v>
      </c>
      <c r="C299" s="404">
        <f>C180*(0.0035*C179^0.41)</f>
        <v>5.7941218860549362E-3</v>
      </c>
    </row>
    <row r="300" spans="1:3" x14ac:dyDescent="0.2">
      <c r="A300" s="516"/>
      <c r="B300" s="403" t="s">
        <v>161</v>
      </c>
      <c r="C300" s="404">
        <f>C299+C298</f>
        <v>0.65979412188605491</v>
      </c>
    </row>
    <row r="301" spans="1:3" ht="15" x14ac:dyDescent="0.2">
      <c r="A301" s="516"/>
      <c r="B301" s="403" t="s">
        <v>116</v>
      </c>
      <c r="C301" s="405"/>
    </row>
    <row r="302" spans="1:3" x14ac:dyDescent="0.2">
      <c r="A302" s="516"/>
      <c r="B302" s="406" t="s">
        <v>162</v>
      </c>
      <c r="C302" s="407">
        <f>C300/AF37</f>
        <v>1.3195882437721098</v>
      </c>
    </row>
    <row r="303" spans="1:3" ht="15" x14ac:dyDescent="0.2">
      <c r="A303" s="403"/>
      <c r="B303" s="403"/>
      <c r="C303" s="405"/>
    </row>
    <row r="304" spans="1:3" x14ac:dyDescent="0.2">
      <c r="A304" s="516" t="s">
        <v>42</v>
      </c>
      <c r="B304" s="403" t="s">
        <v>163</v>
      </c>
      <c r="C304" s="404">
        <f>I21*3.72/1000</f>
        <v>0.74399999999999999</v>
      </c>
    </row>
    <row r="305" spans="1:3" x14ac:dyDescent="0.2">
      <c r="A305" s="516"/>
      <c r="B305" s="403" t="s">
        <v>164</v>
      </c>
      <c r="C305" s="404">
        <f>C180*(1.07*C179^-0.07)</f>
        <v>0.14186815726402285</v>
      </c>
    </row>
    <row r="306" spans="1:3" x14ac:dyDescent="0.2">
      <c r="A306" s="516"/>
      <c r="B306" s="403" t="s">
        <v>165</v>
      </c>
      <c r="C306" s="404">
        <f>C305+C304</f>
        <v>0.88586815726402279</v>
      </c>
    </row>
    <row r="307" spans="1:3" ht="15" x14ac:dyDescent="0.2">
      <c r="A307" s="516"/>
      <c r="B307" s="403" t="s">
        <v>116</v>
      </c>
      <c r="C307" s="405"/>
    </row>
    <row r="308" spans="1:3" x14ac:dyDescent="0.2">
      <c r="A308" s="516"/>
      <c r="B308" s="406" t="s">
        <v>166</v>
      </c>
      <c r="C308" s="407">
        <f>C306/AF39</f>
        <v>1.8078941984980057</v>
      </c>
    </row>
    <row r="309" spans="1:3" ht="15" x14ac:dyDescent="0.2">
      <c r="A309" s="403"/>
      <c r="B309" s="403"/>
      <c r="C309" s="405"/>
    </row>
    <row r="310" spans="1:3" x14ac:dyDescent="0.2">
      <c r="A310" s="516" t="s">
        <v>44</v>
      </c>
      <c r="B310" s="403" t="s">
        <v>167</v>
      </c>
      <c r="C310" s="404">
        <f>I21*334.4/1000</f>
        <v>66.88</v>
      </c>
    </row>
    <row r="311" spans="1:3" x14ac:dyDescent="0.2">
      <c r="A311" s="516"/>
      <c r="B311" s="403" t="s">
        <v>168</v>
      </c>
      <c r="C311" s="404">
        <f>C180*(1.16*C179^0.86)</f>
        <v>20.477166058611072</v>
      </c>
    </row>
    <row r="312" spans="1:3" x14ac:dyDescent="0.2">
      <c r="A312" s="516"/>
      <c r="B312" s="403" t="s">
        <v>169</v>
      </c>
      <c r="C312" s="404">
        <f>C311+C310</f>
        <v>87.357166058611071</v>
      </c>
    </row>
    <row r="313" spans="1:3" ht="15" x14ac:dyDescent="0.2">
      <c r="A313" s="516"/>
      <c r="B313" s="403" t="s">
        <v>116</v>
      </c>
      <c r="C313" s="405"/>
    </row>
    <row r="314" spans="1:3" x14ac:dyDescent="0.2">
      <c r="A314" s="516"/>
      <c r="B314" s="406" t="s">
        <v>170</v>
      </c>
      <c r="C314" s="417">
        <f>C312/AF41</f>
        <v>130.38382993822546</v>
      </c>
    </row>
    <row r="315" spans="1:3" x14ac:dyDescent="0.2">
      <c r="A315" s="380"/>
      <c r="B315" s="408"/>
      <c r="C315" s="408"/>
    </row>
    <row r="316" spans="1:3" x14ac:dyDescent="0.2">
      <c r="A316" s="380"/>
      <c r="B316" s="408"/>
      <c r="C316" s="408"/>
    </row>
  </sheetData>
  <mergeCells count="170">
    <mergeCell ref="A274:A278"/>
    <mergeCell ref="A280:A284"/>
    <mergeCell ref="A286:A290"/>
    <mergeCell ref="A292:A296"/>
    <mergeCell ref="A298:A302"/>
    <mergeCell ref="A304:A308"/>
    <mergeCell ref="A310:A314"/>
    <mergeCell ref="A222:A226"/>
    <mergeCell ref="A228:B228"/>
    <mergeCell ref="A230:A234"/>
    <mergeCell ref="U38:U39"/>
    <mergeCell ref="S40:S41"/>
    <mergeCell ref="U40:U41"/>
    <mergeCell ref="R26:R41"/>
    <mergeCell ref="A262:A266"/>
    <mergeCell ref="A268:A272"/>
    <mergeCell ref="A148:A152"/>
    <mergeCell ref="A154:A158"/>
    <mergeCell ref="S32:S33"/>
    <mergeCell ref="U32:U33"/>
    <mergeCell ref="F54:J58"/>
    <mergeCell ref="F42:J43"/>
    <mergeCell ref="A255:B255"/>
    <mergeCell ref="A256:B256"/>
    <mergeCell ref="A257:B257"/>
    <mergeCell ref="A251:B251"/>
    <mergeCell ref="A250:B250"/>
    <mergeCell ref="A188:A199"/>
    <mergeCell ref="A201:A214"/>
    <mergeCell ref="A236:A240"/>
    <mergeCell ref="A242:A246"/>
    <mergeCell ref="A249:B249"/>
    <mergeCell ref="A216:A220"/>
    <mergeCell ref="A97:A102"/>
    <mergeCell ref="AE40:AE41"/>
    <mergeCell ref="AG40:AG41"/>
    <mergeCell ref="AH40:AH41"/>
    <mergeCell ref="AH32:AH33"/>
    <mergeCell ref="AE34:AE35"/>
    <mergeCell ref="AG34:AG35"/>
    <mergeCell ref="AH34:AH35"/>
    <mergeCell ref="AE36:AE37"/>
    <mergeCell ref="AG36:AG37"/>
    <mergeCell ref="AH36:AH37"/>
    <mergeCell ref="AE38:AE39"/>
    <mergeCell ref="AG38:AG39"/>
    <mergeCell ref="AH38:AH39"/>
    <mergeCell ref="AE32:AE33"/>
    <mergeCell ref="AG32:AG33"/>
    <mergeCell ref="F6:J7"/>
    <mergeCell ref="F3:J4"/>
    <mergeCell ref="F18:J19"/>
    <mergeCell ref="M8:V9"/>
    <mergeCell ref="Y8:AH9"/>
    <mergeCell ref="M10:P11"/>
    <mergeCell ref="R10:V11"/>
    <mergeCell ref="Y10:AB11"/>
    <mergeCell ref="AD10:AH11"/>
    <mergeCell ref="L3:AI7"/>
    <mergeCell ref="U12:U13"/>
    <mergeCell ref="U14:U15"/>
    <mergeCell ref="T16:V16"/>
    <mergeCell ref="U17:U18"/>
    <mergeCell ref="V17:V18"/>
    <mergeCell ref="R12:R24"/>
    <mergeCell ref="S12:S13"/>
    <mergeCell ref="S14:S15"/>
    <mergeCell ref="S17:S18"/>
    <mergeCell ref="S19:S20"/>
    <mergeCell ref="S21:S22"/>
    <mergeCell ref="G11:H11"/>
    <mergeCell ref="G13:H13"/>
    <mergeCell ref="G23:H23"/>
    <mergeCell ref="AH21:AH22"/>
    <mergeCell ref="Y12:Y14"/>
    <mergeCell ref="AE12:AE13"/>
    <mergeCell ref="AG12:AG13"/>
    <mergeCell ref="AH12:AH13"/>
    <mergeCell ref="AE14:AE15"/>
    <mergeCell ref="AG14:AG15"/>
    <mergeCell ref="AH14:AH15"/>
    <mergeCell ref="AF16:AH16"/>
    <mergeCell ref="AE17:AE18"/>
    <mergeCell ref="AD12:AD24"/>
    <mergeCell ref="AG17:AG18"/>
    <mergeCell ref="AH17:AH18"/>
    <mergeCell ref="AE19:AE20"/>
    <mergeCell ref="AG19:AG20"/>
    <mergeCell ref="AH19:AH20"/>
    <mergeCell ref="AE21:AE22"/>
    <mergeCell ref="Y16:Y24"/>
    <mergeCell ref="AG23:AG24"/>
    <mergeCell ref="AG21:AG22"/>
    <mergeCell ref="AH23:AH24"/>
    <mergeCell ref="AE23:AE24"/>
    <mergeCell ref="AE26:AE27"/>
    <mergeCell ref="AG26:AG27"/>
    <mergeCell ref="AH26:AH27"/>
    <mergeCell ref="AE28:AE29"/>
    <mergeCell ref="AG28:AG29"/>
    <mergeCell ref="AH28:AH29"/>
    <mergeCell ref="AE30:AE31"/>
    <mergeCell ref="AG30:AG31"/>
    <mergeCell ref="AH30:AH31"/>
    <mergeCell ref="AD26:AD41"/>
    <mergeCell ref="U34:U35"/>
    <mergeCell ref="V34:V35"/>
    <mergeCell ref="S36:S37"/>
    <mergeCell ref="U36:U37"/>
    <mergeCell ref="V36:V37"/>
    <mergeCell ref="S34:S35"/>
    <mergeCell ref="V38:V39"/>
    <mergeCell ref="V40:V41"/>
    <mergeCell ref="V32:V33"/>
    <mergeCell ref="S26:S27"/>
    <mergeCell ref="U26:U27"/>
    <mergeCell ref="V26:V27"/>
    <mergeCell ref="S28:S29"/>
    <mergeCell ref="U28:U29"/>
    <mergeCell ref="V28:V29"/>
    <mergeCell ref="S30:S31"/>
    <mergeCell ref="U30:U31"/>
    <mergeCell ref="V30:V31"/>
    <mergeCell ref="Y26:Y35"/>
    <mergeCell ref="Z29:Z30"/>
    <mergeCell ref="Z31:Z32"/>
    <mergeCell ref="Z34:Z35"/>
    <mergeCell ref="S38:S39"/>
    <mergeCell ref="A16:B16"/>
    <mergeCell ref="A139:A144"/>
    <mergeCell ref="A163:B163"/>
    <mergeCell ref="A164:B164"/>
    <mergeCell ref="A165:B165"/>
    <mergeCell ref="A166:B166"/>
    <mergeCell ref="A167:B167"/>
    <mergeCell ref="A21:A23"/>
    <mergeCell ref="A31:A45"/>
    <mergeCell ref="A47:A58"/>
    <mergeCell ref="A74:B74"/>
    <mergeCell ref="A76:A81"/>
    <mergeCell ref="A111:A116"/>
    <mergeCell ref="A118:A123"/>
    <mergeCell ref="A125:A130"/>
    <mergeCell ref="A67:A72"/>
    <mergeCell ref="A83:A88"/>
    <mergeCell ref="A104:A109"/>
    <mergeCell ref="V12:V13"/>
    <mergeCell ref="V14:V15"/>
    <mergeCell ref="U19:U20"/>
    <mergeCell ref="V19:V20"/>
    <mergeCell ref="U21:U22"/>
    <mergeCell ref="V21:V22"/>
    <mergeCell ref="A170:B170"/>
    <mergeCell ref="A171:B171"/>
    <mergeCell ref="A172:B172"/>
    <mergeCell ref="N23:N24"/>
    <mergeCell ref="N34:N35"/>
    <mergeCell ref="N32:N33"/>
    <mergeCell ref="N30:N31"/>
    <mergeCell ref="M16:M24"/>
    <mergeCell ref="M26:M35"/>
    <mergeCell ref="A132:A137"/>
    <mergeCell ref="A61:A65"/>
    <mergeCell ref="G15:H15"/>
    <mergeCell ref="S23:S24"/>
    <mergeCell ref="U23:U24"/>
    <mergeCell ref="V23:V24"/>
    <mergeCell ref="G21:H21"/>
    <mergeCell ref="G25:H25"/>
    <mergeCell ref="A90:A95"/>
  </mergeCells>
  <dataValidations count="4">
    <dataValidation type="list" allowBlank="1" showErrorMessage="1" sqref="I9" xr:uid="{9A16782A-F5F8-4385-8159-5D0A475A3FF0}">
      <formula1>$B$2:$B$3</formula1>
    </dataValidation>
    <dataValidation type="whole" operator="greaterThan" showInputMessage="1" showErrorMessage="1" errorTitle="Atenção" error="Confira se os dados de entrada fazem sentido biológico!" promptTitle="Atenção" sqref="AA32" xr:uid="{E316D926-639F-4A0A-835A-3056CEB71C6E}">
      <formula1>100</formula1>
    </dataValidation>
    <dataValidation type="whole" errorStyle="warning" operator="lessThan" allowBlank="1" showInputMessage="1" showErrorMessage="1" errorTitle="Atençao!" error="Confira se os dados de entrada fazem sentido biológico!" sqref="AA29" xr:uid="{00FAED87-7B46-418B-A2A8-33DBF924FAA3}">
      <formula1>0</formula1>
    </dataValidation>
    <dataValidation type="custom" errorStyle="warning" operator="lessThan" allowBlank="1" showInputMessage="1" showErrorMessage="1" errorTitle="Atenção" error="Confira se os dados informados fazem sentido biológico." sqref="I23" xr:uid="{AA9AF237-DEE6-47C5-9F49-C07818181AED}">
      <formula1>AA30&gt;100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47FF-3E2E-40B3-8838-25603EDB2CC7}">
  <dimension ref="A1:BX1001"/>
  <sheetViews>
    <sheetView topLeftCell="D1" zoomScale="60" zoomScaleNormal="60" workbookViewId="0">
      <selection activeCell="I9" sqref="I9"/>
    </sheetView>
  </sheetViews>
  <sheetFormatPr defaultColWidth="15.140625" defaultRowHeight="15" customHeight="1" x14ac:dyDescent="0.25"/>
  <cols>
    <col min="1" max="1" width="15" style="26" customWidth="1"/>
    <col min="2" max="2" width="40.85546875" style="26" bestFit="1" customWidth="1"/>
    <col min="3" max="3" width="30" style="26" customWidth="1"/>
    <col min="4" max="4" width="14.28515625" style="26" customWidth="1"/>
    <col min="5" max="5" width="44.28515625" style="26" customWidth="1"/>
    <col min="6" max="6" width="20.42578125" style="26" customWidth="1"/>
    <col min="7" max="7" width="18.7109375" style="26" customWidth="1"/>
    <col min="8" max="8" width="23.28515625" style="26" customWidth="1"/>
    <col min="9" max="9" width="25.7109375" style="148" customWidth="1"/>
    <col min="10" max="10" width="24.85546875" style="148" bestFit="1" customWidth="1"/>
    <col min="11" max="11" width="20.85546875" style="148" customWidth="1"/>
    <col min="12" max="12" width="10.85546875" style="148" customWidth="1"/>
    <col min="13" max="13" width="31.7109375" style="148" customWidth="1"/>
    <col min="14" max="14" width="23.7109375" style="148" customWidth="1"/>
    <col min="15" max="15" width="1.85546875" style="148" customWidth="1"/>
    <col min="16" max="16" width="19.42578125" style="148" customWidth="1"/>
    <col min="17" max="17" width="16" style="27" bestFit="1" customWidth="1"/>
    <col min="18" max="18" width="16" style="148" customWidth="1"/>
    <col min="19" max="19" width="16" style="160" customWidth="1"/>
    <col min="20" max="20" width="18.140625" style="148" bestFit="1" customWidth="1"/>
    <col min="21" max="22" width="16" style="148" customWidth="1"/>
    <col min="23" max="26" width="11.28515625" style="148" customWidth="1"/>
    <col min="27" max="27" width="10.42578125" style="148" customWidth="1"/>
    <col min="28" max="28" width="8.85546875" style="148" customWidth="1"/>
    <col min="29" max="31" width="8.140625" style="148" customWidth="1"/>
    <col min="32" max="35" width="7.7109375" style="148" customWidth="1"/>
    <col min="36" max="51" width="15.140625" style="148"/>
    <col min="52" max="16384" width="15.140625" style="26"/>
  </cols>
  <sheetData>
    <row r="1" spans="1:76" ht="13.5" customHeight="1" x14ac:dyDescent="0.25">
      <c r="A1" s="28" t="s">
        <v>451</v>
      </c>
      <c r="B1" s="28"/>
      <c r="C1" s="28"/>
      <c r="D1" s="28"/>
      <c r="E1" s="28"/>
      <c r="F1" s="28"/>
      <c r="G1" s="29"/>
      <c r="H1" s="28"/>
      <c r="I1" s="147"/>
      <c r="J1" s="147"/>
      <c r="K1" s="146"/>
      <c r="L1" s="146"/>
      <c r="M1" s="146"/>
      <c r="N1" s="146"/>
      <c r="O1" s="146"/>
      <c r="P1" s="146"/>
      <c r="Q1" s="30"/>
      <c r="R1" s="146"/>
      <c r="S1" s="147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</row>
    <row r="2" spans="1:76" s="51" customFormat="1" ht="25.15" customHeight="1" x14ac:dyDescent="0.25">
      <c r="A2" s="28"/>
      <c r="B2" s="28"/>
      <c r="C2" s="28"/>
      <c r="D2" s="145"/>
      <c r="E2" s="518" t="s">
        <v>456</v>
      </c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30"/>
      <c r="R2" s="146"/>
      <c r="S2" s="147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</row>
    <row r="3" spans="1:76" s="51" customFormat="1" ht="25.15" customHeight="1" x14ac:dyDescent="0.25">
      <c r="A3" s="28"/>
      <c r="B3" s="41"/>
      <c r="C3" s="41"/>
      <c r="D3" s="41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111"/>
      <c r="R3" s="149"/>
      <c r="S3" s="147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</row>
    <row r="4" spans="1:76" s="51" customFormat="1" ht="25.15" customHeight="1" x14ac:dyDescent="0.25">
      <c r="A4" s="28"/>
      <c r="B4" s="41"/>
      <c r="C4" s="41"/>
      <c r="D4" s="41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111"/>
      <c r="R4" s="149"/>
      <c r="S4" s="147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</row>
    <row r="5" spans="1:76" s="51" customFormat="1" ht="25.15" customHeight="1" x14ac:dyDescent="0.25">
      <c r="A5" s="28"/>
      <c r="B5" s="41"/>
      <c r="C5" s="41"/>
      <c r="D5" s="41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111"/>
      <c r="R5" s="149"/>
      <c r="S5" s="147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</row>
    <row r="6" spans="1:76" s="51" customFormat="1" ht="25.15" customHeight="1" x14ac:dyDescent="0.25">
      <c r="A6" s="28"/>
      <c r="B6" s="28"/>
      <c r="C6" s="28"/>
      <c r="D6" s="28"/>
      <c r="E6" s="530" t="s">
        <v>450</v>
      </c>
      <c r="F6" s="531"/>
      <c r="G6" s="531"/>
      <c r="H6" s="531"/>
      <c r="I6" s="531"/>
      <c r="J6" s="531"/>
      <c r="K6" s="532"/>
      <c r="L6" s="162"/>
      <c r="M6" s="533" t="s">
        <v>449</v>
      </c>
      <c r="N6" s="533"/>
      <c r="O6" s="533"/>
      <c r="P6" s="533"/>
      <c r="Q6" s="111"/>
      <c r="R6" s="149"/>
      <c r="S6" s="147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</row>
    <row r="7" spans="1:76" s="51" customFormat="1" ht="25.15" customHeight="1" x14ac:dyDescent="0.25">
      <c r="A7" s="28"/>
      <c r="B7" s="28"/>
      <c r="C7" s="28"/>
      <c r="D7" s="28"/>
      <c r="E7" s="519" t="s">
        <v>448</v>
      </c>
      <c r="F7" s="536" t="s">
        <v>447</v>
      </c>
      <c r="G7" s="536" t="s">
        <v>446</v>
      </c>
      <c r="H7" s="536" t="s">
        <v>445</v>
      </c>
      <c r="I7" s="535" t="s">
        <v>444</v>
      </c>
      <c r="J7" s="535" t="s">
        <v>452</v>
      </c>
      <c r="K7" s="534" t="s">
        <v>453</v>
      </c>
      <c r="L7" s="162"/>
      <c r="M7" s="163" t="s">
        <v>443</v>
      </c>
      <c r="N7" s="163" t="s">
        <v>442</v>
      </c>
      <c r="O7" s="164"/>
      <c r="P7" s="520" t="s">
        <v>441</v>
      </c>
      <c r="Q7" s="111"/>
      <c r="R7" s="149"/>
      <c r="S7" s="147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</row>
    <row r="8" spans="1:76" s="51" customFormat="1" ht="38.1" customHeight="1" x14ac:dyDescent="0.25">
      <c r="A8" s="28"/>
      <c r="B8" s="28"/>
      <c r="C8" s="28"/>
      <c r="D8" s="28"/>
      <c r="E8" s="519"/>
      <c r="F8" s="536"/>
      <c r="G8" s="536"/>
      <c r="H8" s="536"/>
      <c r="I8" s="535"/>
      <c r="J8" s="535"/>
      <c r="K8" s="534"/>
      <c r="L8" s="162"/>
      <c r="M8" s="165" t="s">
        <v>455</v>
      </c>
      <c r="N8" s="166" t="s">
        <v>454</v>
      </c>
      <c r="O8" s="162"/>
      <c r="P8" s="521"/>
      <c r="Q8" s="111"/>
      <c r="R8" s="149"/>
      <c r="S8" s="149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</row>
    <row r="9" spans="1:76" s="51" customFormat="1" ht="26.1" customHeight="1" x14ac:dyDescent="0.25">
      <c r="A9" s="28"/>
      <c r="B9" s="28"/>
      <c r="C9" s="28"/>
      <c r="D9" s="28"/>
      <c r="E9" s="144" t="s">
        <v>440</v>
      </c>
      <c r="F9" s="143" t="s">
        <v>46</v>
      </c>
      <c r="G9" s="143" t="s">
        <v>1</v>
      </c>
      <c r="H9" s="142">
        <f>IF($C$24="Cruzado",IF($C$25="Leite","-",AC60),AC60)</f>
        <v>379.2</v>
      </c>
      <c r="I9" s="167">
        <f>IF(C27="confinamento",IF(C24="Zebuíno",C76,D76),G76)</f>
        <v>385.62770873214663</v>
      </c>
      <c r="J9" s="167">
        <f>Crescimento!D30</f>
        <v>420.10241368497736</v>
      </c>
      <c r="K9" s="168">
        <f>IF($C$24="Cruzado",IF($C$25="Leite","-",(J9-I9)/I9*100),(J9-I9)/I9*100)</f>
        <v>8.9398931073120949</v>
      </c>
      <c r="L9" s="162"/>
      <c r="M9" s="167">
        <f>P9</f>
        <v>379.2</v>
      </c>
      <c r="N9" s="168">
        <f>((M9-J9)/M9)*100</f>
        <v>-10.786501499202894</v>
      </c>
      <c r="O9" s="162"/>
      <c r="P9" s="167">
        <f>0.96*C30</f>
        <v>379.2</v>
      </c>
      <c r="Q9" s="60" t="s">
        <v>439</v>
      </c>
      <c r="R9" s="149"/>
      <c r="S9" s="149"/>
      <c r="T9" s="149"/>
      <c r="U9" s="149"/>
      <c r="V9" s="149"/>
      <c r="W9" s="146"/>
      <c r="X9" s="146"/>
      <c r="Y9" s="146"/>
      <c r="Z9" s="146"/>
      <c r="AA9" s="146"/>
      <c r="AB9" s="146"/>
      <c r="AC9" s="146" t="s">
        <v>438</v>
      </c>
      <c r="AD9" s="146"/>
      <c r="AE9" s="146"/>
      <c r="AF9" s="146"/>
      <c r="AG9" s="146"/>
      <c r="AH9" s="146"/>
      <c r="AI9" s="146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</row>
    <row r="10" spans="1:76" s="51" customFormat="1" ht="25.15" customHeight="1" x14ac:dyDescent="0.25">
      <c r="A10" s="28"/>
      <c r="B10" s="28"/>
      <c r="C10" s="28"/>
      <c r="D10" s="28"/>
      <c r="E10" s="81" t="s">
        <v>437</v>
      </c>
      <c r="F10" s="80" t="s">
        <v>47</v>
      </c>
      <c r="G10" s="80" t="s">
        <v>1</v>
      </c>
      <c r="H10" s="141">
        <f>IF($C$24="Cruzado",IF($C$25="Leite","-",AC61),AC61)</f>
        <v>339.38400000000001</v>
      </c>
      <c r="I10" s="169">
        <f>IF(C27="confinamento",IF(C24="Zebuíno",C80,D80),G77)</f>
        <v>348.46578088249015</v>
      </c>
      <c r="J10" s="169">
        <f>Crescimento!D34</f>
        <v>370.15613697473867</v>
      </c>
      <c r="K10" s="170">
        <f t="shared" ref="K10:K55" si="0">IF($C$24="Cruzado",IF($C$25="Leite","-",(J10-I10)/I10*100),(J10-I10)/I10*100)</f>
        <v>6.2245297191929891</v>
      </c>
      <c r="L10" s="162"/>
      <c r="M10" s="169">
        <f>0.891*M9</f>
        <v>337.86719999999997</v>
      </c>
      <c r="N10" s="170">
        <f t="shared" ref="N10:N55" si="1">((M10-J10)/M10)*100</f>
        <v>-9.5566947530682782</v>
      </c>
      <c r="O10" s="162"/>
      <c r="P10" s="169">
        <f>0.891*P9</f>
        <v>337.86719999999997</v>
      </c>
      <c r="Q10" s="60" t="s">
        <v>436</v>
      </c>
      <c r="R10" s="149"/>
      <c r="S10" s="149"/>
      <c r="T10" s="149"/>
      <c r="U10" s="149"/>
      <c r="V10" s="149"/>
      <c r="W10" s="149"/>
      <c r="X10" s="149"/>
      <c r="Y10" s="149"/>
      <c r="Z10" s="149"/>
      <c r="AA10" s="146"/>
      <c r="AB10" s="146"/>
      <c r="AC10" s="146">
        <f>IF(C24="Zebuíno",(-2.7878+(0.08789*C30^0.75)+(5.0487*C31)-(1.6835*C31^2)),IF(C24="Cruzado",(-2.6098+(0.08844*C30^0.75)+(4.4672*C31)-1.3579*C31^2)))</f>
        <v>8.7387474012008326</v>
      </c>
      <c r="AD10" s="146"/>
      <c r="AE10" s="146"/>
      <c r="AF10" s="146"/>
      <c r="AG10" s="146"/>
      <c r="AH10" s="146"/>
      <c r="AI10" s="146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</row>
    <row r="11" spans="1:76" s="51" customFormat="1" ht="25.15" customHeight="1" x14ac:dyDescent="0.25">
      <c r="A11" s="28"/>
      <c r="B11" s="28"/>
      <c r="C11" s="28"/>
      <c r="D11" s="28"/>
      <c r="E11" s="84" t="s">
        <v>435</v>
      </c>
      <c r="F11" s="83" t="s">
        <v>48</v>
      </c>
      <c r="G11" s="83" t="s">
        <v>1</v>
      </c>
      <c r="H11" s="82">
        <f>IF($C$24="Cruzado",IF($C$25="Leite","-",AC62),AC62)</f>
        <v>1.2558</v>
      </c>
      <c r="I11" s="171">
        <f>0.963*C31^1.0151</f>
        <v>1.2568694900381852</v>
      </c>
      <c r="J11" s="171">
        <f>Crescimento!D43</f>
        <v>1.4533711137530432</v>
      </c>
      <c r="K11" s="172">
        <f t="shared" si="0"/>
        <v>15.634210653716169</v>
      </c>
      <c r="L11" s="162"/>
      <c r="M11" s="171">
        <f>13.91*(M21^0.9116)*(M12^(-0.6837))</f>
        <v>1.2944064480886295</v>
      </c>
      <c r="N11" s="172">
        <f t="shared" si="1"/>
        <v>-12.280892597464039</v>
      </c>
      <c r="O11" s="162"/>
      <c r="P11" s="173">
        <f>13.91*(P21^0.9116)*(P12^(-0.6837))</f>
        <v>1.2944064480886293</v>
      </c>
      <c r="Q11" s="60" t="s">
        <v>434</v>
      </c>
      <c r="R11" s="149"/>
      <c r="S11" s="149"/>
      <c r="T11" s="149"/>
      <c r="U11" s="149"/>
      <c r="V11" s="149"/>
      <c r="W11" s="149"/>
      <c r="X11" s="149"/>
      <c r="Y11" s="149"/>
      <c r="Z11" s="149"/>
      <c r="AA11" s="146"/>
      <c r="AB11" s="146"/>
      <c r="AC11" s="146">
        <f>0.07*AC10</f>
        <v>0.61171231808405835</v>
      </c>
      <c r="AD11" s="146"/>
      <c r="AE11" s="146"/>
      <c r="AF11" s="146"/>
      <c r="AG11" s="146"/>
      <c r="AH11" s="146"/>
      <c r="AI11" s="146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</row>
    <row r="12" spans="1:76" s="51" customFormat="1" ht="25.15" customHeight="1" x14ac:dyDescent="0.25">
      <c r="A12" s="28"/>
      <c r="B12" s="28"/>
      <c r="C12" s="28"/>
      <c r="D12" s="28"/>
      <c r="E12" s="81" t="s">
        <v>433</v>
      </c>
      <c r="F12" s="80" t="s">
        <v>49</v>
      </c>
      <c r="G12" s="80" t="s">
        <v>1</v>
      </c>
      <c r="H12" s="141">
        <f>IF($C$24="Cruzado",IF($C$25="Leite","-",AC63),AC63)</f>
        <v>328.19551648351649</v>
      </c>
      <c r="I12" s="169">
        <f>IF(C24="Zebuíno",C92,IF(C25="corte",D92,E92))</f>
        <v>432.03071634591703</v>
      </c>
      <c r="J12" s="169">
        <f>Crescimento!D47</f>
        <v>370.15613697473867</v>
      </c>
      <c r="K12" s="170">
        <f t="shared" si="0"/>
        <v>-14.321800980844335</v>
      </c>
      <c r="L12" s="162"/>
      <c r="M12" s="169">
        <f>(M9*0.891)*($C$32*0.891)/M13</f>
        <v>429.06661338993888</v>
      </c>
      <c r="N12" s="170">
        <f t="shared" si="1"/>
        <v>13.729913858774637</v>
      </c>
      <c r="O12" s="162"/>
      <c r="P12" s="169">
        <f>(P9)*($C$32)/(P13/0.891)</f>
        <v>293.63731200000001</v>
      </c>
      <c r="Q12" s="60" t="s">
        <v>432</v>
      </c>
      <c r="R12" s="149"/>
      <c r="S12" s="149"/>
      <c r="T12" s="149"/>
      <c r="U12" s="149"/>
      <c r="V12" s="149"/>
      <c r="W12" s="149"/>
      <c r="X12" s="149"/>
      <c r="Y12" s="149"/>
      <c r="Z12" s="149"/>
      <c r="AA12" s="146"/>
      <c r="AB12" s="146"/>
      <c r="AC12" s="146">
        <f>0.8*AC10</f>
        <v>6.9909979209606661</v>
      </c>
      <c r="AD12" s="146"/>
      <c r="AE12" s="146"/>
      <c r="AF12" s="146"/>
      <c r="AG12" s="146"/>
      <c r="AH12" s="146"/>
      <c r="AI12" s="146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</row>
    <row r="13" spans="1:76" s="121" customFormat="1" ht="25.15" customHeight="1" x14ac:dyDescent="0.25">
      <c r="A13" s="56"/>
      <c r="B13" s="56"/>
      <c r="C13" s="56"/>
      <c r="D13" s="56"/>
      <c r="E13" s="120" t="s">
        <v>431</v>
      </c>
      <c r="F13" s="119" t="s">
        <v>430</v>
      </c>
      <c r="G13" s="119" t="s">
        <v>1</v>
      </c>
      <c r="H13" s="140">
        <f>IF($C$24="Cruzado",IF($C$25="Leite","-",IF(C24="Zebuíno",430,455)),IF(C24="Zebuíno",430,455))</f>
        <v>455</v>
      </c>
      <c r="I13" s="174">
        <f>IF(C24="Zebuíno",IF(C26="Macho não castrado",517,IF(C26="Macho castrado",433,402)),IF(C26="Macho não castrado",560,IF(C26="Macho castrado",482,417)))</f>
        <v>417</v>
      </c>
      <c r="J13" s="174">
        <f>IF(C24="Zebuíno",IF(C26="Macho não castrado",517,IF(C26="Macho castrado",433,402)),IF(C26="Macho não castrado",560,IF(C26="Macho castrado",482,417)))</f>
        <v>417</v>
      </c>
      <c r="K13" s="175">
        <f t="shared" si="0"/>
        <v>0</v>
      </c>
      <c r="L13" s="150"/>
      <c r="M13" s="174">
        <f>M10/J14</f>
        <v>335.37208502127243</v>
      </c>
      <c r="N13" s="175">
        <f t="shared" si="1"/>
        <v>-24.339507855446577</v>
      </c>
      <c r="O13" s="150"/>
      <c r="P13" s="174">
        <f>IF(C26="Macho castrado",550,IF(C26="Fêmea",550,900))</f>
        <v>550</v>
      </c>
      <c r="Q13" s="132" t="s">
        <v>429</v>
      </c>
      <c r="R13" s="150"/>
      <c r="S13" s="150"/>
      <c r="T13" s="150"/>
      <c r="U13" s="150"/>
      <c r="V13" s="150"/>
      <c r="W13" s="150"/>
      <c r="X13" s="150"/>
      <c r="Y13" s="150"/>
      <c r="Z13" s="150"/>
      <c r="AA13" s="151"/>
      <c r="AB13" s="151"/>
      <c r="AC13" s="151">
        <f>0.68*AC10</f>
        <v>5.9423482328165669</v>
      </c>
      <c r="AD13" s="151"/>
      <c r="AE13" s="151"/>
      <c r="AF13" s="151"/>
      <c r="AG13" s="151"/>
      <c r="AH13" s="151"/>
      <c r="AI13" s="151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</row>
    <row r="14" spans="1:76" s="121" customFormat="1" ht="25.15" customHeight="1" x14ac:dyDescent="0.25">
      <c r="A14" s="56"/>
      <c r="B14" s="56"/>
      <c r="C14" s="56"/>
      <c r="D14" s="56"/>
      <c r="E14" s="139" t="s">
        <v>428</v>
      </c>
      <c r="F14" s="138" t="s">
        <v>427</v>
      </c>
      <c r="G14" s="138" t="s">
        <v>354</v>
      </c>
      <c r="H14" s="137">
        <f>IF($C$24="Cruzado",IF($C$25="Leite","-",H9/H13),H9/H13)</f>
        <v>0.8334065934065934</v>
      </c>
      <c r="I14" s="176">
        <f>I9/I13</f>
        <v>0.92476668760706626</v>
      </c>
      <c r="J14" s="176">
        <f>J9/J13</f>
        <v>1.0074398409711687</v>
      </c>
      <c r="K14" s="177">
        <f t="shared" si="0"/>
        <v>8.9398931073120877</v>
      </c>
      <c r="L14" s="151"/>
      <c r="M14" s="176">
        <f>M9/M13</f>
        <v>1.1306844455344207</v>
      </c>
      <c r="N14" s="177">
        <f t="shared" si="1"/>
        <v>10.900000000000015</v>
      </c>
      <c r="O14" s="151"/>
      <c r="P14" s="176">
        <f>P9/P13</f>
        <v>0.68945454545454543</v>
      </c>
      <c r="Q14" s="96"/>
      <c r="R14" s="150"/>
      <c r="S14" s="150"/>
      <c r="T14" s="150"/>
      <c r="U14" s="150"/>
      <c r="V14" s="150"/>
      <c r="W14" s="151"/>
      <c r="X14" s="151"/>
      <c r="Y14" s="151"/>
      <c r="Z14" s="151"/>
      <c r="AA14" s="151"/>
      <c r="AB14" s="151"/>
      <c r="AC14" s="151">
        <f>0.25*AC10</f>
        <v>2.1846868503002081</v>
      </c>
      <c r="AD14" s="151"/>
      <c r="AE14" s="151"/>
      <c r="AF14" s="151"/>
      <c r="AG14" s="151"/>
      <c r="AH14" s="151"/>
      <c r="AI14" s="151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</row>
    <row r="15" spans="1:76" s="121" customFormat="1" ht="25.15" customHeight="1" x14ac:dyDescent="0.25">
      <c r="A15" s="56"/>
      <c r="B15" s="56"/>
      <c r="C15" s="56"/>
      <c r="D15" s="135"/>
      <c r="E15" s="120" t="s">
        <v>426</v>
      </c>
      <c r="F15" s="119" t="s">
        <v>0</v>
      </c>
      <c r="G15" s="119" t="s">
        <v>1</v>
      </c>
      <c r="H15" s="136">
        <f>IF($C$24="Cruzado",IF($C$25="Leite","-",AC10),AC10)</f>
        <v>8.7387474012008326</v>
      </c>
      <c r="I15" s="178">
        <f>IF(C24="Zebuíno",C81,IF(C25="Corte",D82,E82))</f>
        <v>9.0848836231285581</v>
      </c>
      <c r="J15" s="178" t="e">
        <f>Crescimento!#REF!</f>
        <v>#REF!</v>
      </c>
      <c r="K15" s="175" t="e">
        <f t="shared" si="0"/>
        <v>#REF!</v>
      </c>
      <c r="L15" s="151"/>
      <c r="M15" s="179">
        <f>M59*M9/100</f>
        <v>9.0097923871705135</v>
      </c>
      <c r="N15" s="175" t="e">
        <f t="shared" si="1"/>
        <v>#REF!</v>
      </c>
      <c r="O15" s="151"/>
      <c r="P15" s="179">
        <f>P59*P9/100</f>
        <v>9.0097923871705135</v>
      </c>
      <c r="Q15" s="96"/>
      <c r="R15" s="150"/>
      <c r="S15" s="150"/>
      <c r="T15" s="150"/>
      <c r="U15" s="150"/>
      <c r="V15" s="150"/>
      <c r="W15" s="151"/>
      <c r="X15" s="151"/>
      <c r="Y15" s="151"/>
      <c r="Z15" s="151"/>
      <c r="AA15" s="151"/>
      <c r="AB15" s="151"/>
      <c r="AC15" s="151">
        <f>AC16/4.409</f>
        <v>6.5691635119438301</v>
      </c>
      <c r="AD15" s="151"/>
      <c r="AE15" s="151"/>
      <c r="AF15" s="151"/>
      <c r="AG15" s="151"/>
      <c r="AH15" s="151"/>
      <c r="AI15" s="151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</row>
    <row r="16" spans="1:76" s="121" customFormat="1" ht="25.15" customHeight="1" x14ac:dyDescent="0.25">
      <c r="A16" s="56"/>
      <c r="B16" s="56"/>
      <c r="C16" s="56"/>
      <c r="D16" s="135"/>
      <c r="E16" s="128" t="s">
        <v>425</v>
      </c>
      <c r="F16" s="127" t="s">
        <v>2</v>
      </c>
      <c r="G16" s="127" t="s">
        <v>1</v>
      </c>
      <c r="H16" s="134">
        <f>IF($C$24="Cruzado",IF($C$25="Leite","-",AC15),AC15)</f>
        <v>6.5691635119438301</v>
      </c>
      <c r="I16" s="176">
        <f>I17/4.4</f>
        <v>6.5094054491241193</v>
      </c>
      <c r="J16" s="176">
        <f>Crescimento!Q20</f>
        <v>6.732837331697973</v>
      </c>
      <c r="K16" s="177">
        <f t="shared" si="0"/>
        <v>3.432446854327039</v>
      </c>
      <c r="L16" s="151"/>
      <c r="M16" s="180">
        <f>M17/4.409</f>
        <v>6.6728326833880649</v>
      </c>
      <c r="N16" s="177">
        <f t="shared" si="1"/>
        <v>-0.89923801715108176</v>
      </c>
      <c r="O16" s="151"/>
      <c r="P16" s="180">
        <f>P17/4.409</f>
        <v>6.6728326833880649</v>
      </c>
      <c r="Q16" s="132" t="s">
        <v>424</v>
      </c>
      <c r="R16" s="150"/>
      <c r="S16" s="150"/>
      <c r="T16" s="150"/>
      <c r="U16" s="150"/>
      <c r="V16" s="150"/>
      <c r="W16" s="151"/>
      <c r="X16" s="151"/>
      <c r="Y16" s="151"/>
      <c r="Z16" s="151"/>
      <c r="AA16" s="151"/>
      <c r="AB16" s="151"/>
      <c r="AC16" s="151">
        <f>AC17/0.82</f>
        <v>28.963441924160346</v>
      </c>
      <c r="AD16" s="151"/>
      <c r="AE16" s="151"/>
      <c r="AF16" s="151"/>
      <c r="AG16" s="151"/>
      <c r="AH16" s="151"/>
      <c r="AI16" s="151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</row>
    <row r="17" spans="1:76" s="51" customFormat="1" ht="25.15" customHeight="1" x14ac:dyDescent="0.25">
      <c r="A17" s="28"/>
      <c r="B17" s="28"/>
      <c r="C17" s="28"/>
      <c r="D17" s="28"/>
      <c r="E17" s="108" t="s">
        <v>423</v>
      </c>
      <c r="F17" s="107" t="s">
        <v>3</v>
      </c>
      <c r="G17" s="107" t="s">
        <v>347</v>
      </c>
      <c r="H17" s="113">
        <f>IF($C$24="Cruzado",IF($C$25="Leite","-",AC16),AC16)</f>
        <v>28.963441924160346</v>
      </c>
      <c r="I17" s="172">
        <f>(((I18/I15)+0.3032)/0.9455)*I15</f>
        <v>28.641383976146127</v>
      </c>
      <c r="J17" s="172">
        <f>Crescimento!D62</f>
        <v>29.624484259471085</v>
      </c>
      <c r="K17" s="172">
        <f t="shared" si="0"/>
        <v>3.4324468543270465</v>
      </c>
      <c r="L17" s="162"/>
      <c r="M17" s="181">
        <f>M18/0.82</f>
        <v>29.420519301057976</v>
      </c>
      <c r="N17" s="172">
        <f t="shared" si="1"/>
        <v>-0.69327450112607336</v>
      </c>
      <c r="O17" s="162"/>
      <c r="P17" s="181">
        <f>P18/0.82</f>
        <v>29.420519301057976</v>
      </c>
      <c r="Q17" s="105" t="s">
        <v>422</v>
      </c>
      <c r="R17" s="149"/>
      <c r="S17" s="149"/>
      <c r="T17" s="149"/>
      <c r="U17" s="149"/>
      <c r="V17" s="149"/>
      <c r="W17" s="146"/>
      <c r="X17" s="146"/>
      <c r="Y17" s="146"/>
      <c r="Z17" s="146"/>
      <c r="AA17" s="146"/>
      <c r="AB17" s="146"/>
      <c r="AC17" s="146">
        <f>SUM(AC18:AC19)</f>
        <v>23.750022377811483</v>
      </c>
      <c r="AD17" s="146"/>
      <c r="AE17" s="146"/>
      <c r="AF17" s="146"/>
      <c r="AG17" s="146"/>
      <c r="AH17" s="146"/>
      <c r="AI17" s="146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</row>
    <row r="18" spans="1:76" s="121" customFormat="1" ht="25.15" customHeight="1" x14ac:dyDescent="0.25">
      <c r="A18" s="56"/>
      <c r="B18" s="56"/>
      <c r="C18" s="56"/>
      <c r="D18" s="56"/>
      <c r="E18" s="128" t="s">
        <v>421</v>
      </c>
      <c r="F18" s="127" t="s">
        <v>4</v>
      </c>
      <c r="G18" s="127" t="s">
        <v>347</v>
      </c>
      <c r="H18" s="133">
        <f>IF($C$24="Cruzado",IF($C$25="Leite","-",AC17),AC17)</f>
        <v>23.750022377811483</v>
      </c>
      <c r="I18" s="182">
        <f>I60+I61</f>
        <v>24.325891834913584</v>
      </c>
      <c r="J18" s="182">
        <f>Crescimento!Q19</f>
        <v>25.115582469058765</v>
      </c>
      <c r="K18" s="177">
        <f t="shared" si="0"/>
        <v>3.2462967421888416</v>
      </c>
      <c r="L18" s="151"/>
      <c r="M18" s="183">
        <f>C33*M15</f>
        <v>24.124825826867539</v>
      </c>
      <c r="N18" s="177">
        <f t="shared" si="1"/>
        <v>-4.1067929331445434</v>
      </c>
      <c r="O18" s="151"/>
      <c r="P18" s="183">
        <f>C33*P15</f>
        <v>24.124825826867539</v>
      </c>
      <c r="Q18" s="132" t="s">
        <v>420</v>
      </c>
      <c r="R18" s="150"/>
      <c r="S18" s="150"/>
      <c r="T18" s="150"/>
      <c r="U18" s="150"/>
      <c r="V18" s="150"/>
      <c r="W18" s="151"/>
      <c r="X18" s="151"/>
      <c r="Y18" s="151"/>
      <c r="Z18" s="151"/>
      <c r="AA18" s="151"/>
      <c r="AB18" s="151"/>
      <c r="AC18" s="151">
        <f>IF(C27="confinamento",IF(C24="Zebuíno",C156,IF(C24="Cruzado",D156)),IF(C27="pasto",IF(C24="Zebuíno",IF(C26="Macho não castrado",F156,G156),IF(C24="Cruzado",H156))))</f>
        <v>8.5552410117819608</v>
      </c>
      <c r="AD18" s="151"/>
      <c r="AE18" s="151"/>
      <c r="AF18" s="151"/>
      <c r="AG18" s="151"/>
      <c r="AH18" s="151"/>
      <c r="AI18" s="151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</row>
    <row r="19" spans="1:76" s="121" customFormat="1" ht="25.15" customHeight="1" x14ac:dyDescent="0.25">
      <c r="A19" s="56"/>
      <c r="B19" s="56"/>
      <c r="C19" s="56"/>
      <c r="D19" s="56"/>
      <c r="E19" s="120" t="s">
        <v>419</v>
      </c>
      <c r="F19" s="119" t="s">
        <v>7</v>
      </c>
      <c r="G19" s="119" t="s">
        <v>347</v>
      </c>
      <c r="H19" s="118">
        <f>IF($C$24="Cruzado",IF($C$25="Leite","-",AC20),AC20)</f>
        <v>12.991512037062879</v>
      </c>
      <c r="I19" s="175">
        <f>SUM(I20:I21)</f>
        <v>13.37267919353962</v>
      </c>
      <c r="J19" s="175">
        <f>Crescimento!Q16</f>
        <v>13.909374812459003</v>
      </c>
      <c r="K19" s="175">
        <f t="shared" si="0"/>
        <v>4.0133739182097665</v>
      </c>
      <c r="L19" s="151"/>
      <c r="M19" s="184">
        <f>M20+M21</f>
        <v>13.585118278498937</v>
      </c>
      <c r="N19" s="175">
        <f t="shared" si="1"/>
        <v>-2.3868510182444558</v>
      </c>
      <c r="O19" s="151"/>
      <c r="P19" s="184">
        <f>P20+P21</f>
        <v>11.859934287534095</v>
      </c>
      <c r="Q19" s="131"/>
      <c r="R19" s="150"/>
      <c r="S19" s="150"/>
      <c r="T19" s="150"/>
      <c r="U19" s="150"/>
      <c r="V19" s="150"/>
      <c r="W19" s="151"/>
      <c r="X19" s="151"/>
      <c r="Y19" s="151"/>
      <c r="Z19" s="151"/>
      <c r="AA19" s="151"/>
      <c r="AB19" s="151"/>
      <c r="AC19" s="151">
        <f>IF(C27="confinamento",IF(C24="Zebuíno",C157,IF(C24="Cruzado",D157)),IF(C27="pasto",IF(C24="Zebuíno",IF(C26="Macho não castrado",F157,G157),IF(C24="Cruzado",H157))))</f>
        <v>15.19478136602952</v>
      </c>
      <c r="AD19" s="151"/>
      <c r="AE19" s="151"/>
      <c r="AF19" s="151"/>
      <c r="AG19" s="151"/>
      <c r="AH19" s="151"/>
      <c r="AI19" s="151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</row>
    <row r="20" spans="1:76" s="51" customFormat="1" ht="25.15" customHeight="1" x14ac:dyDescent="0.25">
      <c r="A20" s="28"/>
      <c r="B20" s="28"/>
      <c r="C20" s="28"/>
      <c r="D20" s="28"/>
      <c r="E20" s="102" t="s">
        <v>418</v>
      </c>
      <c r="F20" s="101" t="s">
        <v>8</v>
      </c>
      <c r="G20" s="101" t="s">
        <v>347</v>
      </c>
      <c r="H20" s="130">
        <f>IF($C$24="Cruzado",IF($C$25="Leite","-",AC21),AC21)</f>
        <v>5.8670856500403055</v>
      </c>
      <c r="I20" s="185">
        <f>IF(C24="Zebuíno",C93,D93)</f>
        <v>6.0489691028390862</v>
      </c>
      <c r="J20" s="185">
        <f>Crescimento!Q14</f>
        <v>6.3292168991623026</v>
      </c>
      <c r="K20" s="170">
        <f t="shared" si="0"/>
        <v>4.6329844236050395</v>
      </c>
      <c r="L20" s="186"/>
      <c r="M20" s="187">
        <f>0.077*((M9^0.75))</f>
        <v>6.6167080354670986</v>
      </c>
      <c r="N20" s="170">
        <f t="shared" si="1"/>
        <v>4.3449270356766014</v>
      </c>
      <c r="O20" s="186"/>
      <c r="P20" s="187">
        <f>0.077*((P9^0.75))</f>
        <v>6.6167080354670986</v>
      </c>
      <c r="Q20" s="60" t="s">
        <v>417</v>
      </c>
      <c r="R20" s="149"/>
      <c r="S20" s="149"/>
      <c r="T20" s="149"/>
      <c r="U20" s="149"/>
      <c r="V20" s="149"/>
      <c r="W20" s="146"/>
      <c r="X20" s="146"/>
      <c r="Y20" s="146"/>
      <c r="Z20" s="146"/>
      <c r="AA20" s="146"/>
      <c r="AB20" s="146"/>
      <c r="AC20" s="146">
        <f>IF(C27="confinamento",IF(C24="Zebuíno",IF(C26="Macho não castrado",(C150+C149),IF(C26="macho castrado",(C151+C149),IF(C26="fêmea",(C152+C149)))),IF(C24="Cruzado",IF(C26="Macho não castrado",(D150+D149),IF(C26="macho castrado",(D151+D149),IF(C26="fêmea",(D152+D149)))))),IF(C27="pasto",IF(C24="Zebuíno",IF(C26="Macho não castrado",(F150+F149),IF(C26="macho castrado",(C151+C149),IF(C26="fêmea",(C152+C149)))),IF(C24="Cruzado",IF(C26="Macho não castrado",(D150+D149),IF(C26="macho castrado",(D151+D149),IF(C26="fêmea",(D152+D149))))))))</f>
        <v>12.991512037062879</v>
      </c>
      <c r="AD20" s="146"/>
      <c r="AE20" s="146"/>
      <c r="AF20" s="146"/>
      <c r="AG20" s="146"/>
      <c r="AH20" s="146"/>
      <c r="AI20" s="146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</row>
    <row r="21" spans="1:76" s="51" customFormat="1" ht="25.15" customHeight="1" x14ac:dyDescent="0.25">
      <c r="A21" s="28"/>
      <c r="B21" s="28"/>
      <c r="C21" s="28"/>
      <c r="D21" s="28"/>
      <c r="E21" s="108" t="s">
        <v>416</v>
      </c>
      <c r="F21" s="107" t="s">
        <v>9</v>
      </c>
      <c r="G21" s="107" t="s">
        <v>347</v>
      </c>
      <c r="H21" s="129">
        <f>IF($C$24="Cruzado",IF($C$25="Leite","-",AC22),AC22)</f>
        <v>7.1244263870225737</v>
      </c>
      <c r="I21" s="188">
        <f>IF(C27="confinamento",C95,G90)</f>
        <v>7.3237100907005335</v>
      </c>
      <c r="J21" s="223">
        <f>Crescimento!Q15</f>
        <v>7.5801579132967003</v>
      </c>
      <c r="K21" s="172">
        <f t="shared" si="0"/>
        <v>3.5016107877044171</v>
      </c>
      <c r="L21" s="189"/>
      <c r="M21" s="181">
        <f>0.0635*(M57^0.75)*(M58^1.097)</f>
        <v>6.9684102430318386</v>
      </c>
      <c r="N21" s="172">
        <f t="shared" si="1"/>
        <v>-8.7788699133577488</v>
      </c>
      <c r="O21" s="189"/>
      <c r="P21" s="181">
        <f>0.0635*(P57^0.75)*(P58^1.097)</f>
        <v>5.2432262520669966</v>
      </c>
      <c r="Q21" s="105" t="s">
        <v>415</v>
      </c>
      <c r="R21" s="149"/>
      <c r="S21" s="149"/>
      <c r="T21" s="149"/>
      <c r="U21" s="149"/>
      <c r="V21" s="149"/>
      <c r="W21" s="146"/>
      <c r="X21" s="146"/>
      <c r="Y21" s="146"/>
      <c r="Z21" s="146"/>
      <c r="AA21" s="146"/>
      <c r="AB21" s="146"/>
      <c r="AC21" s="146">
        <f>IF(C27="confinamento",IF(C24="Zebuíno",C149,D149),F149)</f>
        <v>5.8670856500403055</v>
      </c>
      <c r="AD21" s="146"/>
      <c r="AE21" s="146"/>
      <c r="AF21" s="146"/>
      <c r="AG21" s="146"/>
      <c r="AH21" s="146"/>
      <c r="AI21" s="146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</row>
    <row r="22" spans="1:76" s="121" customFormat="1" ht="25.15" customHeight="1" x14ac:dyDescent="0.25">
      <c r="A22" s="56"/>
      <c r="B22" s="56"/>
      <c r="C22" s="56"/>
      <c r="D22" s="56"/>
      <c r="E22" s="128" t="s">
        <v>413</v>
      </c>
      <c r="F22" s="127" t="s">
        <v>14</v>
      </c>
      <c r="G22" s="127" t="s">
        <v>15</v>
      </c>
      <c r="H22" s="126">
        <f>IF($C$24="Cruzado",IF($C$25="Leite","-",AC25),AC25)</f>
        <v>1173.361859191873</v>
      </c>
      <c r="I22" s="221">
        <f>PBmic1!A100*1000</f>
        <v>1055.239357155272</v>
      </c>
      <c r="J22" s="224">
        <f>Crescimento!Q33</f>
        <v>1118.799373801186</v>
      </c>
      <c r="K22" s="177">
        <f t="shared" si="0"/>
        <v>6.0232795730117443</v>
      </c>
      <c r="L22" s="151"/>
      <c r="M22" s="190">
        <f>M28+M24</f>
        <v>916.99026638521946</v>
      </c>
      <c r="N22" s="177">
        <f t="shared" si="1"/>
        <v>-22.007769854689858</v>
      </c>
      <c r="O22" s="151"/>
      <c r="P22" s="190">
        <f>P28+P24</f>
        <v>1054.4439502181906</v>
      </c>
      <c r="Q22" s="96"/>
      <c r="R22" s="150"/>
      <c r="S22" s="150"/>
      <c r="T22" s="150"/>
      <c r="U22" s="150"/>
      <c r="V22" s="150"/>
      <c r="W22" s="151"/>
      <c r="X22" s="151"/>
      <c r="Y22" s="151"/>
      <c r="Z22" s="151"/>
      <c r="AA22" s="151"/>
      <c r="AB22" s="151"/>
      <c r="AC22" s="151">
        <f>IF(C27="confinamento",IF(C24="Zebuíno",C160,D160),F150)</f>
        <v>7.1244263870225737</v>
      </c>
      <c r="AD22" s="151"/>
      <c r="AE22" s="151"/>
      <c r="AF22" s="151"/>
      <c r="AG22" s="151"/>
      <c r="AH22" s="151"/>
      <c r="AI22" s="151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</row>
    <row r="23" spans="1:76" s="121" customFormat="1" ht="25.15" customHeight="1" thickBot="1" x14ac:dyDescent="0.3">
      <c r="A23" s="56"/>
      <c r="B23" s="528" t="s">
        <v>414</v>
      </c>
      <c r="C23" s="529"/>
      <c r="D23" s="56"/>
      <c r="E23" s="68" t="s">
        <v>413</v>
      </c>
      <c r="F23" s="67" t="s">
        <v>14</v>
      </c>
      <c r="G23" s="125" t="s">
        <v>343</v>
      </c>
      <c r="H23" s="124">
        <f>IF($C$24="Cruzado",IF($C$25="Leite","-",(H22/1000)/H15*100),(H22/1000)/H15*100)</f>
        <v>13.427117243721176</v>
      </c>
      <c r="I23" s="222">
        <f>(I22/1000)/I15*100</f>
        <v>11.615331587394397</v>
      </c>
      <c r="J23" s="191">
        <f>Crescimento!Q34</f>
        <v>11.720003837078227</v>
      </c>
      <c r="K23" s="175">
        <f t="shared" si="0"/>
        <v>0.9011559325385603</v>
      </c>
      <c r="L23" s="192"/>
      <c r="M23" s="193">
        <f>(M22/1000)/M15*100</f>
        <v>10.177706954612706</v>
      </c>
      <c r="N23" s="175">
        <f t="shared" si="1"/>
        <v>-15.153677437789922</v>
      </c>
      <c r="O23" s="192"/>
      <c r="P23" s="193">
        <f>(P22/1000)/P15*100</f>
        <v>11.703310186366394</v>
      </c>
      <c r="Q23" s="96"/>
      <c r="R23" s="150"/>
      <c r="S23" s="150"/>
      <c r="T23" s="150"/>
      <c r="U23" s="150"/>
      <c r="V23" s="150"/>
      <c r="W23" s="151"/>
      <c r="X23" s="151"/>
      <c r="Y23" s="151"/>
      <c r="Z23" s="151"/>
      <c r="AA23" s="151"/>
      <c r="AB23" s="151"/>
      <c r="AC23" s="151">
        <f>IF(C27="confinamento",IF(C24="Zebuíno",C155,D155),F155)*100</f>
        <v>68.578847071173939</v>
      </c>
      <c r="AD23" s="151"/>
      <c r="AE23" s="151"/>
      <c r="AF23" s="151"/>
      <c r="AG23" s="151"/>
      <c r="AH23" s="151"/>
      <c r="AI23" s="151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</row>
    <row r="24" spans="1:76" s="121" customFormat="1" ht="25.15" customHeight="1" x14ac:dyDescent="0.25">
      <c r="A24" s="56"/>
      <c r="B24" s="526" t="s">
        <v>11</v>
      </c>
      <c r="C24" s="123" t="s">
        <v>51</v>
      </c>
      <c r="D24" s="56"/>
      <c r="E24" s="73" t="s">
        <v>412</v>
      </c>
      <c r="F24" s="72" t="s">
        <v>18</v>
      </c>
      <c r="G24" s="72" t="s">
        <v>15</v>
      </c>
      <c r="H24" s="116">
        <f>IF($C$24="Cruzado",IF($C$25="Leite","-",AC26),AC26)</f>
        <v>875.01257979091827</v>
      </c>
      <c r="I24" s="194">
        <f>I26</f>
        <v>727.02536371664814</v>
      </c>
      <c r="J24" s="194">
        <f>Crescimento!Q29</f>
        <v>757.4287040082213</v>
      </c>
      <c r="K24" s="177">
        <f t="shared" si="0"/>
        <v>4.181881652126596</v>
      </c>
      <c r="L24" s="151"/>
      <c r="M24" s="190">
        <f>M26</f>
        <v>659.32433483851946</v>
      </c>
      <c r="N24" s="177">
        <f t="shared" si="1"/>
        <v>-14.879531057158596</v>
      </c>
      <c r="O24" s="151"/>
      <c r="P24" s="190">
        <f>P26</f>
        <v>659.32433483851946</v>
      </c>
      <c r="Q24" s="96"/>
      <c r="R24" s="150"/>
      <c r="S24" s="150"/>
      <c r="T24" s="150"/>
      <c r="U24" s="150"/>
      <c r="V24" s="150"/>
      <c r="W24" s="151"/>
      <c r="X24" s="151"/>
      <c r="Y24" s="151"/>
      <c r="Z24" s="151"/>
      <c r="AA24" s="151"/>
      <c r="AB24" s="151"/>
      <c r="AC24" s="151">
        <f>IF(C27="confinamento",IF(C24="Zebuíno",C154,D154),F154)*100</f>
        <v>46.88732411083204</v>
      </c>
      <c r="AD24" s="151"/>
      <c r="AE24" s="151"/>
      <c r="AF24" s="151"/>
      <c r="AG24" s="151"/>
      <c r="AH24" s="151"/>
      <c r="AI24" s="151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</row>
    <row r="25" spans="1:76" s="51" customFormat="1" ht="25.15" customHeight="1" x14ac:dyDescent="0.25">
      <c r="A25" s="28"/>
      <c r="B25" s="527"/>
      <c r="C25" s="109" t="s">
        <v>50</v>
      </c>
      <c r="D25" s="50">
        <f>PBmic1!B7</f>
        <v>727.02536388625208</v>
      </c>
      <c r="E25" s="120" t="s">
        <v>412</v>
      </c>
      <c r="F25" s="119" t="s">
        <v>18</v>
      </c>
      <c r="G25" s="119" t="s">
        <v>404</v>
      </c>
      <c r="H25" s="118">
        <f>IF($C$24="Cruzado",IF($C$25="Leite","-",AC27),AC27)</f>
        <v>74.573122769949578</v>
      </c>
      <c r="I25" s="175">
        <f>(I24/I22)*100</f>
        <v>68.896725542588982</v>
      </c>
      <c r="J25" s="175">
        <f>Crescimento!Q30</f>
        <v>67.700136570045913</v>
      </c>
      <c r="K25" s="175">
        <f t="shared" si="0"/>
        <v>-1.7367864192666005</v>
      </c>
      <c r="L25" s="151"/>
      <c r="M25" s="195">
        <f>M24/M22*100</f>
        <v>71.900908767284903</v>
      </c>
      <c r="N25" s="175">
        <f t="shared" si="1"/>
        <v>5.8424465966560248</v>
      </c>
      <c r="O25" s="151"/>
      <c r="P25" s="195">
        <f>P24/P22*100</f>
        <v>62.528153791587393</v>
      </c>
      <c r="Q25" s="111"/>
      <c r="R25" s="149"/>
      <c r="S25" s="149"/>
      <c r="T25" s="149"/>
      <c r="U25" s="149"/>
      <c r="V25" s="146"/>
      <c r="W25" s="149"/>
      <c r="X25" s="149"/>
      <c r="Y25" s="146"/>
      <c r="Z25" s="146"/>
      <c r="AA25" s="146"/>
      <c r="AB25" s="146"/>
      <c r="AC25" s="146">
        <f>AC26+AC29</f>
        <v>1173.361859191873</v>
      </c>
      <c r="AD25" s="146"/>
      <c r="AE25" s="146"/>
      <c r="AF25" s="146"/>
      <c r="AG25" s="146"/>
      <c r="AH25" s="146"/>
      <c r="AI25" s="146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</row>
    <row r="26" spans="1:76" s="51" customFormat="1" ht="25.15" customHeight="1" x14ac:dyDescent="0.25">
      <c r="A26" s="28"/>
      <c r="B26" s="115" t="s">
        <v>16</v>
      </c>
      <c r="C26" s="109" t="s">
        <v>55</v>
      </c>
      <c r="D26" s="28"/>
      <c r="E26" s="102" t="s">
        <v>411</v>
      </c>
      <c r="F26" s="101" t="s">
        <v>20</v>
      </c>
      <c r="G26" s="101" t="s">
        <v>15</v>
      </c>
      <c r="H26" s="100">
        <f>IF($C$24="Cruzado",IF($C$25="Leite","-",AC28),AC28)</f>
        <v>788.29962143325963</v>
      </c>
      <c r="I26" s="196">
        <f>PBmic1!B100</f>
        <v>727.02536371664814</v>
      </c>
      <c r="J26" s="196">
        <f>Crescimento!Q28</f>
        <v>757.4287040082213</v>
      </c>
      <c r="K26" s="170">
        <f t="shared" si="0"/>
        <v>4.181881652126596</v>
      </c>
      <c r="L26" s="162"/>
      <c r="M26" s="197">
        <f>IF(C34&lt;3.9,(0.087*M16*1000+42.73),(0.096*M60*1000+53.33))</f>
        <v>659.32433483851946</v>
      </c>
      <c r="N26" s="170">
        <f t="shared" si="1"/>
        <v>-14.879531057158596</v>
      </c>
      <c r="O26" s="162"/>
      <c r="P26" s="197">
        <f>IF(C34&lt;3.9,(0.087*P16*1000+42.73),(0.096*P60*1000+53.33))</f>
        <v>659.32433483851946</v>
      </c>
      <c r="Q26" s="111"/>
      <c r="R26" s="149"/>
      <c r="S26" s="149"/>
      <c r="T26" s="149"/>
      <c r="U26" s="149"/>
      <c r="V26" s="146"/>
      <c r="W26" s="149"/>
      <c r="X26" s="149"/>
      <c r="Y26" s="146"/>
      <c r="Z26" s="146"/>
      <c r="AA26" s="146"/>
      <c r="AB26" s="146"/>
      <c r="AC26" s="146">
        <f>IF(C27="confinamento",IF(C24="Zebuíno",C183,IF(C24="Cruzado",D183)),IF(C27="pasto",IF(C24="Zebuíno",IF(C26="Macho não castrado",F183,C183),IF(C24="Cruzado",D183))))</f>
        <v>875.01257979091827</v>
      </c>
      <c r="AD26" s="146"/>
      <c r="AE26" s="146"/>
      <c r="AF26" s="146"/>
      <c r="AG26" s="146"/>
      <c r="AH26" s="146"/>
      <c r="AI26" s="146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</row>
    <row r="27" spans="1:76" s="51" customFormat="1" ht="25.15" customHeight="1" x14ac:dyDescent="0.25">
      <c r="A27" s="28"/>
      <c r="B27" s="115" t="s">
        <v>410</v>
      </c>
      <c r="C27" s="109" t="s">
        <v>56</v>
      </c>
      <c r="D27" s="28"/>
      <c r="E27" s="84" t="s">
        <v>409</v>
      </c>
      <c r="F27" s="83" t="s">
        <v>62</v>
      </c>
      <c r="G27" s="83" t="s">
        <v>408</v>
      </c>
      <c r="H27" s="117">
        <f>IF($C$24="Cruzado",IF($C$25="Leite","-",H26/H16),H26/H16)</f>
        <v>120</v>
      </c>
      <c r="I27" s="198">
        <f>I26/I16</f>
        <v>111.68844365263404</v>
      </c>
      <c r="J27" s="198">
        <f>Crescimento!D71</f>
        <v>112.49769847286704</v>
      </c>
      <c r="K27" s="172">
        <f t="shared" si="0"/>
        <v>0.72456450619895674</v>
      </c>
      <c r="L27" s="186"/>
      <c r="M27" s="198">
        <f>M26/M16</f>
        <v>98.807263140270138</v>
      </c>
      <c r="N27" s="172">
        <f t="shared" si="1"/>
        <v>-13.855697341967158</v>
      </c>
      <c r="O27" s="186"/>
      <c r="P27" s="198">
        <f>P26/P16</f>
        <v>98.807263140270138</v>
      </c>
      <c r="Q27" s="111"/>
      <c r="R27" s="149"/>
      <c r="S27" s="149"/>
      <c r="T27" s="149"/>
      <c r="U27" s="149"/>
      <c r="V27" s="146"/>
      <c r="W27" s="149"/>
      <c r="X27" s="149"/>
      <c r="Y27" s="146"/>
      <c r="Z27" s="146"/>
      <c r="AA27" s="146"/>
      <c r="AB27" s="146"/>
      <c r="AC27" s="146">
        <f>(AC26/AC25)*100</f>
        <v>74.573122769949578</v>
      </c>
      <c r="AD27" s="146"/>
      <c r="AE27" s="146"/>
      <c r="AF27" s="146"/>
      <c r="AG27" s="146"/>
      <c r="AH27" s="146"/>
      <c r="AI27" s="146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</row>
    <row r="28" spans="1:76" s="51" customFormat="1" ht="25.15" customHeight="1" x14ac:dyDescent="0.25">
      <c r="A28" s="28"/>
      <c r="B28" s="115" t="s">
        <v>407</v>
      </c>
      <c r="C28" s="114">
        <v>390</v>
      </c>
      <c r="D28" s="28"/>
      <c r="E28" s="73" t="s">
        <v>405</v>
      </c>
      <c r="F28" s="72" t="s">
        <v>21</v>
      </c>
      <c r="G28" s="72" t="s">
        <v>15</v>
      </c>
      <c r="H28" s="116">
        <f>IF($C$24="Cruzado",IF($C$25="Leite","-",AC29),AC29)</f>
        <v>298.34927940095469</v>
      </c>
      <c r="I28" s="199">
        <f>(I30-(I26*0.64))/0.8</f>
        <v>328.21399343862379</v>
      </c>
      <c r="J28" s="199">
        <f>Crescimento!Q31</f>
        <v>361.37066979296475</v>
      </c>
      <c r="K28" s="177">
        <f t="shared" si="0"/>
        <v>10.102151954877353</v>
      </c>
      <c r="L28" s="200"/>
      <c r="M28" s="201">
        <f>((M30-(M26*0.64))/0.75)</f>
        <v>257.66593154670005</v>
      </c>
      <c r="N28" s="177">
        <f t="shared" si="1"/>
        <v>-40.247749333314161</v>
      </c>
      <c r="O28" s="200"/>
      <c r="P28" s="201">
        <f>((P30-(P26*0.64))/0.75)</f>
        <v>395.11961537967113</v>
      </c>
      <c r="Q28" s="111"/>
      <c r="R28" s="149"/>
      <c r="S28" s="149"/>
      <c r="T28" s="149"/>
      <c r="U28" s="149"/>
      <c r="V28" s="146"/>
      <c r="W28" s="149"/>
      <c r="X28" s="149"/>
      <c r="Y28" s="146"/>
      <c r="Z28" s="146"/>
      <c r="AA28" s="146"/>
      <c r="AB28" s="146"/>
      <c r="AC28" s="146">
        <f>120*AC15</f>
        <v>788.29962143325963</v>
      </c>
      <c r="AD28" s="146"/>
      <c r="AE28" s="146"/>
      <c r="AF28" s="146"/>
      <c r="AG28" s="146"/>
      <c r="AH28" s="146"/>
      <c r="AI28" s="146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</row>
    <row r="29" spans="1:76" s="51" customFormat="1" ht="25.15" customHeight="1" x14ac:dyDescent="0.25">
      <c r="A29" s="28"/>
      <c r="B29" s="115" t="s">
        <v>406</v>
      </c>
      <c r="C29" s="114">
        <v>400</v>
      </c>
      <c r="D29" s="28"/>
      <c r="E29" s="108" t="s">
        <v>405</v>
      </c>
      <c r="F29" s="107" t="s">
        <v>21</v>
      </c>
      <c r="G29" s="107" t="s">
        <v>404</v>
      </c>
      <c r="H29" s="113">
        <f>IF($C$24="Cruzado",IF($C$25="Leite","-",AC31),AC31)</f>
        <v>25.426877230050426</v>
      </c>
      <c r="I29" s="172">
        <f>(I28/I22)*100</f>
        <v>31.103274457411</v>
      </c>
      <c r="J29" s="172">
        <f>Crescimento!Q32</f>
        <v>32.299863429954101</v>
      </c>
      <c r="K29" s="172">
        <f t="shared" si="0"/>
        <v>3.8471479077920314</v>
      </c>
      <c r="L29" s="162"/>
      <c r="M29" s="181">
        <f>M28/M22*100</f>
        <v>28.0990912327151</v>
      </c>
      <c r="N29" s="172">
        <f t="shared" si="1"/>
        <v>-14.949850735201508</v>
      </c>
      <c r="O29" s="162"/>
      <c r="P29" s="181">
        <f>P28/P22*100</f>
        <v>37.4718462084126</v>
      </c>
      <c r="Q29" s="111"/>
      <c r="R29" s="149"/>
      <c r="S29" s="149"/>
      <c r="T29" s="149"/>
      <c r="U29" s="149"/>
      <c r="V29" s="149"/>
      <c r="W29" s="149"/>
      <c r="X29" s="146"/>
      <c r="Y29" s="146"/>
      <c r="Z29" s="146"/>
      <c r="AA29" s="146"/>
      <c r="AB29" s="146"/>
      <c r="AC29" s="146">
        <f>IF(C27="confinamento",IF(C24="Zebuíno",C184,IF(C24="Cruzado",D184)),IF(C27="pasto",IF(C24="Zebuíno",IF(C26="Macho não castrado",F184,G184),IF(C24="Cruzado",H184))))</f>
        <v>298.34927940095469</v>
      </c>
      <c r="AD29" s="146"/>
      <c r="AE29" s="146"/>
      <c r="AF29" s="146"/>
      <c r="AG29" s="146"/>
      <c r="AH29" s="146"/>
      <c r="AI29" s="146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</row>
    <row r="30" spans="1:76" s="51" customFormat="1" ht="25.15" customHeight="1" x14ac:dyDescent="0.25">
      <c r="A30" s="28"/>
      <c r="B30" s="110" t="s">
        <v>403</v>
      </c>
      <c r="C30" s="112">
        <f>AVERAGE(C28:C29)</f>
        <v>395</v>
      </c>
      <c r="D30" s="28"/>
      <c r="E30" s="102" t="s">
        <v>402</v>
      </c>
      <c r="F30" s="101" t="s">
        <v>22</v>
      </c>
      <c r="G30" s="101" t="s">
        <v>15</v>
      </c>
      <c r="H30" s="100">
        <f>IF($C$24="Cruzado",IF($C$25="Leite","-",AC32),AC32)</f>
        <v>743.19118123804992</v>
      </c>
      <c r="I30" s="196">
        <f>I31+I32</f>
        <v>727.86742752955388</v>
      </c>
      <c r="J30" s="196">
        <f>Crescimento!Q27</f>
        <v>773.85090639963346</v>
      </c>
      <c r="K30" s="170">
        <f t="shared" si="0"/>
        <v>6.3175623926669662</v>
      </c>
      <c r="L30" s="162"/>
      <c r="M30" s="202">
        <f>M32+M31</f>
        <v>615.21702295667751</v>
      </c>
      <c r="N30" s="170">
        <f t="shared" si="1"/>
        <v>-25.78502829466191</v>
      </c>
      <c r="O30" s="162"/>
      <c r="P30" s="202">
        <f>P32+P31</f>
        <v>718.30728583140581</v>
      </c>
      <c r="Q30" s="111"/>
      <c r="R30" s="149"/>
      <c r="S30" s="149"/>
      <c r="T30" s="149"/>
      <c r="U30" s="149"/>
      <c r="V30" s="149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</row>
    <row r="31" spans="1:76" s="51" customFormat="1" ht="25.15" customHeight="1" x14ac:dyDescent="0.25">
      <c r="A31" s="28"/>
      <c r="B31" s="110" t="s">
        <v>401</v>
      </c>
      <c r="C31" s="109">
        <v>1.3</v>
      </c>
      <c r="D31" s="28"/>
      <c r="E31" s="108" t="s">
        <v>400</v>
      </c>
      <c r="F31" s="107" t="s">
        <v>23</v>
      </c>
      <c r="G31" s="107" t="s">
        <v>15</v>
      </c>
      <c r="H31" s="106">
        <f>IF($C$24="Cruzado",IF($C$25="Leite","-",AC33),AC33)</f>
        <v>354.41150616014619</v>
      </c>
      <c r="I31" s="203">
        <f>IF(C27="pasto",G110,C110)</f>
        <v>313.27711792961844</v>
      </c>
      <c r="J31" s="203">
        <f>Crescimento!Q24</f>
        <v>334.0556975504249</v>
      </c>
      <c r="K31" s="172">
        <f t="shared" si="0"/>
        <v>6.6326515508466271</v>
      </c>
      <c r="L31" s="204"/>
      <c r="M31" s="205">
        <f>3.8*(M9^0.75)</f>
        <v>326.53883811396071</v>
      </c>
      <c r="N31" s="172">
        <f t="shared" si="1"/>
        <v>-2.3019802115670034</v>
      </c>
      <c r="O31" s="204"/>
      <c r="P31" s="205">
        <f>3.8*(P9^0.75)</f>
        <v>326.53883811396071</v>
      </c>
      <c r="Q31" s="105" t="s">
        <v>399</v>
      </c>
      <c r="R31" s="149"/>
      <c r="S31" s="149"/>
      <c r="T31" s="149"/>
      <c r="U31" s="149"/>
      <c r="V31" s="149"/>
      <c r="W31" s="146"/>
      <c r="X31" s="146"/>
      <c r="Y31" s="146"/>
      <c r="Z31" s="146"/>
      <c r="AA31" s="146"/>
      <c r="AB31" s="146"/>
      <c r="AC31" s="146">
        <f>(AC29/AC25)*100</f>
        <v>25.426877230050426</v>
      </c>
      <c r="AD31" s="146"/>
      <c r="AE31" s="146"/>
      <c r="AF31" s="146"/>
      <c r="AG31" s="146"/>
      <c r="AH31" s="146"/>
      <c r="AI31" s="146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</row>
    <row r="32" spans="1:76" s="51" customFormat="1" ht="25.15" customHeight="1" x14ac:dyDescent="0.25">
      <c r="A32" s="28"/>
      <c r="B32" s="104" t="s">
        <v>398</v>
      </c>
      <c r="C32" s="103">
        <v>478</v>
      </c>
      <c r="D32" s="28"/>
      <c r="E32" s="102" t="s">
        <v>397</v>
      </c>
      <c r="F32" s="101" t="s">
        <v>24</v>
      </c>
      <c r="G32" s="101" t="s">
        <v>15</v>
      </c>
      <c r="H32" s="100">
        <f>IF($C$24="Cruzado",IF($C$25="Leite","-",AC34),AC34)</f>
        <v>388.77967507790379</v>
      </c>
      <c r="I32" s="196">
        <f>I33/IF(I9&lt;=340,84.665-0.1179*I12,47.4)*100</f>
        <v>414.59030959993538</v>
      </c>
      <c r="J32" s="196">
        <f>Crescimento!Q26</f>
        <v>439.79520884920856</v>
      </c>
      <c r="K32" s="170">
        <f t="shared" si="0"/>
        <v>6.0794713879335474</v>
      </c>
      <c r="L32" s="162"/>
      <c r="M32" s="197">
        <f>M33/0.492</f>
        <v>288.67818484271675</v>
      </c>
      <c r="N32" s="170">
        <f t="shared" si="1"/>
        <v>-52.347919566151603</v>
      </c>
      <c r="O32" s="162"/>
      <c r="P32" s="197">
        <f>P33/0.492</f>
        <v>391.76844771744504</v>
      </c>
      <c r="Q32" s="60" t="s">
        <v>396</v>
      </c>
      <c r="R32" s="149"/>
      <c r="S32" s="149"/>
      <c r="T32" s="149"/>
      <c r="U32" s="149"/>
      <c r="V32" s="152"/>
      <c r="W32" s="146"/>
      <c r="X32" s="146"/>
      <c r="Y32" s="146"/>
      <c r="Z32" s="146"/>
      <c r="AA32" s="146"/>
      <c r="AB32" s="146"/>
      <c r="AC32" s="146">
        <f>AC33+AC34</f>
        <v>743.19118123804992</v>
      </c>
      <c r="AD32" s="146"/>
      <c r="AE32" s="146"/>
      <c r="AF32" s="146"/>
      <c r="AG32" s="146"/>
      <c r="AH32" s="146"/>
      <c r="AI32" s="146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</row>
    <row r="33" spans="1:76" s="96" customFormat="1" ht="25.15" customHeight="1" x14ac:dyDescent="0.25">
      <c r="A33" s="97"/>
      <c r="B33" s="253" t="s">
        <v>395</v>
      </c>
      <c r="C33" s="254">
        <f>I18/I15</f>
        <v>2.6776228341532113</v>
      </c>
      <c r="D33" s="99"/>
      <c r="E33" s="250" t="s">
        <v>394</v>
      </c>
      <c r="F33" s="251" t="s">
        <v>25</v>
      </c>
      <c r="G33" s="251" t="s">
        <v>15</v>
      </c>
      <c r="H33" s="252">
        <f>IF($C$24="Cruzado",IF($C$25="Leite","-",AC35),AC35)</f>
        <v>182.33766761153686</v>
      </c>
      <c r="I33" s="174">
        <f>IF(C27="pasto",G111,C115)</f>
        <v>196.51580675036936</v>
      </c>
      <c r="J33" s="174">
        <f>Crescimento!Q25</f>
        <v>208.46292899452487</v>
      </c>
      <c r="K33" s="175">
        <f t="shared" si="0"/>
        <v>6.079471387933558</v>
      </c>
      <c r="L33" s="151"/>
      <c r="M33" s="206">
        <f>M11*(268-(29.4*(M21/M11)))</f>
        <v>142.02966694261664</v>
      </c>
      <c r="N33" s="175">
        <f t="shared" si="1"/>
        <v>-46.774215191780208</v>
      </c>
      <c r="O33" s="151"/>
      <c r="P33" s="206">
        <f>P11*(268-(29.4*(P21/P11)))</f>
        <v>192.75007627698295</v>
      </c>
      <c r="Q33" s="98" t="s">
        <v>393</v>
      </c>
      <c r="R33" s="150"/>
      <c r="S33" s="150"/>
      <c r="T33" s="150"/>
      <c r="U33" s="150"/>
      <c r="V33" s="153"/>
      <c r="W33" s="151"/>
      <c r="X33" s="151"/>
      <c r="Y33" s="151"/>
      <c r="Z33" s="151"/>
      <c r="AA33" s="151"/>
      <c r="AB33" s="151"/>
      <c r="AC33" s="151">
        <f>IF(C27="confinamento",IF(C24="Zebuíno",C180,IF(C24="Cruzado",D180)),IF(C27="pasto",IF(C24="Zebuíno",IF(C26="Macho não castrado",F180,G180),IF(C24="Cruzado",H180))))</f>
        <v>354.41150616014619</v>
      </c>
      <c r="AD33" s="151"/>
      <c r="AE33" s="151"/>
      <c r="AF33" s="151"/>
      <c r="AG33" s="151"/>
      <c r="AH33" s="151"/>
      <c r="AI33" s="151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</row>
    <row r="34" spans="1:76" s="51" customFormat="1" ht="25.15" customHeight="1" thickBot="1" x14ac:dyDescent="0.3">
      <c r="A34" s="28"/>
      <c r="B34" s="95" t="s">
        <v>392</v>
      </c>
      <c r="C34" s="94">
        <v>4</v>
      </c>
      <c r="D34" s="28"/>
      <c r="E34" s="73" t="s">
        <v>391</v>
      </c>
      <c r="F34" s="72" t="s">
        <v>27</v>
      </c>
      <c r="G34" s="72" t="s">
        <v>15</v>
      </c>
      <c r="H34" s="93">
        <f t="shared" ref="H34:H56" si="2">IF($C$24="Cruzado",IF($C$25="Leite","-",AC37),AC37)</f>
        <v>34.005889797667287</v>
      </c>
      <c r="I34" s="177">
        <f>SUM(I35:I36)</f>
        <v>30.574980798906065</v>
      </c>
      <c r="J34" s="177">
        <f>Crescimento!D88</f>
        <v>28.407677265360551</v>
      </c>
      <c r="K34" s="177">
        <f t="shared" si="0"/>
        <v>-7.0884869815619229</v>
      </c>
      <c r="L34" s="151"/>
      <c r="M34" s="207">
        <f>SUM(M35:M36)</f>
        <v>31.847572705851562</v>
      </c>
      <c r="N34" s="177">
        <f t="shared" si="1"/>
        <v>10.80112281165772</v>
      </c>
      <c r="O34" s="151"/>
      <c r="P34" s="207">
        <f>SUM(P35:P36)</f>
        <v>39.049870831331575</v>
      </c>
      <c r="Q34" s="90">
        <f>(P34/1000)/P15</f>
        <v>4.334158785604939E-3</v>
      </c>
      <c r="R34" s="149"/>
      <c r="S34" s="149"/>
      <c r="T34" s="149"/>
      <c r="U34" s="149"/>
      <c r="V34" s="152"/>
      <c r="W34" s="146"/>
      <c r="X34" s="146"/>
      <c r="Y34" s="146"/>
      <c r="Z34" s="146"/>
      <c r="AA34" s="146"/>
      <c r="AB34" s="146"/>
      <c r="AC34" s="146">
        <f>IF(C27="confinamento",IF(C24="Zebuíno",C179,IF(C24="Cruzado",D179)),IF(C27="pasto",IF(C24="Zebuíno",IF(C26="Macho não castrado",F179,C179),IF(C24="Cruzado",D179))))</f>
        <v>388.77967507790379</v>
      </c>
      <c r="AD34" s="146"/>
      <c r="AE34" s="146"/>
      <c r="AF34" s="146"/>
      <c r="AG34" s="146"/>
      <c r="AH34" s="146"/>
      <c r="AI34" s="146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</row>
    <row r="35" spans="1:76" s="51" customFormat="1" ht="25.15" customHeight="1" x14ac:dyDescent="0.25">
      <c r="A35" s="28"/>
      <c r="B35" s="28"/>
      <c r="C35" s="28"/>
      <c r="D35" s="28"/>
      <c r="E35" s="84" t="s">
        <v>390</v>
      </c>
      <c r="F35" s="83" t="s">
        <v>389</v>
      </c>
      <c r="G35" s="83" t="s">
        <v>15</v>
      </c>
      <c r="H35" s="92">
        <f t="shared" si="2"/>
        <v>11.059999999999999</v>
      </c>
      <c r="I35" s="171">
        <f>(11.7*$C$30/1000)/0.568</f>
        <v>8.1364436619718319</v>
      </c>
      <c r="J35" s="171">
        <f>Crescimento!D83</f>
        <v>5.0309999999999997</v>
      </c>
      <c r="K35" s="172">
        <f t="shared" si="0"/>
        <v>-38.167088607594948</v>
      </c>
      <c r="L35" s="162"/>
      <c r="M35" s="181">
        <f>0.0154*M9/0.5</f>
        <v>11.679360000000001</v>
      </c>
      <c r="N35" s="172">
        <f t="shared" si="1"/>
        <v>56.924009534769041</v>
      </c>
      <c r="O35" s="162"/>
      <c r="P35" s="181">
        <f>0.0154*P9/0.5</f>
        <v>11.679360000000001</v>
      </c>
      <c r="Q35" s="91"/>
      <c r="R35" s="149"/>
      <c r="S35" s="149"/>
      <c r="T35" s="149"/>
      <c r="U35" s="149"/>
      <c r="V35" s="152"/>
      <c r="W35" s="146"/>
      <c r="X35" s="146"/>
      <c r="Y35" s="146"/>
      <c r="Z35" s="146"/>
      <c r="AA35" s="146"/>
      <c r="AB35" s="146"/>
      <c r="AC35" s="146">
        <f>IF(C27="confinamento",IF(C24="Zebuíno",C176,D176),F173)</f>
        <v>182.33766761153686</v>
      </c>
      <c r="AD35" s="146"/>
      <c r="AE35" s="146"/>
      <c r="AF35" s="146"/>
      <c r="AG35" s="146"/>
      <c r="AH35" s="146"/>
      <c r="AI35" s="146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</row>
    <row r="36" spans="1:76" s="51" customFormat="1" ht="25.15" customHeight="1" x14ac:dyDescent="0.25">
      <c r="A36" s="28"/>
      <c r="B36" s="28"/>
      <c r="C36" s="28"/>
      <c r="D36" s="28"/>
      <c r="E36" s="81" t="s">
        <v>388</v>
      </c>
      <c r="F36" s="80" t="s">
        <v>322</v>
      </c>
      <c r="G36" s="80" t="s">
        <v>15</v>
      </c>
      <c r="H36" s="85">
        <f t="shared" si="2"/>
        <v>22.945889797667288</v>
      </c>
      <c r="I36" s="170">
        <f>IF(C24="Zebuíno",C121,D121)</f>
        <v>22.438537136934233</v>
      </c>
      <c r="J36" s="170">
        <f>IF(C24="Cruzado",Crescimento!D85,Crescimento!D84)</f>
        <v>14.455638345611236</v>
      </c>
      <c r="K36" s="170">
        <f t="shared" si="0"/>
        <v>-35.576734537578226</v>
      </c>
      <c r="L36" s="204"/>
      <c r="M36" s="208">
        <f>M33*0.071/0.5</f>
        <v>20.168212705851563</v>
      </c>
      <c r="N36" s="170">
        <f t="shared" si="1"/>
        <v>28.32464355447269</v>
      </c>
      <c r="O36" s="204"/>
      <c r="P36" s="208">
        <f>P33*0.071/0.5</f>
        <v>27.370510831331575</v>
      </c>
      <c r="Q36" s="91"/>
      <c r="R36" s="149"/>
      <c r="S36" s="149"/>
      <c r="T36" s="154"/>
      <c r="U36" s="149"/>
      <c r="V36" s="152"/>
      <c r="W36" s="146"/>
      <c r="X36" s="146"/>
      <c r="Y36" s="146"/>
      <c r="Z36" s="146"/>
      <c r="AA36" s="146"/>
      <c r="AB36" s="146"/>
      <c r="AC36" s="146">
        <f>IF(C27="confinamento",IF(C24="Zebuíno",IF(AC60&lt;=350,C177,C178),IF(AC60&lt;=350,D177,D178)),IF(AC60&lt;=350,F177,F178))*100</f>
        <v>46.9</v>
      </c>
      <c r="AD36" s="146"/>
      <c r="AE36" s="146"/>
      <c r="AF36" s="146"/>
      <c r="AG36" s="146"/>
      <c r="AH36" s="146"/>
      <c r="AI36" s="146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</row>
    <row r="37" spans="1:76" s="51" customFormat="1" ht="25.15" customHeight="1" thickBot="1" x14ac:dyDescent="0.3">
      <c r="A37" s="28"/>
      <c r="B37" s="524" t="s">
        <v>387</v>
      </c>
      <c r="C37" s="525"/>
      <c r="D37" s="28"/>
      <c r="E37" s="68" t="s">
        <v>386</v>
      </c>
      <c r="F37" s="67" t="s">
        <v>28</v>
      </c>
      <c r="G37" s="67" t="s">
        <v>15</v>
      </c>
      <c r="H37" s="74">
        <f t="shared" si="2"/>
        <v>20.478852884001206</v>
      </c>
      <c r="I37" s="209">
        <f>SUM(I38:I39)</f>
        <v>18.763229162995891</v>
      </c>
      <c r="J37" s="209">
        <f>Crescimento!D95</f>
        <v>18.404676439241758</v>
      </c>
      <c r="K37" s="175">
        <f t="shared" si="0"/>
        <v>-1.9109329243883946</v>
      </c>
      <c r="L37" s="151"/>
      <c r="M37" s="193">
        <f>SUM(M38:M39)</f>
        <v>17.068172074650072</v>
      </c>
      <c r="N37" s="175">
        <f t="shared" si="1"/>
        <v>-7.830389562199719</v>
      </c>
      <c r="O37" s="151"/>
      <c r="P37" s="193">
        <f>SUM(P38:P39)</f>
        <v>19.977136727650489</v>
      </c>
      <c r="Q37" s="90">
        <f>(P37/1000)/P15</f>
        <v>2.2172693741641502E-3</v>
      </c>
      <c r="R37" s="149"/>
      <c r="S37" s="149"/>
      <c r="T37" s="155"/>
      <c r="U37" s="149"/>
      <c r="V37" s="156"/>
      <c r="W37" s="146"/>
      <c r="X37" s="146"/>
      <c r="Y37" s="146"/>
      <c r="Z37" s="146"/>
      <c r="AA37" s="146"/>
      <c r="AB37" s="146"/>
      <c r="AC37" s="146">
        <f>IF(C27="confinamento",IF(C24="Zebuíno",C198,IF(C24="Cruzado",D198)),IF(C27="pasto",IF(C24="Zebuíno",IF(C26="Macho não castrado",F198,G198),IF(C24="Cruzado",H198))))</f>
        <v>34.005889797667287</v>
      </c>
      <c r="AD37" s="146"/>
      <c r="AE37" s="146"/>
      <c r="AF37" s="146"/>
      <c r="AG37" s="146"/>
      <c r="AH37" s="146"/>
      <c r="AI37" s="146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</row>
    <row r="38" spans="1:76" s="51" customFormat="1" ht="25.15" customHeight="1" x14ac:dyDescent="0.25">
      <c r="A38" s="28"/>
      <c r="B38" s="89" t="s">
        <v>385</v>
      </c>
      <c r="C38" s="88"/>
      <c r="D38" s="28"/>
      <c r="E38" s="81" t="s">
        <v>384</v>
      </c>
      <c r="F38" s="80" t="s">
        <v>383</v>
      </c>
      <c r="G38" s="80" t="s">
        <v>15</v>
      </c>
      <c r="H38" s="85">
        <f t="shared" si="2"/>
        <v>10.223529411764707</v>
      </c>
      <c r="I38" s="210">
        <f>13.5*$C$30/1000/0.678</f>
        <v>7.8650442477876092</v>
      </c>
      <c r="J38" s="210">
        <f>Crescimento!D90</f>
        <v>5.8049999999999997</v>
      </c>
      <c r="K38" s="170">
        <f t="shared" si="0"/>
        <v>-26.19240506329113</v>
      </c>
      <c r="L38" s="162"/>
      <c r="M38" s="208">
        <f>0.016*M9/0.68</f>
        <v>8.9223529411764702</v>
      </c>
      <c r="N38" s="170">
        <f t="shared" si="1"/>
        <v>34.938686708860764</v>
      </c>
      <c r="O38" s="162"/>
      <c r="P38" s="208">
        <f>0.016*P9/0.68</f>
        <v>8.9223529411764702</v>
      </c>
      <c r="Q38" s="60"/>
      <c r="R38" s="149"/>
      <c r="S38" s="149"/>
      <c r="T38" s="155"/>
      <c r="U38" s="149"/>
      <c r="V38" s="152"/>
      <c r="W38" s="146"/>
      <c r="X38" s="146"/>
      <c r="Y38" s="146"/>
      <c r="Z38" s="146"/>
      <c r="AA38" s="146"/>
      <c r="AB38" s="146"/>
      <c r="AC38" s="146">
        <f>IF(C27="confinamento",IF(C24="Zebuíno",C197,IF(C24="Cruzado",D197)),IF(C27="pasto",IF(C24="Zebuíno",IF(C26="Macho não castrado",F197,G197),IF(C24="Cruzado",H197))))</f>
        <v>11.059999999999999</v>
      </c>
      <c r="AD38" s="146"/>
      <c r="AE38" s="146"/>
      <c r="AF38" s="146"/>
      <c r="AG38" s="146"/>
      <c r="AH38" s="146"/>
      <c r="AI38" s="146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</row>
    <row r="39" spans="1:76" s="51" customFormat="1" ht="25.15" customHeight="1" x14ac:dyDescent="0.25">
      <c r="A39" s="28"/>
      <c r="B39" s="70" t="s">
        <v>382</v>
      </c>
      <c r="C39" s="69"/>
      <c r="D39" s="28"/>
      <c r="E39" s="84" t="s">
        <v>381</v>
      </c>
      <c r="F39" s="83" t="s">
        <v>321</v>
      </c>
      <c r="G39" s="83" t="s">
        <v>15</v>
      </c>
      <c r="H39" s="82">
        <f t="shared" si="2"/>
        <v>10.255323472236499</v>
      </c>
      <c r="I39" s="171">
        <f>IF(C24="Zebuíno",C122,D122)</f>
        <v>10.898184915208283</v>
      </c>
      <c r="J39" s="171">
        <f>Crescimento!D92</f>
        <v>8.4161603681859543</v>
      </c>
      <c r="K39" s="172">
        <f t="shared" si="0"/>
        <v>-22.774659875321937</v>
      </c>
      <c r="L39" s="204"/>
      <c r="M39" s="181">
        <f>M33*0.039/0.68</f>
        <v>8.1458191334736014</v>
      </c>
      <c r="N39" s="172">
        <f t="shared" si="1"/>
        <v>-3.318772861055066</v>
      </c>
      <c r="O39" s="204"/>
      <c r="P39" s="181">
        <f>P33*0.039/0.68</f>
        <v>11.054783786474021</v>
      </c>
      <c r="Q39" s="60"/>
      <c r="R39" s="149"/>
      <c r="S39" s="149"/>
      <c r="T39" s="154"/>
      <c r="U39" s="149"/>
      <c r="V39" s="152"/>
      <c r="W39" s="146"/>
      <c r="X39" s="146"/>
      <c r="Y39" s="146"/>
      <c r="Z39" s="146"/>
      <c r="AA39" s="146"/>
      <c r="AB39" s="146"/>
      <c r="AC39" s="146">
        <f>IF(C27="confinamento",IF(C24="Zebuíno",C196,IF(C24="Cruzado",D196)),IF(C27="pasto",IF(C24="Zebuíno",IF(C26="Macho não castrado",F196,G196),IF(C24="Cruzado",H196))))</f>
        <v>22.945889797667288</v>
      </c>
      <c r="AD39" s="146"/>
      <c r="AE39" s="146"/>
      <c r="AF39" s="146"/>
      <c r="AG39" s="146"/>
      <c r="AH39" s="146"/>
      <c r="AI39" s="146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</row>
    <row r="40" spans="1:76" s="51" customFormat="1" ht="25.15" customHeight="1" x14ac:dyDescent="0.25">
      <c r="A40" s="28"/>
      <c r="B40" s="70" t="s">
        <v>380</v>
      </c>
      <c r="C40" s="69"/>
      <c r="D40" s="28"/>
      <c r="E40" s="73" t="s">
        <v>379</v>
      </c>
      <c r="F40" s="72" t="s">
        <v>29</v>
      </c>
      <c r="G40" s="72" t="s">
        <v>15</v>
      </c>
      <c r="H40" s="71">
        <f t="shared" si="2"/>
        <v>9.6652304999999998</v>
      </c>
      <c r="I40" s="211">
        <f>SUM(I41:I42)</f>
        <v>7.4930823331341729</v>
      </c>
      <c r="J40" s="211">
        <f>Crescimento!D104</f>
        <v>8.6635274225092651</v>
      </c>
      <c r="K40" s="177">
        <f t="shared" si="0"/>
        <v>15.620342034671381</v>
      </c>
      <c r="L40" s="151"/>
      <c r="M40" s="180">
        <f>0.001*M15*1000</f>
        <v>9.0097923871705135</v>
      </c>
      <c r="N40" s="177">
        <f t="shared" si="1"/>
        <v>3.8432069217744913</v>
      </c>
      <c r="O40" s="151"/>
      <c r="P40" s="180">
        <f>0.1*P15*10</f>
        <v>9.0097923871705135</v>
      </c>
      <c r="Q40" s="60"/>
      <c r="R40" s="149"/>
      <c r="S40" s="149"/>
      <c r="T40" s="157"/>
      <c r="U40" s="149"/>
      <c r="V40" s="149"/>
      <c r="W40" s="146"/>
      <c r="X40" s="146"/>
      <c r="Y40" s="146"/>
      <c r="Z40" s="146"/>
      <c r="AA40" s="146"/>
      <c r="AB40" s="146"/>
      <c r="AC40" s="146">
        <f>IF(C27="confinamento",IF(C24="Zebuíno",C201,IF(C24="Cruzado",D201)),IF(C27="pasto",IF(C24="Zebuíno",IF(C26="Macho não castrado",F201,G201),IF(C24="Cruzado",H201))))</f>
        <v>20.478852884001206</v>
      </c>
      <c r="AD40" s="146"/>
      <c r="AE40" s="146"/>
      <c r="AF40" s="146"/>
      <c r="AG40" s="146"/>
      <c r="AH40" s="146"/>
      <c r="AI40" s="146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</row>
    <row r="41" spans="1:76" s="51" customFormat="1" ht="25.15" customHeight="1" x14ac:dyDescent="0.25">
      <c r="A41" s="28"/>
      <c r="B41" s="70" t="s">
        <v>378</v>
      </c>
      <c r="C41" s="69"/>
      <c r="D41" s="28"/>
      <c r="E41" s="84" t="s">
        <v>377</v>
      </c>
      <c r="F41" s="83" t="s">
        <v>376</v>
      </c>
      <c r="G41" s="83" t="s">
        <v>15</v>
      </c>
      <c r="H41" s="82">
        <f t="shared" si="2"/>
        <v>6.9997949999999998</v>
      </c>
      <c r="I41" s="171">
        <f>5.9*$C$30/1000/0.355</f>
        <v>6.5647887323943657</v>
      </c>
      <c r="J41" s="171">
        <f>Crescimento!D99</f>
        <v>2.5369999999999999</v>
      </c>
      <c r="K41" s="172">
        <f t="shared" si="0"/>
        <v>-61.354430379746837</v>
      </c>
      <c r="L41" s="162"/>
      <c r="M41" s="205" t="s">
        <v>354</v>
      </c>
      <c r="N41" s="205" t="s">
        <v>354</v>
      </c>
      <c r="O41" s="162"/>
      <c r="P41" s="205" t="s">
        <v>354</v>
      </c>
      <c r="Q41" s="60"/>
      <c r="R41" s="149"/>
      <c r="S41" s="149"/>
      <c r="T41" s="157"/>
      <c r="U41" s="149"/>
      <c r="V41" s="149"/>
      <c r="W41" s="146"/>
      <c r="X41" s="146"/>
      <c r="Y41" s="146"/>
      <c r="Z41" s="146"/>
      <c r="AA41" s="146"/>
      <c r="AB41" s="146"/>
      <c r="AC41" s="146">
        <f>IF(C27="confinamento",IF(C24="Zebuíno",C200,IF(C24="Cruzado",D200)),IF(C27="pasto",IF(C24="Zebuíno",IF(C26="Macho não castrado",F200,G200),IF(C24="Cruzado",H200))))</f>
        <v>10.223529411764707</v>
      </c>
      <c r="AD41" s="146"/>
      <c r="AE41" s="146"/>
      <c r="AF41" s="146"/>
      <c r="AG41" s="146"/>
      <c r="AH41" s="146"/>
      <c r="AI41" s="146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</row>
    <row r="42" spans="1:76" s="51" customFormat="1" ht="25.15" customHeight="1" x14ac:dyDescent="0.25">
      <c r="A42" s="28"/>
      <c r="B42" s="70" t="s">
        <v>375</v>
      </c>
      <c r="C42" s="69"/>
      <c r="D42" s="28"/>
      <c r="E42" s="81" t="s">
        <v>374</v>
      </c>
      <c r="F42" s="80" t="s">
        <v>320</v>
      </c>
      <c r="G42" s="80" t="s">
        <v>15</v>
      </c>
      <c r="H42" s="79">
        <f t="shared" si="2"/>
        <v>2.6654355000000001</v>
      </c>
      <c r="I42" s="210">
        <f>IF(C24="Zebuíno",C123,D123)</f>
        <v>0.92829360073980716</v>
      </c>
      <c r="J42" s="210">
        <f>Crescimento!D102</f>
        <v>3.0755522349907887</v>
      </c>
      <c r="K42" s="170">
        <f t="shared" si="0"/>
        <v>231.31244603428436</v>
      </c>
      <c r="L42" s="162"/>
      <c r="M42" s="212" t="s">
        <v>354</v>
      </c>
      <c r="N42" s="212" t="s">
        <v>354</v>
      </c>
      <c r="O42" s="162"/>
      <c r="P42" s="212" t="s">
        <v>354</v>
      </c>
      <c r="Q42" s="60"/>
      <c r="R42" s="149"/>
      <c r="S42" s="149"/>
      <c r="T42" s="157"/>
      <c r="U42" s="149"/>
      <c r="V42" s="156"/>
      <c r="W42" s="146"/>
      <c r="X42" s="146"/>
      <c r="Y42" s="146"/>
      <c r="Z42" s="146"/>
      <c r="AA42" s="146"/>
      <c r="AB42" s="146"/>
      <c r="AC42" s="146">
        <f>IF(C27="confinamento",IF(C24="Zebuíno",C199,IF(C24="Cruzado",D199)),IF(C27="pasto",IF(C24="Zebuíno",IF(C26="Macho não castrado",F199,G199),IF(C24="Cruzado",H199))))</f>
        <v>10.255323472236499</v>
      </c>
      <c r="AD42" s="146"/>
      <c r="AE42" s="146"/>
      <c r="AF42" s="146"/>
      <c r="AG42" s="146"/>
      <c r="AH42" s="146"/>
      <c r="AI42" s="146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</row>
    <row r="43" spans="1:76" s="51" customFormat="1" ht="25.15" customHeight="1" x14ac:dyDescent="0.25">
      <c r="A43" s="28"/>
      <c r="B43" s="70" t="s">
        <v>373</v>
      </c>
      <c r="C43" s="69"/>
      <c r="D43" s="28"/>
      <c r="E43" s="68" t="s">
        <v>372</v>
      </c>
      <c r="F43" s="67" t="s">
        <v>30</v>
      </c>
      <c r="G43" s="67" t="s">
        <v>15</v>
      </c>
      <c r="H43" s="74">
        <f t="shared" si="2"/>
        <v>45.080160277809917</v>
      </c>
      <c r="I43" s="209">
        <f>SUM(I44:I45)</f>
        <v>24.955795590149542</v>
      </c>
      <c r="J43" s="209">
        <f>Crescimento!D118</f>
        <v>26.710879401628173</v>
      </c>
      <c r="K43" s="175">
        <f t="shared" si="0"/>
        <v>7.0327704245637879</v>
      </c>
      <c r="L43" s="151"/>
      <c r="M43" s="179">
        <f>0.006*M15*1000</f>
        <v>54.058754323023081</v>
      </c>
      <c r="N43" s="175">
        <f t="shared" si="1"/>
        <v>50.589169624553712</v>
      </c>
      <c r="O43" s="151"/>
      <c r="P43" s="179">
        <f>0.6*P15*10</f>
        <v>54.058754323023081</v>
      </c>
      <c r="Q43" s="60"/>
      <c r="R43" s="149"/>
      <c r="S43" s="149"/>
      <c r="T43" s="157"/>
      <c r="U43" s="149"/>
      <c r="V43" s="149"/>
      <c r="W43" s="146"/>
      <c r="X43" s="146"/>
      <c r="Y43" s="146"/>
      <c r="Z43" s="146"/>
      <c r="AA43" s="146"/>
      <c r="AB43" s="146"/>
      <c r="AC43" s="146">
        <f>IF(C27="confinamento",IF(C24="Zebuíno",C204,IF(C24="Cruzado",D204)),IF(C27="pasto",IF(C24="Zebuíno",IF(C26="Macho não castrado",F204,G204),IF(C24="Cruzado",H204))))</f>
        <v>9.6652304999999998</v>
      </c>
      <c r="AD43" s="146"/>
      <c r="AE43" s="146"/>
      <c r="AF43" s="146"/>
      <c r="AG43" s="146"/>
      <c r="AH43" s="146"/>
      <c r="AI43" s="146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</row>
    <row r="44" spans="1:76" s="51" customFormat="1" ht="25.15" customHeight="1" x14ac:dyDescent="0.25">
      <c r="A44" s="28"/>
      <c r="B44" s="87"/>
      <c r="C44" s="86"/>
      <c r="D44" s="28"/>
      <c r="E44" s="81" t="s">
        <v>371</v>
      </c>
      <c r="F44" s="80" t="s">
        <v>277</v>
      </c>
      <c r="G44" s="80" t="s">
        <v>15</v>
      </c>
      <c r="H44" s="85">
        <f t="shared" si="2"/>
        <v>41.788243243122167</v>
      </c>
      <c r="I44" s="170">
        <f>23.5*$C$30/1000/0.484</f>
        <v>19.178719008264466</v>
      </c>
      <c r="J44" s="170">
        <f>Crescimento!D113</f>
        <v>10.105</v>
      </c>
      <c r="K44" s="170">
        <f t="shared" si="0"/>
        <v>-47.311392405063295</v>
      </c>
      <c r="L44" s="162"/>
      <c r="M44" s="212" t="s">
        <v>354</v>
      </c>
      <c r="N44" s="212" t="s">
        <v>354</v>
      </c>
      <c r="O44" s="162"/>
      <c r="P44" s="212" t="s">
        <v>354</v>
      </c>
      <c r="Q44" s="60"/>
      <c r="R44" s="149"/>
      <c r="S44" s="149"/>
      <c r="T44" s="157"/>
      <c r="U44" s="149"/>
      <c r="V44" s="149"/>
      <c r="W44" s="146"/>
      <c r="X44" s="146"/>
      <c r="Y44" s="146"/>
      <c r="Z44" s="146"/>
      <c r="AA44" s="146"/>
      <c r="AB44" s="146"/>
      <c r="AC44" s="146">
        <f>IF(C27="confinamento",IF(C24="Zebuíno",C203,IF(C24="Cruzado",D203)),IF(C27="pasto",IF(C24="Zebuíno",IF(C26="Macho não castrado",F203,G203),IF(C24="Cruzado",H203))))</f>
        <v>6.9997949999999998</v>
      </c>
      <c r="AD44" s="146"/>
      <c r="AE44" s="146"/>
      <c r="AF44" s="146"/>
      <c r="AG44" s="146"/>
      <c r="AH44" s="146"/>
      <c r="AI44" s="146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</row>
    <row r="45" spans="1:76" s="51" customFormat="1" ht="25.15" customHeight="1" x14ac:dyDescent="0.25">
      <c r="A45" s="28"/>
      <c r="B45" s="76" t="s">
        <v>370</v>
      </c>
      <c r="C45" s="69"/>
      <c r="D45" s="28"/>
      <c r="E45" s="84" t="s">
        <v>369</v>
      </c>
      <c r="F45" s="83" t="s">
        <v>312</v>
      </c>
      <c r="G45" s="83" t="s">
        <v>15</v>
      </c>
      <c r="H45" s="82">
        <f t="shared" si="2"/>
        <v>3.2919170346877453</v>
      </c>
      <c r="I45" s="171">
        <f>IF(C24="Zebuíno",C125,D125)</f>
        <v>5.7770765818850753</v>
      </c>
      <c r="J45" s="171">
        <f>Crescimento!D115</f>
        <v>3.2963382344561651</v>
      </c>
      <c r="K45" s="172">
        <f t="shared" si="0"/>
        <v>-42.941067376666808</v>
      </c>
      <c r="L45" s="162"/>
      <c r="M45" s="205" t="s">
        <v>354</v>
      </c>
      <c r="N45" s="205" t="s">
        <v>354</v>
      </c>
      <c r="O45" s="162"/>
      <c r="P45" s="205" t="s">
        <v>354</v>
      </c>
      <c r="Q45" s="60"/>
      <c r="R45" s="149"/>
      <c r="S45" s="149"/>
      <c r="T45" s="157"/>
      <c r="U45" s="149"/>
      <c r="V45" s="149"/>
      <c r="W45" s="146"/>
      <c r="X45" s="146"/>
      <c r="Y45" s="146"/>
      <c r="Z45" s="146"/>
      <c r="AA45" s="146"/>
      <c r="AB45" s="146"/>
      <c r="AC45" s="146">
        <f>IF(C27="confinamento",IF(C24="Zebuíno",C202,IF(C24="Cruzado",D202)),IF(C27="pasto",IF(C24="Zebuíno",IF(C26="Macho não castrado",F202,G202),IF(C24="Cruzado",H202))))</f>
        <v>2.6654355000000001</v>
      </c>
      <c r="AD45" s="146"/>
      <c r="AE45" s="146"/>
      <c r="AF45" s="146"/>
      <c r="AG45" s="146"/>
      <c r="AH45" s="146"/>
      <c r="AI45" s="146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</row>
    <row r="46" spans="1:76" s="51" customFormat="1" ht="25.15" customHeight="1" x14ac:dyDescent="0.25">
      <c r="A46" s="28"/>
      <c r="B46" s="537" t="s">
        <v>368</v>
      </c>
      <c r="C46" s="538"/>
      <c r="D46" s="28"/>
      <c r="E46" s="73" t="s">
        <v>367</v>
      </c>
      <c r="F46" s="72" t="s">
        <v>31</v>
      </c>
      <c r="G46" s="72" t="s">
        <v>15</v>
      </c>
      <c r="H46" s="71">
        <f t="shared" si="2"/>
        <v>4.3371641538461541</v>
      </c>
      <c r="I46" s="211">
        <f>SUM(I47:I48)</f>
        <v>11.47709991394661</v>
      </c>
      <c r="J46" s="211">
        <f>Crescimento!D111</f>
        <v>11.023431729242693</v>
      </c>
      <c r="K46" s="177">
        <f t="shared" si="0"/>
        <v>-3.9528120178916741</v>
      </c>
      <c r="L46" s="151"/>
      <c r="M46" s="180">
        <f>0.0007*M15*1000</f>
        <v>6.3068546710193596</v>
      </c>
      <c r="N46" s="177">
        <f t="shared" si="1"/>
        <v>-74.784933286896333</v>
      </c>
      <c r="O46" s="151"/>
      <c r="P46" s="180">
        <f>0.07*P15*10</f>
        <v>6.3068546710193596</v>
      </c>
      <c r="Q46" s="60"/>
      <c r="R46" s="149"/>
      <c r="S46" s="149"/>
      <c r="T46" s="157"/>
      <c r="U46" s="149"/>
      <c r="V46" s="149"/>
      <c r="W46" s="146"/>
      <c r="X46" s="146"/>
      <c r="Y46" s="146"/>
      <c r="Z46" s="146"/>
      <c r="AA46" s="146"/>
      <c r="AB46" s="146"/>
      <c r="AC46" s="146">
        <f>IF(C27="confinamento",IF(C24="Zebuíno",C214,IF(C24="Cruzado",D214)),IF(C27="pasto",IF(C24="Zebuíno",IF(C26="Macho não castrado",F214,G214),IF(C24="Cruzado",H214))))</f>
        <v>45.080160277809917</v>
      </c>
      <c r="AD46" s="146"/>
      <c r="AE46" s="146"/>
      <c r="AF46" s="146"/>
      <c r="AG46" s="146"/>
      <c r="AH46" s="146"/>
      <c r="AI46" s="146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</row>
    <row r="47" spans="1:76" s="51" customFormat="1" ht="25.15" customHeight="1" x14ac:dyDescent="0.25">
      <c r="A47" s="28"/>
      <c r="B47" s="537"/>
      <c r="C47" s="538"/>
      <c r="D47" s="28"/>
      <c r="E47" s="84" t="s">
        <v>366</v>
      </c>
      <c r="F47" s="83" t="s">
        <v>365</v>
      </c>
      <c r="G47" s="83" t="s">
        <v>15</v>
      </c>
      <c r="H47" s="82">
        <f t="shared" si="2"/>
        <v>2.6106461538461541</v>
      </c>
      <c r="I47" s="171">
        <f>6.3*$C$30/1000/0.371</f>
        <v>6.7075471698113214</v>
      </c>
      <c r="J47" s="171">
        <f>Crescimento!D106</f>
        <v>2.7090000000000001</v>
      </c>
      <c r="K47" s="172">
        <f t="shared" si="0"/>
        <v>-59.612658227848101</v>
      </c>
      <c r="L47" s="162"/>
      <c r="M47" s="205" t="s">
        <v>354</v>
      </c>
      <c r="N47" s="205" t="s">
        <v>354</v>
      </c>
      <c r="O47" s="162"/>
      <c r="P47" s="205" t="s">
        <v>354</v>
      </c>
      <c r="Q47" s="60"/>
      <c r="R47" s="149"/>
      <c r="S47" s="149"/>
      <c r="T47" s="157"/>
      <c r="U47" s="149"/>
      <c r="V47" s="149"/>
      <c r="W47" s="146"/>
      <c r="X47" s="146"/>
      <c r="Y47" s="146"/>
      <c r="Z47" s="146"/>
      <c r="AA47" s="146"/>
      <c r="AB47" s="146"/>
      <c r="AC47" s="146">
        <f>IF(C27="confinamento",IF(C24="Zebuíno",C215,IF(C24="Cruzado",D215)),IF(C27="pasto",IF(C24="Zebuíno",IF(C26="Macho não castrado",F215,G215),IF(C24="Cruzado",H215))))</f>
        <v>41.788243243122167</v>
      </c>
      <c r="AD47" s="146"/>
      <c r="AE47" s="146"/>
      <c r="AF47" s="146"/>
      <c r="AG47" s="146"/>
      <c r="AH47" s="146"/>
      <c r="AI47" s="146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</row>
    <row r="48" spans="1:76" s="51" customFormat="1" ht="25.15" customHeight="1" x14ac:dyDescent="0.25">
      <c r="A48" s="28"/>
      <c r="B48" s="537"/>
      <c r="C48" s="538"/>
      <c r="D48" s="28"/>
      <c r="E48" s="81" t="s">
        <v>364</v>
      </c>
      <c r="F48" s="80" t="s">
        <v>319</v>
      </c>
      <c r="G48" s="80" t="s">
        <v>15</v>
      </c>
      <c r="H48" s="79">
        <f t="shared" si="2"/>
        <v>1.7265180000000002</v>
      </c>
      <c r="I48" s="210">
        <f>IF(C24="Zebuíno",C124,D124)</f>
        <v>4.7695527441352894</v>
      </c>
      <c r="J48" s="210">
        <f>Crescimento!D108</f>
        <v>2.0389983116327297</v>
      </c>
      <c r="K48" s="170">
        <f t="shared" si="0"/>
        <v>-57.249695704908362</v>
      </c>
      <c r="L48" s="162"/>
      <c r="M48" s="212" t="s">
        <v>354</v>
      </c>
      <c r="N48" s="212" t="s">
        <v>354</v>
      </c>
      <c r="O48" s="162"/>
      <c r="P48" s="212" t="s">
        <v>354</v>
      </c>
      <c r="Q48" s="60"/>
      <c r="R48" s="149"/>
      <c r="S48" s="149"/>
      <c r="T48" s="157"/>
      <c r="U48" s="149"/>
      <c r="V48" s="149"/>
      <c r="W48" s="147"/>
      <c r="X48" s="147"/>
      <c r="Y48" s="147"/>
      <c r="Z48" s="147"/>
      <c r="AA48" s="147"/>
      <c r="AB48" s="147"/>
      <c r="AC48" s="146">
        <f>IF(C27="confinamento",IF(C24="Zebuíno",C209,IF(C24="Cruzado",D209)),IF(C27="pasto",IF(C24="Zebuíno",IF(C26="Macho não castrado",F209,G209),IF(C24="Cruzado",H209))))</f>
        <v>3.2919170346877453</v>
      </c>
      <c r="AD48" s="146"/>
      <c r="AE48" s="146"/>
      <c r="AF48" s="146"/>
      <c r="AG48" s="146"/>
      <c r="AH48" s="146"/>
      <c r="AI48" s="146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</row>
    <row r="49" spans="1:76" s="51" customFormat="1" ht="25.15" customHeight="1" x14ac:dyDescent="0.25">
      <c r="A49" s="28"/>
      <c r="B49" s="78"/>
      <c r="C49" s="77"/>
      <c r="D49" s="28"/>
      <c r="E49" s="68" t="s">
        <v>32</v>
      </c>
      <c r="F49" s="67" t="s">
        <v>33</v>
      </c>
      <c r="G49" s="67" t="s">
        <v>15</v>
      </c>
      <c r="H49" s="74">
        <f t="shared" si="2"/>
        <v>13.108121101801249</v>
      </c>
      <c r="I49" s="209">
        <f>(((10.4*$C$30)/1000)+($I$11*(0.03*$I$10^0.89)))/0.773</f>
        <v>14.242365502129859</v>
      </c>
      <c r="J49" s="209">
        <f>Crescimento!D124</f>
        <v>16.679089799507121</v>
      </c>
      <c r="K49" s="175">
        <f t="shared" si="0"/>
        <v>17.108985842364916</v>
      </c>
      <c r="L49" s="151"/>
      <c r="M49" s="179">
        <f>0.0015*M15*1000</f>
        <v>13.51468858075577</v>
      </c>
      <c r="N49" s="175">
        <f t="shared" si="1"/>
        <v>-23.414533008605893</v>
      </c>
      <c r="O49" s="151"/>
      <c r="P49" s="179">
        <f>0.15*P15*10</f>
        <v>13.51468858075577</v>
      </c>
      <c r="Q49" s="60"/>
      <c r="R49" s="149"/>
      <c r="S49" s="149"/>
      <c r="T49" s="157"/>
      <c r="U49" s="149"/>
      <c r="V49" s="149"/>
      <c r="W49" s="147"/>
      <c r="X49" s="147"/>
      <c r="Y49" s="147"/>
      <c r="Z49" s="147"/>
      <c r="AA49" s="147"/>
      <c r="AB49" s="146"/>
      <c r="AC49" s="146">
        <f>IF(C27="confinamento",IF(C24="Zebuíno",C208,IF(C24="Cruzado",D208)),IF(C27="pasto",IF(C24="Zebuíno",IF(C26="Macho não castrado",F208,G208),IF(C24="Cruzado",H208))))</f>
        <v>4.3371641538461541</v>
      </c>
      <c r="AD49" s="146"/>
      <c r="AE49" s="146"/>
      <c r="AF49" s="146"/>
      <c r="AG49" s="146"/>
      <c r="AH49" s="146"/>
      <c r="AI49" s="146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</row>
    <row r="50" spans="1:76" s="51" customFormat="1" ht="25.15" customHeight="1" x14ac:dyDescent="0.25">
      <c r="A50" s="28"/>
      <c r="B50" s="76" t="s">
        <v>363</v>
      </c>
      <c r="C50" s="69"/>
      <c r="D50" s="28"/>
      <c r="E50" s="73" t="s">
        <v>34</v>
      </c>
      <c r="F50" s="72" t="s">
        <v>35</v>
      </c>
      <c r="G50" s="72" t="s">
        <v>356</v>
      </c>
      <c r="H50" s="75">
        <f t="shared" si="2"/>
        <v>0.87387474012008326</v>
      </c>
      <c r="I50" s="211">
        <f>(((13.5*$C$30)/1000)+($I$11*(0.045*$I$10^-0.023)))/0.868</f>
        <v>6.2003857448693909</v>
      </c>
      <c r="J50" s="211">
        <f>Crescimento!D136</f>
        <v>6.7535532659292814</v>
      </c>
      <c r="K50" s="177">
        <f t="shared" si="0"/>
        <v>8.9215017229793787</v>
      </c>
      <c r="L50" s="151"/>
      <c r="M50" s="180">
        <f>0.5*M15</f>
        <v>4.5048961935852567</v>
      </c>
      <c r="N50" s="177">
        <f t="shared" si="1"/>
        <v>-49.915846574800057</v>
      </c>
      <c r="O50" s="151"/>
      <c r="P50" s="180">
        <f>0.5*P15</f>
        <v>4.5048961935852567</v>
      </c>
      <c r="Q50" s="60"/>
      <c r="R50" s="149"/>
      <c r="S50" s="149"/>
      <c r="T50" s="157"/>
      <c r="U50" s="149"/>
      <c r="V50" s="149"/>
      <c r="W50" s="147"/>
      <c r="X50" s="147"/>
      <c r="Y50" s="147"/>
      <c r="Z50" s="147"/>
      <c r="AA50" s="147"/>
      <c r="AB50" s="146"/>
      <c r="AC50" s="146">
        <f>IF(C27="confinamento",IF(C24="Zebuíno",C207,IF(C24="Cruzado",D207)),IF(C27="pasto",IF(C24="Zebuíno",IF(C26="Macho não castrado",F207,G207),IF(C24="Cruzado",H207))))</f>
        <v>2.6106461538461541</v>
      </c>
      <c r="AD50" s="146"/>
      <c r="AE50" s="146"/>
      <c r="AF50" s="146"/>
      <c r="AG50" s="146"/>
      <c r="AH50" s="146"/>
      <c r="AI50" s="146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</row>
    <row r="51" spans="1:76" s="51" customFormat="1" ht="25.15" customHeight="1" x14ac:dyDescent="0.25">
      <c r="A51" s="28"/>
      <c r="B51" s="70" t="s">
        <v>362</v>
      </c>
      <c r="C51" s="69"/>
      <c r="D51" s="28"/>
      <c r="E51" s="68" t="s">
        <v>36</v>
      </c>
      <c r="F51" s="67" t="s">
        <v>37</v>
      </c>
      <c r="G51" s="67" t="s">
        <v>356</v>
      </c>
      <c r="H51" s="74">
        <f t="shared" si="2"/>
        <v>87.387474012008326</v>
      </c>
      <c r="I51" s="209">
        <f>(((95.6*$C$30)/1000)+($I$11*(1.25*$I$10^0.33)))/0.735</f>
        <v>66.128014769360348</v>
      </c>
      <c r="J51" s="209">
        <f>Crescimento!D130</f>
        <v>73.329932205498878</v>
      </c>
      <c r="K51" s="175">
        <f t="shared" si="0"/>
        <v>10.890871987095331</v>
      </c>
      <c r="L51" s="151"/>
      <c r="M51" s="193">
        <f>10*M15</f>
        <v>90.097923871705135</v>
      </c>
      <c r="N51" s="175">
        <f t="shared" si="1"/>
        <v>18.610852443262761</v>
      </c>
      <c r="O51" s="151"/>
      <c r="P51" s="193">
        <f>10*P15</f>
        <v>90.097923871705135</v>
      </c>
      <c r="Q51" s="60"/>
      <c r="R51" s="149"/>
      <c r="S51" s="149"/>
      <c r="T51" s="157"/>
      <c r="U51" s="149"/>
      <c r="V51" s="149"/>
      <c r="W51" s="146"/>
      <c r="X51" s="146"/>
      <c r="Y51" s="146"/>
      <c r="Z51" s="146"/>
      <c r="AA51" s="146"/>
      <c r="AB51" s="146"/>
      <c r="AC51" s="146">
        <f>IF(C27="confinamento",IF(C24="Zebuíno",IF(C26="fêmea",C206,C205),IF(C26="fêmea",D206,D205)),IF(C26="fêmea",F206,F205))</f>
        <v>1.7265180000000002</v>
      </c>
      <c r="AD51" s="146"/>
      <c r="AE51" s="146"/>
      <c r="AF51" s="146"/>
      <c r="AG51" s="146"/>
      <c r="AH51" s="146"/>
      <c r="AI51" s="146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</row>
    <row r="52" spans="1:76" s="51" customFormat="1" ht="25.15" customHeight="1" x14ac:dyDescent="0.25">
      <c r="A52" s="28"/>
      <c r="B52" s="70" t="s">
        <v>361</v>
      </c>
      <c r="C52" s="69"/>
      <c r="D52" s="28"/>
      <c r="E52" s="73" t="s">
        <v>360</v>
      </c>
      <c r="F52" s="72" t="s">
        <v>359</v>
      </c>
      <c r="G52" s="72" t="s">
        <v>356</v>
      </c>
      <c r="H52" s="71">
        <f t="shared" si="2"/>
        <v>4.3693737006004163</v>
      </c>
      <c r="I52" s="211">
        <f>AC55</f>
        <v>4.3693737006004163</v>
      </c>
      <c r="J52" s="211"/>
      <c r="K52" s="177">
        <f t="shared" si="0"/>
        <v>-100</v>
      </c>
      <c r="L52" s="151"/>
      <c r="M52" s="180">
        <f>0.5*M15</f>
        <v>4.5048961935852567</v>
      </c>
      <c r="N52" s="177">
        <f t="shared" si="1"/>
        <v>100</v>
      </c>
      <c r="O52" s="151"/>
      <c r="P52" s="180">
        <f>0.5*P15</f>
        <v>4.5048961935852567</v>
      </c>
      <c r="Q52" s="60"/>
      <c r="R52" s="149"/>
      <c r="S52" s="149"/>
      <c r="T52" s="157"/>
      <c r="U52" s="149"/>
      <c r="V52" s="149"/>
      <c r="W52" s="146"/>
      <c r="X52" s="146"/>
      <c r="Y52" s="146"/>
      <c r="Z52" s="146"/>
      <c r="AA52" s="146"/>
      <c r="AB52" s="146"/>
      <c r="AC52" s="146">
        <f>0.0015*AC10*1000</f>
        <v>13.108121101801249</v>
      </c>
      <c r="AD52" s="146"/>
      <c r="AE52" s="146"/>
      <c r="AF52" s="146"/>
      <c r="AG52" s="146"/>
      <c r="AH52" s="146"/>
      <c r="AI52" s="146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</row>
    <row r="53" spans="1:76" s="51" customFormat="1" ht="25.15" customHeight="1" x14ac:dyDescent="0.25">
      <c r="A53" s="28"/>
      <c r="B53" s="70" t="s">
        <v>358</v>
      </c>
      <c r="C53" s="69"/>
      <c r="D53" s="28"/>
      <c r="E53" s="68" t="s">
        <v>38</v>
      </c>
      <c r="F53" s="67" t="s">
        <v>39</v>
      </c>
      <c r="G53" s="67" t="s">
        <v>356</v>
      </c>
      <c r="H53" s="66">
        <f t="shared" si="2"/>
        <v>436.93737006004164</v>
      </c>
      <c r="I53" s="213">
        <f>(((2942*$C$30)/1000)+($I$11*(10.4*$I$10^0.24)))/0.734</f>
        <v>1655.797006884354</v>
      </c>
      <c r="J53" s="213">
        <f>Crescimento!D148</f>
        <v>1808.6535252328345</v>
      </c>
      <c r="K53" s="175">
        <f t="shared" si="0"/>
        <v>9.2315976966345854</v>
      </c>
      <c r="L53" s="151"/>
      <c r="M53" s="214">
        <f>50*M15</f>
        <v>450.48961935852566</v>
      </c>
      <c r="N53" s="175">
        <f t="shared" si="1"/>
        <v>-301.48617138132175</v>
      </c>
      <c r="O53" s="151"/>
      <c r="P53" s="214">
        <f>50*P15</f>
        <v>450.48961935852566</v>
      </c>
      <c r="Q53" s="60"/>
      <c r="R53" s="149"/>
      <c r="S53" s="149"/>
      <c r="T53" s="157"/>
      <c r="U53" s="149"/>
      <c r="V53" s="149"/>
      <c r="W53" s="146"/>
      <c r="X53" s="146"/>
      <c r="Y53" s="146"/>
      <c r="Z53" s="146"/>
      <c r="AA53" s="146"/>
      <c r="AB53" s="146"/>
      <c r="AC53" s="146">
        <f>$AC$10*0.1</f>
        <v>0.87387474012008326</v>
      </c>
      <c r="AD53" s="146"/>
      <c r="AE53" s="146"/>
      <c r="AF53" s="146"/>
      <c r="AG53" s="146"/>
      <c r="AH53" s="146"/>
      <c r="AI53" s="146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</row>
    <row r="54" spans="1:76" s="51" customFormat="1" ht="25.15" customHeight="1" thickBot="1" x14ac:dyDescent="0.3">
      <c r="A54" s="28"/>
      <c r="B54" s="65" t="s">
        <v>357</v>
      </c>
      <c r="C54" s="64"/>
      <c r="D54" s="28"/>
      <c r="E54" s="63" t="s">
        <v>40</v>
      </c>
      <c r="F54" s="62" t="s">
        <v>41</v>
      </c>
      <c r="G54" s="62" t="s">
        <v>356</v>
      </c>
      <c r="H54" s="61">
        <f t="shared" si="2"/>
        <v>174.77494802401665</v>
      </c>
      <c r="I54" s="215">
        <f>(((184.9*$C$30)/1000)+($I$11*(0.07*$I$10^0.8)))/0.439</f>
        <v>188.02755044820719</v>
      </c>
      <c r="J54" s="215">
        <f>Crescimento!D154</f>
        <v>207.39494621759147</v>
      </c>
      <c r="K54" s="216">
        <f t="shared" si="0"/>
        <v>10.300296803961761</v>
      </c>
      <c r="L54" s="151"/>
      <c r="M54" s="217">
        <f>20*M15</f>
        <v>180.19584774341027</v>
      </c>
      <c r="N54" s="216">
        <f t="shared" si="1"/>
        <v>-15.0941871384913</v>
      </c>
      <c r="O54" s="151"/>
      <c r="P54" s="190">
        <f>20*P15</f>
        <v>180.19584774341027</v>
      </c>
      <c r="Q54" s="60"/>
      <c r="R54" s="149"/>
      <c r="S54" s="149"/>
      <c r="T54" s="157"/>
      <c r="U54" s="149"/>
      <c r="V54" s="149"/>
      <c r="W54" s="146"/>
      <c r="X54" s="146"/>
      <c r="Y54" s="146"/>
      <c r="Z54" s="146"/>
      <c r="AA54" s="146"/>
      <c r="AB54" s="146"/>
      <c r="AC54" s="146">
        <f>$AC$10*10</f>
        <v>87.387474012008326</v>
      </c>
      <c r="AD54" s="146"/>
      <c r="AE54" s="146"/>
      <c r="AF54" s="146"/>
      <c r="AG54" s="146"/>
      <c r="AH54" s="146"/>
      <c r="AI54" s="146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</row>
    <row r="55" spans="1:76" s="51" customFormat="1" ht="25.15" customHeight="1" x14ac:dyDescent="0.25">
      <c r="A55" s="28"/>
      <c r="D55" s="28"/>
      <c r="E55" s="59" t="s">
        <v>42</v>
      </c>
      <c r="F55" s="58" t="s">
        <v>43</v>
      </c>
      <c r="G55" s="58" t="s">
        <v>356</v>
      </c>
      <c r="H55" s="57">
        <f t="shared" si="2"/>
        <v>0.87387474012008326</v>
      </c>
      <c r="I55" s="218">
        <f>(((3.72*$C$30)/1000)+($I$11*(1.07*$I$10^-0.07)))/0.487</f>
        <v>4.8503806802942702</v>
      </c>
      <c r="J55" s="218">
        <f>Crescimento!D166</f>
        <v>5.3953865072349352</v>
      </c>
      <c r="K55" s="219">
        <f t="shared" si="0"/>
        <v>11.236351595141183</v>
      </c>
      <c r="L55" s="151"/>
      <c r="M55" s="179">
        <f>0.1*M15</f>
        <v>0.90097923871705143</v>
      </c>
      <c r="N55" s="219">
        <f t="shared" si="1"/>
        <v>-498.83583054784833</v>
      </c>
      <c r="O55" s="220"/>
      <c r="P55" s="179">
        <f>0.1*P15</f>
        <v>0.90097923871705143</v>
      </c>
      <c r="Q55" s="55"/>
      <c r="R55" s="149"/>
      <c r="S55" s="149"/>
      <c r="T55" s="157"/>
      <c r="U55" s="149"/>
      <c r="V55" s="149"/>
      <c r="W55" s="146"/>
      <c r="X55" s="146"/>
      <c r="Y55" s="146"/>
      <c r="Z55" s="146"/>
      <c r="AA55" s="146"/>
      <c r="AB55" s="146"/>
      <c r="AC55" s="146">
        <f>$AC$10*0.5</f>
        <v>4.3693737006004163</v>
      </c>
      <c r="AD55" s="146"/>
      <c r="AE55" s="146"/>
      <c r="AF55" s="146"/>
      <c r="AG55" s="146"/>
      <c r="AH55" s="146"/>
      <c r="AI55" s="146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</row>
    <row r="56" spans="1:76" s="48" customFormat="1" ht="25.15" customHeight="1" x14ac:dyDescent="0.25">
      <c r="A56" s="50"/>
      <c r="D56" s="50"/>
      <c r="E56" s="54" t="s">
        <v>44</v>
      </c>
      <c r="F56" s="53" t="s">
        <v>45</v>
      </c>
      <c r="G56" s="53" t="s">
        <v>356</v>
      </c>
      <c r="H56" s="52">
        <f t="shared" si="2"/>
        <v>262.16242203602496</v>
      </c>
      <c r="I56" s="52">
        <f>(((334.4*$C$30)/1000)+($I$11*(1.16*$I$10^0.86)))/0.668</f>
        <v>532.87896809304254</v>
      </c>
      <c r="J56" s="52"/>
      <c r="K56" s="225">
        <f t="shared" ref="K56" si="3">IF($C$24="Cruzado",IF($C$25="Leite","-",(I56-H56)/H56*100),(I56-H56)/H56*100)</f>
        <v>103.26291005192847</v>
      </c>
      <c r="L56" s="226"/>
      <c r="M56" s="227">
        <f>30*M15</f>
        <v>270.29377161511542</v>
      </c>
      <c r="N56" s="225">
        <f t="shared" ref="N56" si="4">((M56-I56)/M56)*100</f>
        <v>-97.148075188293674</v>
      </c>
      <c r="O56" s="226"/>
      <c r="P56" s="227">
        <f>30*P15</f>
        <v>270.29377161511542</v>
      </c>
      <c r="Q56" s="228"/>
      <c r="T56" s="229"/>
      <c r="W56" s="50"/>
      <c r="X56" s="50"/>
      <c r="Y56" s="50"/>
      <c r="Z56" s="50"/>
      <c r="AA56" s="50"/>
      <c r="AB56" s="50"/>
      <c r="AC56" s="50">
        <f>$AC$10*50</f>
        <v>436.93737006004164</v>
      </c>
      <c r="AD56" s="50"/>
      <c r="AE56" s="50"/>
      <c r="AF56" s="50"/>
      <c r="AG56" s="50"/>
      <c r="AH56" s="50"/>
      <c r="AI56" s="50"/>
    </row>
    <row r="57" spans="1:76" s="48" customFormat="1" ht="25.15" customHeight="1" x14ac:dyDescent="0.25">
      <c r="A57" s="50"/>
      <c r="B57" s="48">
        <v>478</v>
      </c>
      <c r="D57" s="50"/>
      <c r="E57" s="230"/>
      <c r="F57" s="231"/>
      <c r="G57" s="231"/>
      <c r="H57" s="232" t="s">
        <v>354</v>
      </c>
      <c r="I57" s="232" t="s">
        <v>354</v>
      </c>
      <c r="J57" s="232"/>
      <c r="K57" s="233" t="s">
        <v>354</v>
      </c>
      <c r="L57" s="234"/>
      <c r="M57" s="225">
        <f>M12*0.891</f>
        <v>382.29835253043552</v>
      </c>
      <c r="N57" s="233" t="s">
        <v>354</v>
      </c>
      <c r="O57" s="234"/>
      <c r="P57" s="225">
        <f>P12*0.891</f>
        <v>261.63084499199999</v>
      </c>
      <c r="Q57" s="235" t="s">
        <v>355</v>
      </c>
      <c r="T57" s="229"/>
      <c r="W57" s="50"/>
      <c r="X57" s="50"/>
      <c r="Y57" s="50"/>
      <c r="Z57" s="50"/>
      <c r="AA57" s="50"/>
      <c r="AB57" s="50"/>
      <c r="AC57" s="50">
        <f>$AC$10*20</f>
        <v>174.77494802401665</v>
      </c>
      <c r="AD57" s="50"/>
      <c r="AE57" s="50"/>
      <c r="AF57" s="50"/>
      <c r="AG57" s="50"/>
      <c r="AH57" s="50"/>
      <c r="AI57" s="50"/>
    </row>
    <row r="58" spans="1:76" s="48" customFormat="1" ht="25.15" customHeight="1" x14ac:dyDescent="0.25">
      <c r="A58" s="50"/>
      <c r="B58" s="48">
        <v>462</v>
      </c>
      <c r="D58" s="50"/>
      <c r="E58" s="236"/>
      <c r="F58" s="231"/>
      <c r="G58" s="231"/>
      <c r="H58" s="232" t="s">
        <v>354</v>
      </c>
      <c r="I58" s="232" t="s">
        <v>354</v>
      </c>
      <c r="J58" s="232"/>
      <c r="K58" s="233" t="s">
        <v>354</v>
      </c>
      <c r="L58" s="237"/>
      <c r="M58" s="238">
        <f>C31*0.956</f>
        <v>1.2427999999999999</v>
      </c>
      <c r="N58" s="233" t="s">
        <v>354</v>
      </c>
      <c r="O58" s="237"/>
      <c r="P58" s="233">
        <f>C31*0.956</f>
        <v>1.2427999999999999</v>
      </c>
      <c r="Q58" s="235" t="s">
        <v>353</v>
      </c>
      <c r="T58" s="229"/>
      <c r="W58" s="50"/>
      <c r="X58" s="50"/>
      <c r="Y58" s="50"/>
      <c r="Z58" s="50"/>
      <c r="AA58" s="50"/>
      <c r="AB58" s="50"/>
      <c r="AC58" s="50">
        <f>$AC$10*0.1</f>
        <v>0.87387474012008326</v>
      </c>
      <c r="AD58" s="50"/>
      <c r="AE58" s="50"/>
      <c r="AF58" s="50"/>
      <c r="AG58" s="50"/>
      <c r="AH58" s="50"/>
      <c r="AI58" s="50"/>
    </row>
    <row r="59" spans="1:76" s="48" customFormat="1" ht="25.15" customHeight="1" x14ac:dyDescent="0.25">
      <c r="A59" s="50"/>
      <c r="B59" s="48">
        <v>435</v>
      </c>
      <c r="D59" s="236"/>
      <c r="E59" s="236" t="s">
        <v>352</v>
      </c>
      <c r="F59" s="239" t="s">
        <v>26</v>
      </c>
      <c r="G59" s="239" t="s">
        <v>343</v>
      </c>
      <c r="H59" s="240">
        <f>IF($C$24="Cruzado",IF($C$25="Leite","-",AC36),AC36)</f>
        <v>46.9</v>
      </c>
      <c r="I59" s="240">
        <f>IF(I9&lt;=340,84.665-0.1179*I12,47.4)</f>
        <v>47.4</v>
      </c>
      <c r="J59" s="240"/>
      <c r="K59" s="233">
        <f>IF($C$24="Cruzado",IF($C$25="Leite","-",(I59-H59)/H59*100),(I59-H59)/H59*100)</f>
        <v>1.0660980810234542</v>
      </c>
      <c r="L59" s="36"/>
      <c r="M59" s="233">
        <f>IF(M62&gt;=1,1.2425+1.9218*M62-0.7259*M62*M62,1.2425+1.9218*0.95-0.7259*0.95*0.95)</f>
        <v>2.3760001021019286</v>
      </c>
      <c r="N59" s="233">
        <f>((M59-I59)/M59)*100</f>
        <v>-1894.9494092221457</v>
      </c>
      <c r="O59" s="36"/>
      <c r="P59" s="233">
        <f>IF(P62&gt;=1,1.2425+1.9218*P62-0.7259*P62*P62,1.2425+1.9218*0.95-0.7259*0.95*0.95)</f>
        <v>2.3760001021019286</v>
      </c>
      <c r="Q59" s="237" t="s">
        <v>351</v>
      </c>
      <c r="T59" s="36"/>
      <c r="W59" s="50"/>
      <c r="X59" s="50"/>
      <c r="Y59" s="50"/>
      <c r="Z59" s="50"/>
      <c r="AA59" s="50"/>
      <c r="AB59" s="50"/>
      <c r="AC59" s="50">
        <f>$AC$10*30</f>
        <v>262.16242203602496</v>
      </c>
      <c r="AD59" s="50"/>
      <c r="AE59" s="50"/>
      <c r="AF59" s="50"/>
      <c r="AG59" s="50"/>
      <c r="AH59" s="50"/>
      <c r="AI59" s="50"/>
    </row>
    <row r="60" spans="1:76" s="48" customFormat="1" ht="25.15" customHeight="1" x14ac:dyDescent="0.25">
      <c r="A60" s="50"/>
      <c r="B60" s="48">
        <v>400</v>
      </c>
      <c r="D60" s="236"/>
      <c r="E60" s="230" t="s">
        <v>350</v>
      </c>
      <c r="F60" s="231" t="s">
        <v>5</v>
      </c>
      <c r="G60" s="231" t="s">
        <v>347</v>
      </c>
      <c r="H60" s="241">
        <f>IF($C$24="Cruzado",IF($C$25="Leite","-",AC18),AC18)</f>
        <v>8.5552410117819608</v>
      </c>
      <c r="I60" s="241">
        <f>IF(C27="pasto",G95,C101)</f>
        <v>8.8123181428950357</v>
      </c>
      <c r="J60" s="241"/>
      <c r="K60" s="237">
        <f>IF($C$24="Cruzado",IF($C$25="Leite","-",(I60-H60)/H60*100),(I60-H60)/H60*100)</f>
        <v>3.0049081114025631</v>
      </c>
      <c r="L60" s="226"/>
      <c r="M60" s="233">
        <f>M16-(C34*M15/100)</f>
        <v>6.312440987901244</v>
      </c>
      <c r="N60" s="237">
        <f>((M60-I60)/M60)*100</f>
        <v>-39.60238455749824</v>
      </c>
      <c r="O60" s="226"/>
      <c r="P60" s="233">
        <f>P16-(C34*P15/100)</f>
        <v>6.312440987901244</v>
      </c>
      <c r="Q60" s="235" t="s">
        <v>349</v>
      </c>
      <c r="T60" s="36"/>
      <c r="W60" s="50"/>
      <c r="X60" s="50"/>
      <c r="Y60" s="50"/>
      <c r="Z60" s="50"/>
      <c r="AA60" s="50"/>
      <c r="AB60" s="50"/>
      <c r="AC60" s="50">
        <f>0.96*C30</f>
        <v>379.2</v>
      </c>
      <c r="AD60" s="50"/>
      <c r="AE60" s="50"/>
      <c r="AF60" s="50"/>
      <c r="AG60" s="50"/>
      <c r="AH60" s="50"/>
      <c r="AI60" s="50"/>
    </row>
    <row r="61" spans="1:76" s="48" customFormat="1" ht="25.15" customHeight="1" x14ac:dyDescent="0.25">
      <c r="A61" s="50"/>
      <c r="B61" s="242"/>
      <c r="C61" s="236"/>
      <c r="D61" s="236"/>
      <c r="E61" s="236" t="s">
        <v>348</v>
      </c>
      <c r="F61" s="239" t="s">
        <v>6</v>
      </c>
      <c r="G61" s="239" t="s">
        <v>347</v>
      </c>
      <c r="H61" s="240">
        <f>IF($C$24="Cruzado",IF($C$25="Leite","-",AC19),AC19)</f>
        <v>15.19478136602952</v>
      </c>
      <c r="I61" s="240">
        <f>IF(C27="pasto",G96,C102)</f>
        <v>15.513573692018547</v>
      </c>
      <c r="J61" s="240"/>
      <c r="K61" s="233">
        <f>IF($C$24="Cruzado",IF($C$25="Leite","-",(I61-H61)/H61*100),(I61-H61)/H61*100)</f>
        <v>2.0980382560932389</v>
      </c>
      <c r="L61" s="234"/>
      <c r="M61" s="234"/>
      <c r="N61" s="233"/>
      <c r="O61" s="234"/>
      <c r="P61" s="237"/>
      <c r="Q61" s="237"/>
      <c r="T61" s="36"/>
      <c r="W61" s="50"/>
      <c r="X61" s="50"/>
      <c r="Y61" s="50"/>
      <c r="Z61" s="50"/>
      <c r="AA61" s="50"/>
      <c r="AB61" s="50"/>
      <c r="AC61" s="50">
        <f>IF(C27="confinamento",IF(C24="Zebuíno",C146,D146),F146)</f>
        <v>339.38400000000001</v>
      </c>
      <c r="AD61" s="50"/>
      <c r="AE61" s="50"/>
      <c r="AF61" s="50"/>
      <c r="AG61" s="50"/>
      <c r="AH61" s="50"/>
      <c r="AI61" s="50"/>
    </row>
    <row r="62" spans="1:76" s="48" customFormat="1" ht="25.15" customHeight="1" x14ac:dyDescent="0.25">
      <c r="A62" s="50"/>
      <c r="B62" s="242"/>
      <c r="C62" s="236"/>
      <c r="D62" s="236"/>
      <c r="E62" s="236" t="s">
        <v>346</v>
      </c>
      <c r="F62" s="239" t="s">
        <v>10</v>
      </c>
      <c r="G62" s="239" t="s">
        <v>343</v>
      </c>
      <c r="H62" s="240">
        <f>IF($C$24="Cruzado",IF($C$25="Leite","-",AC23),AC23)</f>
        <v>68.578847071173939</v>
      </c>
      <c r="I62" s="240">
        <f>IF(C27="pasto",G93,C99)*100</f>
        <v>68.64220066448793</v>
      </c>
      <c r="J62" s="240"/>
      <c r="K62" s="233">
        <f>IF($C$24="Cruzado",IF($C$25="Leite","-",(I62-H62)/H62*100),(I62-H62)/H62*100)</f>
        <v>9.2380662579876982E-2</v>
      </c>
      <c r="L62" s="243"/>
      <c r="M62" s="233">
        <f>1.37*C33-0.138*C33*C33+0.0105*C33*C33*C33-1.12</f>
        <v>1.7605050345929398</v>
      </c>
      <c r="N62" s="233">
        <f>((M62-I62)/M62)*100</f>
        <v>-3799.0062121781571</v>
      </c>
      <c r="O62" s="243"/>
      <c r="P62" s="233">
        <f>1.37*C33-0.138*C33*C33+0.0105*C33*C33*C33-1.12</f>
        <v>1.7605050345929398</v>
      </c>
      <c r="Q62" s="244" t="s">
        <v>345</v>
      </c>
      <c r="T62" s="36"/>
      <c r="W62" s="50"/>
      <c r="X62" s="50"/>
      <c r="Y62" s="50"/>
      <c r="Z62" s="50"/>
      <c r="AA62" s="50"/>
      <c r="AB62" s="50"/>
      <c r="AC62" s="50">
        <f>IF(C27="confinamento",IF(C24="Zebuíno",C147,D147),F147)</f>
        <v>1.2558</v>
      </c>
      <c r="AD62" s="50"/>
      <c r="AE62" s="50"/>
      <c r="AF62" s="50"/>
      <c r="AG62" s="50"/>
      <c r="AH62" s="50"/>
      <c r="AI62" s="50"/>
    </row>
    <row r="63" spans="1:76" s="48" customFormat="1" ht="25.15" customHeight="1" x14ac:dyDescent="0.35">
      <c r="A63" s="50"/>
      <c r="B63" s="242"/>
      <c r="C63" s="236"/>
      <c r="D63" s="236"/>
      <c r="E63" s="230" t="s">
        <v>344</v>
      </c>
      <c r="F63" s="231" t="s">
        <v>1</v>
      </c>
      <c r="G63" s="231" t="s">
        <v>343</v>
      </c>
      <c r="H63" s="241">
        <f>IF($C$24="Cruzado",IF($C$25="Leite","-",AC24),AC24)</f>
        <v>46.88732411083204</v>
      </c>
      <c r="I63" s="241">
        <f>IF(C27="pasto",G92,C97)*100</f>
        <v>47.208401082133967</v>
      </c>
      <c r="J63" s="241"/>
      <c r="K63" s="225">
        <f>IF($C$24="Cruzado",IF($C$25="Leite","-",(I63-H63)/H63*100),(I63-H63)/H63*100)</f>
        <v>0.6847841658503846</v>
      </c>
      <c r="L63" s="243"/>
      <c r="M63" s="233">
        <f>1.42*C33-0.174*C33*C33+0.0122*C33*C33*C33-1.65</f>
        <v>1.1389142862477839</v>
      </c>
      <c r="N63" s="225">
        <f>((M63-I63)/M63)*100</f>
        <v>-4045.0354651063917</v>
      </c>
      <c r="O63" s="243"/>
      <c r="P63" s="233">
        <f>1.42*C33-0.174*C33*C33+0.0122*C33*C33*C33-1.65</f>
        <v>1.1389142862477839</v>
      </c>
      <c r="Q63" s="244" t="s">
        <v>342</v>
      </c>
      <c r="S63" s="245"/>
      <c r="T63" s="35"/>
      <c r="W63" s="50"/>
      <c r="X63" s="50"/>
      <c r="Y63" s="50"/>
      <c r="Z63" s="50"/>
      <c r="AA63" s="50"/>
      <c r="AB63" s="50"/>
      <c r="AC63" s="50">
        <f>IF(C27="confinamento",IF(C24="Zebuíno",C148,D148),F148)</f>
        <v>328.19551648351649</v>
      </c>
      <c r="AD63" s="50"/>
      <c r="AE63" s="50"/>
      <c r="AF63" s="50"/>
      <c r="AG63" s="50"/>
      <c r="AH63" s="50"/>
      <c r="AI63" s="50"/>
    </row>
    <row r="64" spans="1:76" s="49" customFormat="1" ht="19.5" customHeight="1" x14ac:dyDescent="0.35">
      <c r="A64" s="50"/>
      <c r="B64" s="242"/>
      <c r="C64" s="236"/>
      <c r="D64" s="236"/>
      <c r="S64" s="246"/>
      <c r="T64" s="35"/>
      <c r="U64" s="48"/>
      <c r="V64" s="48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1:35" s="35" customFormat="1" ht="23.25" x14ac:dyDescent="0.35">
      <c r="A65" s="36"/>
      <c r="B65" s="40"/>
      <c r="C65" s="36"/>
      <c r="D65" s="36"/>
      <c r="U65" s="48"/>
      <c r="V65" s="48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</row>
    <row r="66" spans="1:35" s="35" customFormat="1" ht="23.25" x14ac:dyDescent="0.35">
      <c r="A66" s="36"/>
      <c r="B66" s="40"/>
      <c r="C66" s="36"/>
      <c r="D66" s="36"/>
      <c r="U66" s="48"/>
      <c r="V66" s="48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</row>
    <row r="67" spans="1:35" s="35" customFormat="1" ht="23.25" x14ac:dyDescent="0.35">
      <c r="A67" s="36"/>
      <c r="B67" s="40"/>
      <c r="C67" s="36"/>
      <c r="D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:35" s="35" customFormat="1" ht="23.25" x14ac:dyDescent="0.35">
      <c r="A68" s="36"/>
      <c r="B68" s="40"/>
      <c r="C68" s="36"/>
      <c r="D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s="35" customFormat="1" ht="23.25" x14ac:dyDescent="0.35">
      <c r="A69" s="36"/>
      <c r="B69" s="40"/>
      <c r="C69" s="36"/>
      <c r="D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:35" s="35" customFormat="1" ht="23.25" x14ac:dyDescent="0.35">
      <c r="A70" s="36"/>
      <c r="B70" s="40"/>
      <c r="C70" s="36"/>
      <c r="D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 s="35" customFormat="1" ht="23.25" x14ac:dyDescent="0.35">
      <c r="A71" s="36"/>
      <c r="B71" s="522" t="s">
        <v>341</v>
      </c>
      <c r="C71" s="523"/>
      <c r="D71" s="523"/>
      <c r="E71" s="523"/>
      <c r="F71" s="523"/>
      <c r="G71" s="523"/>
      <c r="H71" s="523"/>
      <c r="I71" s="38"/>
      <c r="J71" s="38"/>
      <c r="K71" s="36"/>
      <c r="L71" s="36"/>
      <c r="M71" s="36"/>
      <c r="N71" s="36"/>
      <c r="O71" s="36"/>
      <c r="P71" s="36"/>
      <c r="Q71" s="522"/>
      <c r="R71" s="522"/>
      <c r="S71" s="522"/>
      <c r="T71" s="522"/>
      <c r="U71" s="522"/>
      <c r="V71" s="522"/>
      <c r="W71" s="523"/>
      <c r="X71" s="523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</row>
    <row r="72" spans="1:35" s="35" customFormat="1" ht="23.25" x14ac:dyDescent="0.35">
      <c r="A72" s="36"/>
      <c r="B72" s="40"/>
      <c r="C72" s="36"/>
      <c r="D72" s="36"/>
      <c r="E72" s="37"/>
      <c r="F72" s="36"/>
      <c r="G72" s="36"/>
      <c r="H72" s="36"/>
      <c r="I72" s="38"/>
      <c r="J72" s="38"/>
      <c r="K72" s="36"/>
      <c r="L72" s="36"/>
      <c r="M72" s="36"/>
      <c r="N72" s="36"/>
      <c r="O72" s="36"/>
      <c r="P72" s="36"/>
      <c r="Q72" s="36"/>
      <c r="R72" s="36"/>
      <c r="S72" s="38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</row>
    <row r="73" spans="1:35" s="35" customFormat="1" ht="23.25" x14ac:dyDescent="0.35">
      <c r="A73" s="36"/>
      <c r="B73" s="40" t="s">
        <v>50</v>
      </c>
      <c r="C73" s="36" t="s">
        <v>13</v>
      </c>
      <c r="D73" s="36"/>
      <c r="E73" s="37"/>
      <c r="F73" s="36"/>
      <c r="G73" s="36"/>
      <c r="H73" s="36"/>
      <c r="I73" s="38"/>
      <c r="J73" s="38"/>
      <c r="K73" s="36"/>
      <c r="L73" s="36"/>
      <c r="M73" s="36"/>
      <c r="N73" s="36"/>
      <c r="O73" s="36"/>
      <c r="P73" s="36"/>
      <c r="Q73" s="36"/>
      <c r="R73" s="36"/>
      <c r="S73" s="38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</row>
    <row r="74" spans="1:35" s="35" customFormat="1" ht="23.25" x14ac:dyDescent="0.35">
      <c r="A74" s="36"/>
      <c r="B74" s="38"/>
      <c r="C74" s="522" t="s">
        <v>294</v>
      </c>
      <c r="D74" s="523"/>
      <c r="E74" s="36"/>
      <c r="F74" s="37"/>
      <c r="G74" s="36"/>
      <c r="H74" s="36"/>
      <c r="I74" s="38"/>
      <c r="J74" s="38"/>
      <c r="K74" s="36"/>
      <c r="L74" s="36"/>
      <c r="M74" s="36"/>
      <c r="N74" s="36"/>
      <c r="O74" s="36"/>
      <c r="P74" s="36"/>
      <c r="Q74" s="37"/>
      <c r="R74" s="37"/>
      <c r="S74" s="38"/>
      <c r="T74" s="37"/>
      <c r="U74" s="37"/>
      <c r="V74" s="37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s="35" customFormat="1" ht="23.25" x14ac:dyDescent="0.35">
      <c r="A75" s="36"/>
      <c r="B75" s="36"/>
      <c r="C75" s="38" t="s">
        <v>12</v>
      </c>
      <c r="D75" s="38" t="s">
        <v>51</v>
      </c>
      <c r="E75" s="36"/>
      <c r="F75" s="37"/>
      <c r="G75" s="36"/>
      <c r="H75" s="36"/>
      <c r="I75" s="38"/>
      <c r="J75" s="38"/>
      <c r="K75" s="36"/>
      <c r="L75" s="36"/>
      <c r="M75" s="36"/>
      <c r="N75" s="36"/>
      <c r="O75" s="36"/>
      <c r="P75" s="36"/>
      <c r="Q75" s="37"/>
      <c r="R75" s="37"/>
      <c r="S75" s="38"/>
      <c r="T75" s="37"/>
      <c r="U75" s="37"/>
      <c r="V75" s="37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s="35" customFormat="1" ht="23.25" x14ac:dyDescent="0.35">
      <c r="A76" s="36"/>
      <c r="B76" s="37" t="s">
        <v>46</v>
      </c>
      <c r="C76" s="43">
        <f>0.88*C30^1.0175</f>
        <v>385.94037718274171</v>
      </c>
      <c r="D76" s="43">
        <f>0.9664*C30^1.0017</f>
        <v>385.62770873214663</v>
      </c>
      <c r="E76" s="36"/>
      <c r="F76" s="37" t="s">
        <v>46</v>
      </c>
      <c r="G76" s="36">
        <f>0.88*C30^1.0175</f>
        <v>385.94037718274171</v>
      </c>
      <c r="H76" s="36"/>
      <c r="I76" s="38"/>
      <c r="J76" s="38"/>
      <c r="K76" s="36"/>
      <c r="L76" s="36"/>
      <c r="M76" s="36"/>
      <c r="N76" s="36"/>
      <c r="O76" s="36"/>
      <c r="P76" s="36"/>
      <c r="Q76" s="37"/>
      <c r="R76" s="37"/>
      <c r="S76" s="38"/>
      <c r="T76" s="37"/>
      <c r="U76" s="37"/>
      <c r="V76" s="37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s="35" customFormat="1" ht="23.25" x14ac:dyDescent="0.35">
      <c r="A77" s="36"/>
      <c r="B77" s="42" t="s">
        <v>340</v>
      </c>
      <c r="C77" s="43">
        <f>0.8126*C76^1.0134</f>
        <v>339.66938573543683</v>
      </c>
      <c r="D77" s="43">
        <f>0.7248*D76^1.0314</f>
        <v>336.97066820600384</v>
      </c>
      <c r="E77" s="36"/>
      <c r="F77" s="37" t="s">
        <v>47</v>
      </c>
      <c r="G77" s="36">
        <f>0.8507*G76^1.0002</f>
        <v>328.71078521357475</v>
      </c>
      <c r="H77" s="36"/>
      <c r="I77" s="38"/>
      <c r="J77" s="38"/>
      <c r="K77" s="36"/>
      <c r="L77" s="36"/>
      <c r="M77" s="36"/>
      <c r="N77" s="36"/>
      <c r="O77" s="36"/>
      <c r="P77" s="36"/>
      <c r="Q77" s="37"/>
      <c r="R77" s="37"/>
      <c r="S77" s="38"/>
      <c r="T77" s="37"/>
      <c r="U77" s="37"/>
      <c r="V77" s="37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s="35" customFormat="1" ht="23.25" x14ac:dyDescent="0.35">
      <c r="A78" s="36"/>
      <c r="B78" s="42" t="s">
        <v>339</v>
      </c>
      <c r="C78" s="43">
        <f>0.6241*C76^1.0608</f>
        <v>345.96712192580924</v>
      </c>
      <c r="D78" s="43">
        <f>0.6586*D76^1.0499</f>
        <v>341.8532815033966</v>
      </c>
      <c r="E78" s="37"/>
      <c r="F78" s="247"/>
      <c r="G78" s="36"/>
      <c r="H78" s="36"/>
      <c r="I78" s="38"/>
      <c r="J78" s="38"/>
      <c r="K78" s="36"/>
      <c r="L78" s="36"/>
      <c r="M78" s="36"/>
      <c r="N78" s="36"/>
      <c r="O78" s="36"/>
      <c r="P78" s="36"/>
      <c r="Q78" s="247"/>
      <c r="R78" s="247"/>
      <c r="S78" s="247"/>
      <c r="T78" s="247"/>
      <c r="U78" s="247"/>
      <c r="V78" s="247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s="35" customFormat="1" ht="23.25" x14ac:dyDescent="0.35">
      <c r="A79" s="36"/>
      <c r="B79" s="42" t="s">
        <v>338</v>
      </c>
      <c r="C79" s="43">
        <f>0.611*C76^1.0667</f>
        <v>350.81836942719838</v>
      </c>
      <c r="D79" s="43">
        <f>0.6314*D76^1.0602</f>
        <v>348.46578088249015</v>
      </c>
      <c r="E79" s="37"/>
      <c r="F79" s="36"/>
      <c r="G79" s="36"/>
      <c r="H79" s="36"/>
      <c r="I79" s="38"/>
      <c r="J79" s="38"/>
      <c r="K79" s="36"/>
      <c r="L79" s="36"/>
      <c r="M79" s="36"/>
      <c r="N79" s="36"/>
      <c r="O79" s="36"/>
      <c r="P79" s="36"/>
      <c r="Q79" s="36"/>
      <c r="R79" s="36"/>
      <c r="S79" s="38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s="35" customFormat="1" ht="23.25" x14ac:dyDescent="0.35">
      <c r="A80" s="36"/>
      <c r="B80" s="42" t="s">
        <v>337</v>
      </c>
      <c r="C80" s="43">
        <f>IF(C26="Macho não castrado",C77,IF(C26="macho castrado",C78,C79))</f>
        <v>350.81836942719838</v>
      </c>
      <c r="D80" s="43">
        <f>IF(C26="Macho não castrado",D77,IF(C26="macho castrado",D78,D79))</f>
        <v>348.46578088249015</v>
      </c>
      <c r="E80" s="37"/>
      <c r="F80" s="36"/>
      <c r="G80" s="36"/>
      <c r="H80" s="36"/>
      <c r="I80" s="38"/>
      <c r="J80" s="38"/>
      <c r="K80" s="36"/>
      <c r="L80" s="36"/>
      <c r="M80" s="36"/>
      <c r="N80" s="36"/>
      <c r="O80" s="36"/>
      <c r="P80" s="36"/>
      <c r="Q80" s="36"/>
      <c r="R80" s="36"/>
      <c r="S80" s="38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s="35" customFormat="1" ht="23.25" x14ac:dyDescent="0.35">
      <c r="A81" s="36"/>
      <c r="B81" s="42" t="s">
        <v>0</v>
      </c>
      <c r="C81" s="46">
        <f>-1.7824+0.07765*C30^0.75+4.0415*C31-0.8973*C31^2</f>
        <v>8.8351263633338384</v>
      </c>
      <c r="D81" s="38" t="s">
        <v>327</v>
      </c>
      <c r="E81" s="45" t="s">
        <v>13</v>
      </c>
      <c r="F81" s="36"/>
      <c r="G81" s="36"/>
      <c r="H81" s="36"/>
      <c r="I81" s="38"/>
      <c r="J81" s="38"/>
      <c r="K81" s="36"/>
      <c r="L81" s="36"/>
      <c r="M81" s="36"/>
      <c r="N81" s="36"/>
      <c r="O81" s="36"/>
      <c r="P81" s="36"/>
      <c r="Q81" s="36"/>
      <c r="R81" s="36"/>
      <c r="S81" s="38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s="35" customFormat="1" ht="23.25" x14ac:dyDescent="0.35">
      <c r="A82" s="36"/>
      <c r="B82" s="42" t="s">
        <v>0</v>
      </c>
      <c r="C82" s="38"/>
      <c r="D82" s="46">
        <f>-0.6273+0.06453*C30^0.75+3.871*C31-0.614*C31^2</f>
        <v>9.0848836231285581</v>
      </c>
      <c r="E82" s="47">
        <f>-2.8836+0.08435*C30^0.75+4.5145*C31-0.9631*C31^2</f>
        <v>8.831263636152082</v>
      </c>
      <c r="F82" s="36"/>
      <c r="G82" s="36"/>
      <c r="H82" s="36"/>
      <c r="I82" s="38"/>
      <c r="J82" s="38"/>
      <c r="K82" s="36"/>
      <c r="L82" s="36"/>
      <c r="M82" s="36"/>
      <c r="N82" s="36"/>
      <c r="O82" s="36"/>
      <c r="P82" s="36"/>
      <c r="Q82" s="36"/>
      <c r="R82" s="36"/>
      <c r="S82" s="38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s="35" customFormat="1" ht="23.25" x14ac:dyDescent="0.35">
      <c r="A83" s="36"/>
      <c r="B83" s="42"/>
      <c r="C83" s="36"/>
      <c r="D83" s="36"/>
      <c r="E83" s="37"/>
      <c r="F83" s="36"/>
      <c r="G83" s="36"/>
      <c r="H83" s="36"/>
      <c r="I83" s="38"/>
      <c r="J83" s="38"/>
      <c r="K83" s="36"/>
      <c r="L83" s="36"/>
      <c r="M83" s="36"/>
      <c r="N83" s="36"/>
      <c r="O83" s="36"/>
      <c r="P83" s="36"/>
      <c r="Q83" s="36"/>
      <c r="R83" s="36"/>
      <c r="S83" s="38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s="35" customFormat="1" ht="23.25" x14ac:dyDescent="0.35">
      <c r="A84" s="36"/>
      <c r="B84" s="42"/>
      <c r="C84" s="36"/>
      <c r="D84" s="36"/>
      <c r="E84" s="37"/>
      <c r="F84" s="36"/>
      <c r="G84" s="36"/>
      <c r="H84" s="36"/>
      <c r="I84" s="38"/>
      <c r="J84" s="38"/>
      <c r="K84" s="36"/>
      <c r="L84" s="36"/>
      <c r="M84" s="36"/>
      <c r="N84" s="36"/>
      <c r="O84" s="36"/>
      <c r="P84" s="36"/>
      <c r="Q84" s="36"/>
      <c r="R84" s="36"/>
      <c r="S84" s="38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s="35" customFormat="1" ht="23.25" x14ac:dyDescent="0.35">
      <c r="A85" s="36"/>
      <c r="B85" s="522" t="s">
        <v>317</v>
      </c>
      <c r="C85" s="523"/>
      <c r="D85" s="523"/>
      <c r="E85" s="523"/>
      <c r="F85" s="523"/>
      <c r="G85" s="523"/>
      <c r="H85" s="523"/>
      <c r="I85" s="38"/>
      <c r="J85" s="38"/>
      <c r="K85" s="36"/>
      <c r="L85" s="36"/>
      <c r="M85" s="36"/>
      <c r="N85" s="36"/>
      <c r="O85" s="36"/>
      <c r="P85" s="36"/>
      <c r="Q85" s="36"/>
      <c r="R85" s="36"/>
      <c r="S85" s="38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s="35" customFormat="1" ht="23.25" x14ac:dyDescent="0.35">
      <c r="A86" s="36"/>
      <c r="B86" s="38"/>
      <c r="C86" s="522" t="s">
        <v>294</v>
      </c>
      <c r="D86" s="523"/>
      <c r="E86" s="36"/>
      <c r="F86" s="36"/>
      <c r="G86" s="36" t="s">
        <v>293</v>
      </c>
      <c r="H86" s="36"/>
      <c r="I86" s="38"/>
      <c r="J86" s="38"/>
      <c r="K86" s="36"/>
      <c r="L86" s="36"/>
      <c r="M86" s="36"/>
      <c r="N86" s="36"/>
      <c r="O86" s="36"/>
      <c r="P86" s="36"/>
      <c r="Q86" s="36"/>
      <c r="R86" s="36"/>
      <c r="S86" s="38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s="35" customFormat="1" ht="23.25" x14ac:dyDescent="0.35">
      <c r="A87" s="36"/>
      <c r="B87" s="36"/>
      <c r="C87" s="38" t="s">
        <v>12</v>
      </c>
      <c r="D87" s="38" t="s">
        <v>51</v>
      </c>
      <c r="E87" s="36"/>
      <c r="F87" s="36"/>
      <c r="G87" s="38" t="s">
        <v>12</v>
      </c>
      <c r="H87" s="38" t="s">
        <v>51</v>
      </c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8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s="35" customFormat="1" ht="23.25" x14ac:dyDescent="0.35">
      <c r="A88" s="36"/>
      <c r="B88" s="37" t="s">
        <v>49</v>
      </c>
      <c r="C88" s="38"/>
      <c r="D88" s="38" t="s">
        <v>327</v>
      </c>
      <c r="E88" s="45" t="s">
        <v>13</v>
      </c>
      <c r="F88" s="36"/>
      <c r="G88" s="38"/>
      <c r="H88" s="38" t="s">
        <v>327</v>
      </c>
      <c r="I88" s="45" t="s">
        <v>13</v>
      </c>
      <c r="J88" s="45"/>
      <c r="K88" s="36"/>
      <c r="L88" s="36"/>
      <c r="M88" s="36"/>
      <c r="N88" s="36"/>
      <c r="O88" s="36"/>
      <c r="P88" s="36"/>
      <c r="Q88" s="36"/>
      <c r="R88" s="36"/>
      <c r="S88" s="38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s="35" customFormat="1" ht="23.25" x14ac:dyDescent="0.35">
      <c r="A89" s="36"/>
      <c r="B89" s="42" t="s">
        <v>336</v>
      </c>
      <c r="C89" s="43">
        <f>(C77/517)*517</f>
        <v>339.66938573543683</v>
      </c>
      <c r="D89" s="43">
        <f>(D77/560)*517</f>
        <v>311.09613475447139</v>
      </c>
      <c r="E89" s="44">
        <f>(D77/616)*517</f>
        <v>282.81466795861036</v>
      </c>
      <c r="F89" s="37" t="s">
        <v>52</v>
      </c>
      <c r="G89" s="46">
        <f>0.052*C92^0.75*$I$11^1.062</f>
        <v>6.4894760034284751</v>
      </c>
      <c r="H89" s="46">
        <f>0.052*D92^0.75*$I$11^1.062</f>
        <v>6.2818200012447596</v>
      </c>
      <c r="I89" s="47">
        <f>0.052*E92^0.75*$I$11^1.062</f>
        <v>5.5405431275960746</v>
      </c>
      <c r="J89" s="47"/>
      <c r="K89" s="36"/>
      <c r="L89" s="36"/>
      <c r="M89" s="36"/>
      <c r="N89" s="36"/>
      <c r="O89" s="36"/>
      <c r="P89" s="36"/>
      <c r="Q89" s="36"/>
      <c r="R89" s="36"/>
      <c r="S89" s="38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s="35" customFormat="1" ht="23.25" x14ac:dyDescent="0.35">
      <c r="A90" s="36"/>
      <c r="B90" s="42" t="s">
        <v>335</v>
      </c>
      <c r="C90" s="43">
        <f>(C78/433)*517</f>
        <v>413.08314557885308</v>
      </c>
      <c r="D90" s="43">
        <f>(D78/482)*517</f>
        <v>366.67665256692129</v>
      </c>
      <c r="E90" s="44">
        <f>(D78/532)*517</f>
        <v>332.21456116025576</v>
      </c>
      <c r="F90" s="37" t="s">
        <v>334</v>
      </c>
      <c r="G90" s="46">
        <f>IF(C24="Zebuíno",G89,IF(C25="corte",H89,I89))</f>
        <v>6.2818200012447596</v>
      </c>
      <c r="H90" s="36"/>
      <c r="I90" s="38"/>
      <c r="J90" s="38"/>
      <c r="K90" s="36"/>
      <c r="L90" s="36"/>
      <c r="M90" s="36"/>
      <c r="N90" s="36"/>
      <c r="O90" s="36"/>
      <c r="P90" s="36"/>
      <c r="Q90" s="36"/>
      <c r="R90" s="36"/>
      <c r="S90" s="38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</row>
    <row r="91" spans="1:35" s="35" customFormat="1" ht="23.25" x14ac:dyDescent="0.35">
      <c r="A91" s="36"/>
      <c r="B91" s="42" t="s">
        <v>333</v>
      </c>
      <c r="C91" s="43">
        <f>(C79/402)*517</f>
        <v>451.17685819368546</v>
      </c>
      <c r="D91" s="43">
        <f>(D79/417)*517</f>
        <v>432.03071634591703</v>
      </c>
      <c r="E91" s="44">
        <f>(D79/493)*517</f>
        <v>365.42963228447752</v>
      </c>
      <c r="F91" s="37" t="s">
        <v>53</v>
      </c>
      <c r="G91" s="46">
        <f>1.14*(G90/I11)^-1.137</f>
        <v>0.18296776822593946</v>
      </c>
      <c r="H91" s="36"/>
      <c r="I91" s="38"/>
      <c r="J91" s="38"/>
      <c r="K91" s="36"/>
      <c r="L91" s="36"/>
      <c r="M91" s="36"/>
      <c r="N91" s="36"/>
      <c r="O91" s="36"/>
      <c r="P91" s="36"/>
      <c r="Q91" s="36"/>
      <c r="R91" s="36"/>
      <c r="S91" s="38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</row>
    <row r="92" spans="1:35" s="35" customFormat="1" ht="23.25" x14ac:dyDescent="0.35">
      <c r="A92" s="36"/>
      <c r="B92" s="42" t="s">
        <v>332</v>
      </c>
      <c r="C92" s="43">
        <f>IF(C26="Macho não castrado",C89,IF(C26="macho castrado",C90,C91))</f>
        <v>451.17685819368546</v>
      </c>
      <c r="D92" s="43">
        <f>IF(C26="Macho não castrado",D89,IF(C26="macho castrado",D90,D91))</f>
        <v>432.03071634591703</v>
      </c>
      <c r="E92" s="44">
        <f>IF(C26="Macho não castrado",E89,IF(C26="macho castrado",E90,E91))</f>
        <v>365.42963228447752</v>
      </c>
      <c r="F92" s="37" t="s">
        <v>1</v>
      </c>
      <c r="G92" s="46">
        <f>0.327/(0.539+(1.14*(G90/I11)^-1.137))</f>
        <v>0.45292880706229183</v>
      </c>
      <c r="H92" s="36"/>
      <c r="I92" s="38"/>
      <c r="J92" s="38"/>
      <c r="K92" s="36"/>
      <c r="L92" s="36"/>
      <c r="M92" s="36"/>
      <c r="N92" s="36"/>
      <c r="O92" s="36"/>
      <c r="P92" s="36"/>
      <c r="Q92" s="36"/>
      <c r="R92" s="36"/>
      <c r="S92" s="38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</row>
    <row r="93" spans="1:35" s="35" customFormat="1" ht="23.25" x14ac:dyDescent="0.35">
      <c r="A93" s="36"/>
      <c r="B93" s="37" t="s">
        <v>8</v>
      </c>
      <c r="C93" s="46">
        <f>0.075*C80^0.75</f>
        <v>6.0795720208336101</v>
      </c>
      <c r="D93" s="46">
        <f>0.075*D80^0.75</f>
        <v>6.0489691028390862</v>
      </c>
      <c r="E93" s="47"/>
      <c r="F93" s="37" t="s">
        <v>10</v>
      </c>
      <c r="G93" s="46">
        <f>(0.513+0.173*G92+0.1*I11)*0.92</f>
        <v>0.65968014201554748</v>
      </c>
      <c r="H93" s="36"/>
      <c r="I93" s="38"/>
      <c r="J93" s="38"/>
      <c r="K93" s="36"/>
      <c r="L93" s="36"/>
      <c r="M93" s="36"/>
      <c r="N93" s="36"/>
      <c r="O93" s="36"/>
      <c r="P93" s="36"/>
      <c r="Q93" s="36"/>
      <c r="R93" s="36"/>
      <c r="S93" s="38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</row>
    <row r="94" spans="1:35" s="35" customFormat="1" ht="23.25" x14ac:dyDescent="0.35">
      <c r="A94" s="36"/>
      <c r="B94" s="37" t="s">
        <v>52</v>
      </c>
      <c r="C94" s="46">
        <f>0.061*C92^0.75*$I$11^1.035</f>
        <v>7.5658075016874866</v>
      </c>
      <c r="D94" s="46">
        <f>0.061*D92^0.75*$I$11^1.035</f>
        <v>7.3237100907005335</v>
      </c>
      <c r="E94" s="47">
        <f>0.061*E92^0.75*$I$11^1.035</f>
        <v>6.459486518794928</v>
      </c>
      <c r="F94" s="37" t="s">
        <v>5</v>
      </c>
      <c r="G94" s="46">
        <f>C93/$G$93</f>
        <v>9.2159391099123393</v>
      </c>
      <c r="H94" s="46">
        <f>D93/$G$93</f>
        <v>9.1695485699439523</v>
      </c>
      <c r="I94" s="38"/>
      <c r="J94" s="38"/>
      <c r="K94" s="36"/>
      <c r="L94" s="36"/>
      <c r="M94" s="36"/>
      <c r="N94" s="36"/>
      <c r="O94" s="36"/>
      <c r="P94" s="36"/>
      <c r="Q94" s="36"/>
      <c r="R94" s="36"/>
      <c r="S94" s="38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s="35" customFormat="1" ht="23.25" x14ac:dyDescent="0.35">
      <c r="A95" s="36"/>
      <c r="B95" s="37" t="s">
        <v>331</v>
      </c>
      <c r="C95" s="46">
        <f>IF(C24="Zebuíno",C94,IF(C25="corte",D94,E94))</f>
        <v>7.3237100907005335</v>
      </c>
      <c r="D95" s="46"/>
      <c r="E95" s="37"/>
      <c r="F95" s="37" t="s">
        <v>329</v>
      </c>
      <c r="G95" s="46">
        <f>IF(C24="Cruzado",H94,G94)</f>
        <v>9.1695485699439523</v>
      </c>
      <c r="H95" s="36"/>
      <c r="I95" s="38"/>
      <c r="J95" s="38"/>
      <c r="K95" s="36"/>
      <c r="L95" s="36"/>
      <c r="M95" s="36"/>
      <c r="N95" s="36"/>
      <c r="O95" s="36"/>
      <c r="P95" s="36"/>
      <c r="Q95" s="36"/>
      <c r="R95" s="36"/>
      <c r="S95" s="38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s="35" customFormat="1" ht="23.25" x14ac:dyDescent="0.35">
      <c r="A96" s="36"/>
      <c r="B96" s="37" t="s">
        <v>53</v>
      </c>
      <c r="C96" s="46">
        <f>1.14*(C95/I11)^-1.137</f>
        <v>0.15367332191802024</v>
      </c>
      <c r="D96" s="46"/>
      <c r="E96" s="37"/>
      <c r="F96" s="37" t="s">
        <v>6</v>
      </c>
      <c r="G96" s="46">
        <f>G90/$G$92</f>
        <v>13.869332008243877</v>
      </c>
      <c r="H96" s="36"/>
      <c r="I96" s="38"/>
      <c r="J96" s="38"/>
      <c r="K96" s="36"/>
      <c r="L96" s="36"/>
      <c r="M96" s="36"/>
      <c r="N96" s="36"/>
      <c r="O96" s="36"/>
      <c r="P96" s="36"/>
      <c r="Q96" s="36"/>
      <c r="R96" s="36"/>
      <c r="S96" s="38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s="35" customFormat="1" ht="23.25" x14ac:dyDescent="0.35">
      <c r="A97" s="36"/>
      <c r="B97" s="37" t="s">
        <v>1</v>
      </c>
      <c r="C97" s="46">
        <f>0.327/(0.539+(1.14*(C95/I11)^-1.137))</f>
        <v>0.47208401082133966</v>
      </c>
      <c r="D97" s="38"/>
      <c r="E97" s="37"/>
      <c r="F97" s="36"/>
      <c r="G97" s="36"/>
      <c r="H97" s="36"/>
      <c r="I97" s="38"/>
      <c r="J97" s="38"/>
      <c r="K97" s="36"/>
      <c r="L97" s="36"/>
      <c r="M97" s="36"/>
      <c r="N97" s="36"/>
      <c r="O97" s="36"/>
      <c r="P97" s="36"/>
      <c r="Q97" s="36"/>
      <c r="R97" s="36"/>
      <c r="S97" s="38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s="35" customFormat="1" ht="23.25" x14ac:dyDescent="0.35">
      <c r="A98" s="36"/>
      <c r="B98" s="37" t="s">
        <v>10</v>
      </c>
      <c r="C98" s="46">
        <f>0.513+0.173*C97+0.1*I11</f>
        <v>0.72035748287591028</v>
      </c>
      <c r="D98" s="46">
        <f>0.513+0.173*C97+0.073*I11</f>
        <v>0.68642200664487929</v>
      </c>
      <c r="E98" s="47">
        <f>0.513+0.173*C97+0.01*I11</f>
        <v>0.6072392287724736</v>
      </c>
      <c r="F98" s="36"/>
      <c r="G98" s="36"/>
      <c r="H98" s="36"/>
      <c r="I98" s="38"/>
      <c r="J98" s="38"/>
      <c r="K98" s="36"/>
      <c r="L98" s="36"/>
      <c r="M98" s="36"/>
      <c r="N98" s="36"/>
      <c r="O98" s="36"/>
      <c r="P98" s="36"/>
      <c r="Q98" s="36"/>
      <c r="R98" s="36"/>
      <c r="S98" s="38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s="35" customFormat="1" ht="23.25" x14ac:dyDescent="0.35">
      <c r="A99" s="36"/>
      <c r="B99" s="37" t="s">
        <v>330</v>
      </c>
      <c r="C99" s="46">
        <f>IF(C24="Cruzado",IF(C25="corte",D98,E98),C98)</f>
        <v>0.68642200664487929</v>
      </c>
      <c r="D99" s="38"/>
      <c r="E99" s="37"/>
      <c r="F99" s="36"/>
      <c r="G99" s="36"/>
      <c r="H99" s="36"/>
      <c r="I99" s="38"/>
      <c r="J99" s="38"/>
      <c r="K99" s="36"/>
      <c r="L99" s="36"/>
      <c r="M99" s="36"/>
      <c r="N99" s="36"/>
      <c r="O99" s="36"/>
      <c r="P99" s="36"/>
      <c r="Q99" s="36"/>
      <c r="R99" s="36"/>
      <c r="S99" s="38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s="35" customFormat="1" ht="23.25" x14ac:dyDescent="0.35">
      <c r="A100" s="36"/>
      <c r="B100" s="37" t="s">
        <v>5</v>
      </c>
      <c r="C100" s="46">
        <f>C93/$C$99</f>
        <v>8.8569013842513353</v>
      </c>
      <c r="D100" s="46">
        <f>D93/$C$99</f>
        <v>8.8123181428950357</v>
      </c>
      <c r="E100" s="37"/>
      <c r="F100" s="36"/>
      <c r="G100" s="36"/>
      <c r="H100" s="36"/>
      <c r="I100" s="38"/>
      <c r="J100" s="38"/>
      <c r="K100" s="36"/>
      <c r="L100" s="36"/>
      <c r="M100" s="36"/>
      <c r="N100" s="36"/>
      <c r="O100" s="36"/>
      <c r="P100" s="36"/>
      <c r="Q100" s="36"/>
      <c r="R100" s="36"/>
      <c r="S100" s="38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</row>
    <row r="101" spans="1:35" s="35" customFormat="1" ht="23.25" x14ac:dyDescent="0.35">
      <c r="A101" s="36"/>
      <c r="B101" s="37" t="s">
        <v>329</v>
      </c>
      <c r="C101" s="46">
        <f>IF(C24="Cruzado",D100,C100)</f>
        <v>8.8123181428950357</v>
      </c>
      <c r="D101" s="46"/>
      <c r="E101" s="37"/>
      <c r="F101" s="36"/>
      <c r="G101" s="36"/>
      <c r="H101" s="36"/>
      <c r="I101" s="38"/>
      <c r="J101" s="38"/>
      <c r="K101" s="36"/>
      <c r="L101" s="36"/>
      <c r="M101" s="36"/>
      <c r="N101" s="36"/>
      <c r="O101" s="36"/>
      <c r="P101" s="36"/>
      <c r="Q101" s="36"/>
      <c r="R101" s="36"/>
      <c r="S101" s="38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</row>
    <row r="102" spans="1:35" s="35" customFormat="1" ht="23.25" x14ac:dyDescent="0.35">
      <c r="A102" s="36"/>
      <c r="B102" s="37" t="s">
        <v>6</v>
      </c>
      <c r="C102" s="46">
        <f>C95/$C$97</f>
        <v>15.513573692018547</v>
      </c>
      <c r="D102" s="38"/>
      <c r="E102" s="37"/>
      <c r="F102" s="36"/>
      <c r="G102" s="36"/>
      <c r="H102" s="36"/>
      <c r="I102" s="38"/>
      <c r="J102" s="38"/>
      <c r="K102" s="36"/>
      <c r="L102" s="36"/>
      <c r="M102" s="36"/>
      <c r="N102" s="36"/>
      <c r="O102" s="36"/>
      <c r="P102" s="36"/>
      <c r="Q102" s="36"/>
      <c r="R102" s="36"/>
      <c r="S102" s="38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s="35" customFormat="1" ht="23.25" x14ac:dyDescent="0.35">
      <c r="A103" s="36"/>
      <c r="B103" s="37"/>
      <c r="C103" s="38"/>
      <c r="D103" s="38"/>
      <c r="E103" s="37"/>
      <c r="F103" s="36"/>
      <c r="G103" s="36"/>
      <c r="H103" s="36"/>
      <c r="I103" s="38"/>
      <c r="J103" s="38"/>
      <c r="K103" s="36"/>
      <c r="L103" s="36"/>
      <c r="M103" s="36"/>
      <c r="N103" s="36"/>
      <c r="O103" s="36"/>
      <c r="P103" s="36"/>
      <c r="Q103" s="36"/>
      <c r="R103" s="36"/>
      <c r="S103" s="38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s="35" customFormat="1" ht="23.25" x14ac:dyDescent="0.35">
      <c r="A104" s="36"/>
      <c r="B104" s="37"/>
      <c r="C104" s="38"/>
      <c r="D104" s="38"/>
      <c r="E104" s="38"/>
      <c r="F104" s="36"/>
      <c r="G104" s="36"/>
      <c r="H104" s="36"/>
      <c r="I104" s="38"/>
      <c r="J104" s="38"/>
      <c r="K104" s="36"/>
      <c r="L104" s="36"/>
      <c r="M104" s="36"/>
      <c r="N104" s="36"/>
      <c r="O104" s="36"/>
      <c r="P104" s="36"/>
      <c r="Q104" s="36"/>
      <c r="R104" s="36"/>
      <c r="S104" s="38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</row>
    <row r="105" spans="1:35" s="35" customFormat="1" ht="23.25" x14ac:dyDescent="0.35">
      <c r="A105" s="36"/>
      <c r="B105" s="42"/>
      <c r="C105" s="38"/>
      <c r="D105" s="38"/>
      <c r="E105" s="36"/>
      <c r="F105" s="36"/>
      <c r="G105" s="36"/>
      <c r="H105" s="36"/>
      <c r="I105" s="38"/>
      <c r="J105" s="38"/>
      <c r="K105" s="36"/>
      <c r="L105" s="36"/>
      <c r="M105" s="36"/>
      <c r="N105" s="36"/>
      <c r="O105" s="36"/>
      <c r="P105" s="36"/>
      <c r="Q105" s="36"/>
      <c r="R105" s="36"/>
      <c r="S105" s="38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</row>
    <row r="106" spans="1:35" s="35" customFormat="1" ht="23.25" x14ac:dyDescent="0.35">
      <c r="A106" s="36"/>
      <c r="B106" s="522" t="s">
        <v>328</v>
      </c>
      <c r="C106" s="523"/>
      <c r="D106" s="523"/>
      <c r="E106" s="523"/>
      <c r="F106" s="523"/>
      <c r="G106" s="523"/>
      <c r="H106" s="523"/>
      <c r="I106" s="38"/>
      <c r="J106" s="38"/>
      <c r="K106" s="36"/>
      <c r="L106" s="36"/>
      <c r="M106" s="36"/>
      <c r="N106" s="36"/>
      <c r="O106" s="36"/>
      <c r="P106" s="36"/>
      <c r="Q106" s="36"/>
      <c r="R106" s="36"/>
      <c r="S106" s="38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35" s="35" customFormat="1" ht="23.25" x14ac:dyDescent="0.35">
      <c r="A107" s="36"/>
      <c r="B107" s="38"/>
      <c r="C107" s="522" t="s">
        <v>294</v>
      </c>
      <c r="D107" s="523"/>
      <c r="E107" s="36"/>
      <c r="F107" s="36"/>
      <c r="G107" s="36" t="s">
        <v>293</v>
      </c>
      <c r="H107" s="36"/>
      <c r="I107" s="38"/>
      <c r="J107" s="38"/>
      <c r="K107" s="36"/>
      <c r="L107" s="36"/>
      <c r="M107" s="36"/>
      <c r="N107" s="36"/>
      <c r="O107" s="36"/>
      <c r="P107" s="36"/>
      <c r="Q107" s="36"/>
      <c r="R107" s="36"/>
      <c r="S107" s="38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35" s="35" customFormat="1" ht="23.25" x14ac:dyDescent="0.35">
      <c r="A108" s="36"/>
      <c r="B108" s="36"/>
      <c r="C108" s="38" t="s">
        <v>12</v>
      </c>
      <c r="D108" s="38" t="s">
        <v>51</v>
      </c>
      <c r="E108" s="36"/>
      <c r="F108" s="36"/>
      <c r="G108" s="38" t="s">
        <v>12</v>
      </c>
      <c r="H108" s="38" t="s">
        <v>51</v>
      </c>
      <c r="I108" s="38"/>
      <c r="J108" s="38"/>
      <c r="K108" s="36"/>
      <c r="L108" s="36"/>
      <c r="M108" s="36"/>
      <c r="N108" s="36"/>
      <c r="O108" s="36"/>
      <c r="P108" s="36"/>
      <c r="Q108" s="36"/>
      <c r="R108" s="36"/>
      <c r="S108" s="38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spans="1:35" s="35" customFormat="1" ht="23.25" x14ac:dyDescent="0.35">
      <c r="A109" s="36"/>
      <c r="B109" s="36"/>
      <c r="C109" s="36"/>
      <c r="D109" s="38" t="s">
        <v>327</v>
      </c>
      <c r="E109" s="45" t="s">
        <v>13</v>
      </c>
      <c r="F109" s="36"/>
      <c r="G109" s="38"/>
      <c r="H109" s="38" t="s">
        <v>327</v>
      </c>
      <c r="I109" s="45" t="s">
        <v>13</v>
      </c>
      <c r="J109" s="45"/>
      <c r="K109" s="36"/>
      <c r="L109" s="36"/>
      <c r="M109" s="36"/>
      <c r="N109" s="36"/>
      <c r="O109" s="36"/>
      <c r="P109" s="36"/>
      <c r="Q109" s="36"/>
      <c r="R109" s="36"/>
      <c r="S109" s="38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s="35" customFormat="1" ht="23.25" x14ac:dyDescent="0.35">
      <c r="A110" s="36"/>
      <c r="B110" s="42" t="s">
        <v>23</v>
      </c>
      <c r="C110" s="43">
        <f>3.6*I9^0.75</f>
        <v>313.27711792961844</v>
      </c>
      <c r="D110" s="36"/>
      <c r="E110" s="36"/>
      <c r="F110" s="42" t="s">
        <v>23</v>
      </c>
      <c r="G110" s="43">
        <f>3.9*I9^0.75</f>
        <v>339.38354442375328</v>
      </c>
      <c r="H110" s="36"/>
      <c r="I110" s="38"/>
      <c r="J110" s="38"/>
      <c r="K110" s="36"/>
      <c r="L110" s="36"/>
      <c r="M110" s="36"/>
      <c r="N110" s="36"/>
      <c r="O110" s="36"/>
      <c r="P110" s="36"/>
      <c r="Q110" s="36"/>
      <c r="R110" s="36"/>
      <c r="S110" s="38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s="35" customFormat="1" ht="23.25" x14ac:dyDescent="0.35">
      <c r="A111" s="36"/>
      <c r="B111" s="42" t="s">
        <v>326</v>
      </c>
      <c r="C111" s="43">
        <f>210.09*I11-10.01*I21</f>
        <v>190.74537315421003</v>
      </c>
      <c r="D111" s="43">
        <f>281.77*I11-27.66*I21</f>
        <v>151.57429509928266</v>
      </c>
      <c r="E111" s="44">
        <f>171.43*I11-3.08*I21</f>
        <v>192.90810959788843</v>
      </c>
      <c r="F111" s="42" t="s">
        <v>25</v>
      </c>
      <c r="G111" s="43">
        <f>181.43*I11-2.88*I21</f>
        <v>206.94154651641043</v>
      </c>
      <c r="H111" s="36"/>
      <c r="I111" s="38"/>
      <c r="J111" s="38"/>
      <c r="K111" s="36"/>
      <c r="L111" s="36"/>
      <c r="M111" s="36"/>
      <c r="N111" s="36"/>
      <c r="O111" s="36"/>
      <c r="P111" s="36"/>
      <c r="Q111" s="36"/>
      <c r="R111" s="36"/>
      <c r="S111" s="38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spans="1:35" s="35" customFormat="1" ht="23.25" x14ac:dyDescent="0.35">
      <c r="A112" s="36"/>
      <c r="B112" s="42" t="s">
        <v>325</v>
      </c>
      <c r="C112" s="43">
        <f>153.13*I11-2.53*I21</f>
        <v>173.93543848007494</v>
      </c>
      <c r="D112" s="43">
        <f>219.94*I11-12.04*I21</f>
        <v>188.25840614696401</v>
      </c>
      <c r="E112" s="44">
        <f>236.36*I11-19.84*I21</f>
        <v>151.77126446592689</v>
      </c>
      <c r="F112" s="36"/>
      <c r="G112" s="36"/>
      <c r="H112" s="36"/>
      <c r="I112" s="38"/>
      <c r="J112" s="38"/>
      <c r="K112" s="36"/>
      <c r="L112" s="36"/>
      <c r="M112" s="36"/>
      <c r="N112" s="36"/>
      <c r="O112" s="36"/>
      <c r="P112" s="36"/>
      <c r="Q112" s="36"/>
      <c r="R112" s="36"/>
      <c r="S112" s="38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spans="1:35" s="35" customFormat="1" ht="23.25" x14ac:dyDescent="0.35">
      <c r="A113" s="36"/>
      <c r="B113" s="42" t="s">
        <v>324</v>
      </c>
      <c r="C113" s="43">
        <f>193.9*I11-12.16*I21</f>
        <v>154.65067941548563</v>
      </c>
      <c r="D113" s="43">
        <f>174.65*I11-3.14*I21</f>
        <v>196.51580675036936</v>
      </c>
      <c r="E113" s="44">
        <f>206.58*I11-15.39*I21</f>
        <v>146.93220095620711</v>
      </c>
      <c r="F113" s="36"/>
      <c r="G113" s="36"/>
      <c r="H113" s="36"/>
      <c r="I113" s="38"/>
      <c r="J113" s="38"/>
      <c r="K113" s="36"/>
      <c r="L113" s="36"/>
      <c r="M113" s="36"/>
      <c r="N113" s="36"/>
      <c r="O113" s="36"/>
      <c r="P113" s="36"/>
      <c r="Q113" s="36"/>
      <c r="R113" s="36"/>
      <c r="S113" s="38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</row>
    <row r="114" spans="1:35" s="35" customFormat="1" ht="23.25" x14ac:dyDescent="0.35">
      <c r="A114" s="36"/>
      <c r="B114" s="42" t="s">
        <v>299</v>
      </c>
      <c r="C114" s="43">
        <f>IF(C26="Macho não castrado",C111,IF(C26="macho castrado",C112,C113))</f>
        <v>154.65067941548563</v>
      </c>
      <c r="D114" s="43">
        <f>IF(C26="Macho não castrado",D111,IF(C26="macho castrado",D112,D113))</f>
        <v>196.51580675036936</v>
      </c>
      <c r="E114" s="44">
        <f>IF(C26="Macho não castrado",E111,IF(C26="macho castrado",E112,E113))</f>
        <v>146.93220095620711</v>
      </c>
      <c r="F114" s="36"/>
      <c r="G114" s="36"/>
      <c r="H114" s="36"/>
      <c r="I114" s="38"/>
      <c r="J114" s="38"/>
      <c r="K114" s="36"/>
      <c r="L114" s="36"/>
      <c r="M114" s="36"/>
      <c r="N114" s="36"/>
      <c r="O114" s="36"/>
      <c r="P114" s="36"/>
      <c r="Q114" s="36"/>
      <c r="R114" s="36"/>
      <c r="S114" s="38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</row>
    <row r="115" spans="1:35" s="35" customFormat="1" ht="23.25" x14ac:dyDescent="0.35">
      <c r="A115" s="36"/>
      <c r="B115" s="37" t="s">
        <v>323</v>
      </c>
      <c r="C115" s="43">
        <f>IF(C24="Zebuíno",C114,IF(C25="corte",D114,E114))</f>
        <v>196.51580675036936</v>
      </c>
      <c r="D115" s="38"/>
      <c r="E115" s="36"/>
      <c r="F115" s="36"/>
      <c r="G115" s="36"/>
      <c r="H115" s="36"/>
      <c r="I115" s="38"/>
      <c r="J115" s="38"/>
      <c r="K115" s="36"/>
      <c r="L115" s="36"/>
      <c r="M115" s="36"/>
      <c r="N115" s="36"/>
      <c r="O115" s="36"/>
      <c r="P115" s="36"/>
      <c r="Q115" s="36"/>
      <c r="R115" s="36"/>
      <c r="S115" s="38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</row>
    <row r="116" spans="1:35" s="35" customFormat="1" ht="23.25" x14ac:dyDescent="0.35">
      <c r="A116" s="36"/>
      <c r="B116" s="36"/>
      <c r="C116" s="36"/>
      <c r="D116" s="38"/>
      <c r="E116" s="36"/>
      <c r="F116" s="36"/>
      <c r="G116" s="36"/>
      <c r="H116" s="36"/>
      <c r="I116" s="38"/>
      <c r="J116" s="38"/>
      <c r="K116" s="36"/>
      <c r="L116" s="36"/>
      <c r="M116" s="36"/>
      <c r="N116" s="36"/>
      <c r="O116" s="36"/>
      <c r="P116" s="36"/>
      <c r="Q116" s="36"/>
      <c r="R116" s="36"/>
      <c r="S116" s="38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s="35" customFormat="1" ht="23.25" x14ac:dyDescent="0.35">
      <c r="A117" s="36"/>
      <c r="B117" s="36"/>
      <c r="C117" s="36"/>
      <c r="D117" s="38"/>
      <c r="E117" s="36"/>
      <c r="F117" s="36"/>
      <c r="G117" s="36"/>
      <c r="H117" s="36"/>
      <c r="I117" s="38"/>
      <c r="J117" s="38"/>
      <c r="K117" s="36"/>
      <c r="L117" s="36"/>
      <c r="M117" s="36"/>
      <c r="N117" s="36"/>
      <c r="O117" s="36"/>
      <c r="P117" s="36"/>
      <c r="Q117" s="36"/>
      <c r="R117" s="36"/>
      <c r="S117" s="38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s="35" customFormat="1" ht="23.25" x14ac:dyDescent="0.35">
      <c r="A118" s="36"/>
      <c r="B118" s="522" t="s">
        <v>274</v>
      </c>
      <c r="C118" s="523"/>
      <c r="D118" s="523"/>
      <c r="E118" s="523"/>
      <c r="F118" s="523"/>
      <c r="G118" s="523"/>
      <c r="H118" s="523"/>
      <c r="I118" s="38"/>
      <c r="J118" s="38"/>
      <c r="K118" s="36"/>
      <c r="L118" s="36"/>
      <c r="M118" s="36"/>
      <c r="N118" s="36"/>
      <c r="O118" s="36"/>
      <c r="P118" s="36"/>
      <c r="Q118" s="36"/>
      <c r="R118" s="36"/>
      <c r="S118" s="38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</row>
    <row r="119" spans="1:35" s="35" customFormat="1" ht="23.25" x14ac:dyDescent="0.35">
      <c r="A119" s="36"/>
      <c r="B119" s="38"/>
      <c r="C119" s="522"/>
      <c r="D119" s="523"/>
      <c r="E119" s="36"/>
      <c r="F119" s="36"/>
      <c r="G119" s="36"/>
      <c r="H119" s="36"/>
      <c r="I119" s="38"/>
      <c r="J119" s="38"/>
      <c r="K119" s="36"/>
      <c r="L119" s="36"/>
      <c r="M119" s="36"/>
      <c r="N119" s="36"/>
      <c r="O119" s="36"/>
      <c r="P119" s="36"/>
      <c r="Q119" s="36"/>
      <c r="R119" s="36"/>
      <c r="S119" s="38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</row>
    <row r="120" spans="1:35" s="35" customFormat="1" ht="23.25" x14ac:dyDescent="0.35">
      <c r="A120" s="36"/>
      <c r="B120" s="36"/>
      <c r="C120" s="38" t="s">
        <v>12</v>
      </c>
      <c r="D120" s="38" t="s">
        <v>51</v>
      </c>
      <c r="E120" s="36"/>
      <c r="F120" s="36"/>
      <c r="G120" s="38"/>
      <c r="H120" s="38"/>
      <c r="I120" s="38"/>
      <c r="J120" s="38"/>
      <c r="K120" s="36"/>
      <c r="L120" s="36"/>
      <c r="M120" s="36"/>
      <c r="N120" s="36"/>
      <c r="O120" s="36"/>
      <c r="P120" s="36"/>
      <c r="Q120" s="36"/>
      <c r="R120" s="36"/>
      <c r="S120" s="38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</row>
    <row r="121" spans="1:35" s="35" customFormat="1" ht="23.25" x14ac:dyDescent="0.35">
      <c r="A121" s="36"/>
      <c r="B121" s="42" t="s">
        <v>322</v>
      </c>
      <c r="C121" s="38">
        <f>($I$11*(147*$I$10^-0.5))/0.568</f>
        <v>17.425253888288154</v>
      </c>
      <c r="D121" s="38">
        <f>($I$11*(66*$I$10^-0.32))/0.568</f>
        <v>22.438537136934233</v>
      </c>
      <c r="E121" s="36"/>
      <c r="F121" s="36"/>
      <c r="G121" s="36"/>
      <c r="H121" s="36"/>
      <c r="I121" s="38"/>
      <c r="J121" s="38"/>
      <c r="K121" s="36"/>
      <c r="L121" s="36"/>
      <c r="M121" s="36"/>
      <c r="N121" s="36"/>
      <c r="O121" s="36"/>
      <c r="P121" s="36"/>
      <c r="Q121" s="36"/>
      <c r="R121" s="36"/>
      <c r="S121" s="38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</row>
    <row r="122" spans="1:35" s="35" customFormat="1" ht="23.25" x14ac:dyDescent="0.35">
      <c r="A122" s="36"/>
      <c r="B122" s="42" t="s">
        <v>321</v>
      </c>
      <c r="C122" s="38">
        <f>($I$11*(38.6*$I$10^-0.36))/0.678</f>
        <v>8.6990163178315907</v>
      </c>
      <c r="D122" s="38">
        <f>($I$11*(25.4*$I$10^-0.25))/0.678</f>
        <v>10.898184915208283</v>
      </c>
      <c r="E122" s="36"/>
      <c r="F122" s="36"/>
      <c r="G122" s="36"/>
      <c r="H122" s="36"/>
      <c r="I122" s="38"/>
      <c r="J122" s="38"/>
      <c r="K122" s="36"/>
      <c r="L122" s="36"/>
      <c r="M122" s="36"/>
      <c r="N122" s="36"/>
      <c r="O122" s="36"/>
      <c r="P122" s="36"/>
      <c r="Q122" s="36"/>
      <c r="R122" s="36"/>
      <c r="S122" s="38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1:35" s="35" customFormat="1" ht="23.25" x14ac:dyDescent="0.35">
      <c r="A123" s="36"/>
      <c r="B123" s="42" t="s">
        <v>320</v>
      </c>
      <c r="C123" s="38">
        <f>($I$11*(0.3466*$I$10^0.0113))/0.355</f>
        <v>1.3110425860415504</v>
      </c>
      <c r="D123" s="38">
        <f>($I$11*(1.0597*$I$10^-0.2386))/0.355</f>
        <v>0.92829360073980716</v>
      </c>
      <c r="E123" s="36"/>
      <c r="F123" s="36"/>
      <c r="G123" s="36"/>
      <c r="H123" s="36"/>
      <c r="I123" s="248"/>
      <c r="J123" s="248"/>
      <c r="K123" s="36"/>
      <c r="L123" s="36"/>
      <c r="M123" s="36"/>
      <c r="N123" s="36"/>
      <c r="O123" s="36"/>
      <c r="P123" s="36"/>
      <c r="Q123" s="36"/>
      <c r="R123" s="36"/>
      <c r="S123" s="38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s="35" customFormat="1" ht="23.25" x14ac:dyDescent="0.35">
      <c r="A124" s="36"/>
      <c r="B124" s="42" t="s">
        <v>319</v>
      </c>
      <c r="C124" s="38">
        <f>($I$11*(5.594*$I$10^-0.2998))/0.371</f>
        <v>3.2771711832325554</v>
      </c>
      <c r="D124" s="38">
        <f>($I$11*(1.977*$I$10^-0.058))/0.371</f>
        <v>4.7695527441352894</v>
      </c>
      <c r="E124" s="36"/>
      <c r="F124" s="36"/>
      <c r="G124" s="36"/>
      <c r="H124" s="36"/>
      <c r="I124" s="248"/>
      <c r="J124" s="248"/>
      <c r="K124" s="36"/>
      <c r="L124" s="36"/>
      <c r="M124" s="36"/>
      <c r="N124" s="36"/>
      <c r="O124" s="36"/>
      <c r="P124" s="36"/>
      <c r="Q124" s="36"/>
      <c r="R124" s="36"/>
      <c r="S124" s="38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s="35" customFormat="1" ht="23.25" x14ac:dyDescent="0.35">
      <c r="A125" s="36"/>
      <c r="B125" s="42" t="s">
        <v>312</v>
      </c>
      <c r="C125" s="38">
        <f>($I$11*(0.9463*$I$10^0.1216))/0.484</f>
        <v>5.0072622207667035</v>
      </c>
      <c r="D125" s="38">
        <f>($I$11*(0.3418*$I$10^0.32))/0.484</f>
        <v>5.7770765818850753</v>
      </c>
      <c r="E125" s="36"/>
      <c r="F125" s="36"/>
      <c r="G125" s="36"/>
      <c r="H125" s="36"/>
      <c r="I125" s="248"/>
      <c r="J125" s="248"/>
      <c r="K125" s="36"/>
      <c r="L125" s="36"/>
      <c r="M125" s="36"/>
      <c r="N125" s="36"/>
      <c r="O125" s="36"/>
      <c r="P125" s="36"/>
      <c r="Q125" s="36"/>
      <c r="R125" s="36"/>
      <c r="S125" s="38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</row>
    <row r="126" spans="1:35" s="35" customFormat="1" ht="23.25" x14ac:dyDescent="0.35">
      <c r="A126" s="36"/>
      <c r="B126" s="40"/>
      <c r="C126" s="36"/>
      <c r="D126" s="36"/>
      <c r="E126" s="36"/>
      <c r="F126" s="36"/>
      <c r="G126" s="36"/>
      <c r="H126" s="36"/>
      <c r="I126" s="248"/>
      <c r="J126" s="248"/>
      <c r="K126" s="36"/>
      <c r="L126" s="36"/>
      <c r="M126" s="36"/>
      <c r="N126" s="36"/>
      <c r="O126" s="36"/>
      <c r="P126" s="36"/>
      <c r="Q126" s="36"/>
      <c r="R126" s="36"/>
      <c r="S126" s="38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</row>
    <row r="127" spans="1:35" s="35" customFormat="1" ht="23.25" x14ac:dyDescent="0.35">
      <c r="A127" s="36"/>
      <c r="B127" s="40"/>
      <c r="C127" s="36"/>
      <c r="D127" s="36"/>
      <c r="E127" s="36"/>
      <c r="F127" s="36"/>
      <c r="G127" s="36"/>
      <c r="H127" s="36"/>
      <c r="I127" s="248"/>
      <c r="J127" s="248"/>
      <c r="K127" s="36"/>
      <c r="L127" s="36"/>
      <c r="M127" s="36"/>
      <c r="N127" s="36"/>
      <c r="O127" s="36"/>
      <c r="P127" s="36"/>
      <c r="Q127" s="36"/>
      <c r="R127" s="36"/>
      <c r="S127" s="38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</row>
    <row r="128" spans="1:35" s="35" customFormat="1" ht="23.25" x14ac:dyDescent="0.35">
      <c r="A128" s="36"/>
      <c r="B128" s="40"/>
      <c r="C128" s="36"/>
      <c r="D128" s="36"/>
      <c r="E128" s="36"/>
      <c r="F128" s="36"/>
      <c r="G128" s="36"/>
      <c r="H128" s="36"/>
      <c r="I128" s="248"/>
      <c r="J128" s="248"/>
      <c r="K128" s="36"/>
      <c r="L128" s="36"/>
      <c r="M128" s="36"/>
      <c r="N128" s="36"/>
      <c r="O128" s="36"/>
      <c r="P128" s="36"/>
      <c r="Q128" s="36"/>
      <c r="R128" s="36"/>
      <c r="S128" s="38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</row>
    <row r="129" spans="1:35" s="35" customFormat="1" ht="23.25" x14ac:dyDescent="0.35">
      <c r="A129" s="36"/>
      <c r="B129" s="40"/>
      <c r="C129" s="36"/>
      <c r="D129" s="36"/>
      <c r="E129" s="36"/>
      <c r="F129" s="36"/>
      <c r="G129" s="36"/>
      <c r="H129" s="36"/>
      <c r="I129" s="248"/>
      <c r="J129" s="248"/>
      <c r="K129" s="36"/>
      <c r="L129" s="36"/>
      <c r="M129" s="36"/>
      <c r="N129" s="36"/>
      <c r="O129" s="36"/>
      <c r="P129" s="36"/>
      <c r="Q129" s="36"/>
      <c r="R129" s="36"/>
      <c r="S129" s="38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</row>
    <row r="130" spans="1:35" s="35" customFormat="1" ht="23.25" x14ac:dyDescent="0.35">
      <c r="A130" s="36"/>
      <c r="B130" s="40"/>
      <c r="C130" s="36"/>
      <c r="D130" s="36"/>
      <c r="E130" s="36"/>
      <c r="F130" s="36"/>
      <c r="G130" s="36"/>
      <c r="H130" s="36"/>
      <c r="I130" s="248"/>
      <c r="J130" s="248"/>
      <c r="K130" s="36"/>
      <c r="L130" s="36"/>
      <c r="M130" s="36"/>
      <c r="N130" s="36"/>
      <c r="O130" s="36"/>
      <c r="P130" s="36"/>
      <c r="Q130" s="36"/>
      <c r="R130" s="36"/>
      <c r="S130" s="38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1:35" s="35" customFormat="1" ht="23.25" x14ac:dyDescent="0.35">
      <c r="A131" s="36"/>
      <c r="B131" s="40"/>
      <c r="C131" s="36"/>
      <c r="D131" s="36"/>
      <c r="E131" s="36"/>
      <c r="F131" s="36"/>
      <c r="G131" s="36"/>
      <c r="H131" s="36"/>
      <c r="I131" s="248"/>
      <c r="J131" s="248"/>
      <c r="K131" s="36"/>
      <c r="L131" s="36"/>
      <c r="M131" s="36"/>
      <c r="N131" s="36"/>
      <c r="O131" s="36"/>
      <c r="P131" s="36"/>
      <c r="Q131" s="36"/>
      <c r="R131" s="36"/>
      <c r="S131" s="38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s="35" customFormat="1" ht="23.25" x14ac:dyDescent="0.35">
      <c r="A132" s="36"/>
      <c r="B132" s="40"/>
      <c r="C132" s="36"/>
      <c r="D132" s="36"/>
      <c r="E132" s="36"/>
      <c r="F132" s="36"/>
      <c r="G132" s="36"/>
      <c r="H132" s="36"/>
      <c r="I132" s="248"/>
      <c r="J132" s="248"/>
      <c r="K132" s="36"/>
      <c r="L132" s="36"/>
      <c r="M132" s="36"/>
      <c r="N132" s="36"/>
      <c r="O132" s="36"/>
      <c r="P132" s="36"/>
      <c r="Q132" s="36"/>
      <c r="R132" s="36"/>
      <c r="S132" s="38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</row>
    <row r="133" spans="1:35" s="35" customFormat="1" ht="23.25" x14ac:dyDescent="0.35">
      <c r="A133" s="36"/>
      <c r="B133" s="40"/>
      <c r="C133" s="36"/>
      <c r="D133" s="36"/>
      <c r="E133" s="36"/>
      <c r="F133" s="36"/>
      <c r="G133" s="38"/>
      <c r="H133" s="36"/>
      <c r="I133" s="38"/>
      <c r="J133" s="38"/>
      <c r="K133" s="36"/>
      <c r="L133" s="36"/>
      <c r="M133" s="36"/>
      <c r="N133" s="36"/>
      <c r="O133" s="36"/>
      <c r="P133" s="36"/>
      <c r="Q133" s="36"/>
      <c r="R133" s="36"/>
      <c r="S133" s="38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</row>
    <row r="134" spans="1:35" s="35" customFormat="1" ht="23.25" x14ac:dyDescent="0.35">
      <c r="A134" s="36"/>
      <c r="B134" s="36"/>
      <c r="C134" s="36"/>
      <c r="D134" s="36"/>
      <c r="E134" s="40"/>
      <c r="F134" s="40"/>
      <c r="G134" s="38"/>
      <c r="H134" s="36"/>
      <c r="I134" s="38"/>
      <c r="J134" s="38"/>
      <c r="K134" s="36"/>
      <c r="L134" s="36"/>
      <c r="M134" s="36"/>
      <c r="N134" s="36"/>
      <c r="O134" s="36"/>
      <c r="P134" s="36"/>
      <c r="Q134" s="36"/>
      <c r="R134" s="36"/>
      <c r="S134" s="38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</row>
    <row r="135" spans="1:35" s="35" customFormat="1" ht="23.25" x14ac:dyDescent="0.35">
      <c r="A135" s="36"/>
      <c r="B135" s="36"/>
      <c r="C135" s="36"/>
      <c r="D135" s="36"/>
      <c r="E135" s="36"/>
      <c r="F135" s="36"/>
      <c r="G135" s="38"/>
      <c r="H135" s="36"/>
      <c r="I135" s="38"/>
      <c r="J135" s="38"/>
      <c r="K135" s="36"/>
      <c r="L135" s="36"/>
      <c r="M135" s="36"/>
      <c r="N135" s="36"/>
      <c r="O135" s="36"/>
      <c r="P135" s="36"/>
      <c r="Q135" s="36"/>
      <c r="R135" s="36"/>
      <c r="S135" s="38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</row>
    <row r="136" spans="1:35" s="35" customFormat="1" ht="23.25" x14ac:dyDescent="0.35">
      <c r="A136" s="36"/>
      <c r="B136" s="36"/>
      <c r="C136" s="36"/>
      <c r="D136" s="36"/>
      <c r="E136" s="36"/>
      <c r="F136" s="36"/>
      <c r="G136" s="38"/>
      <c r="H136" s="36"/>
      <c r="I136" s="38"/>
      <c r="J136" s="38"/>
      <c r="K136" s="36"/>
      <c r="L136" s="36"/>
      <c r="M136" s="36"/>
      <c r="N136" s="36"/>
      <c r="O136" s="36"/>
      <c r="P136" s="36"/>
      <c r="Q136" s="36"/>
      <c r="R136" s="36"/>
      <c r="S136" s="38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</row>
    <row r="137" spans="1:35" s="35" customFormat="1" ht="23.25" x14ac:dyDescent="0.35">
      <c r="A137" s="36"/>
      <c r="B137" s="522" t="s">
        <v>318</v>
      </c>
      <c r="C137" s="523"/>
      <c r="D137" s="523"/>
      <c r="E137" s="523"/>
      <c r="F137" s="523"/>
      <c r="G137" s="523"/>
      <c r="H137" s="523"/>
      <c r="I137" s="38"/>
      <c r="J137" s="38"/>
      <c r="K137" s="36"/>
      <c r="L137" s="36"/>
      <c r="M137" s="36"/>
      <c r="N137" s="36"/>
      <c r="O137" s="36"/>
      <c r="P137" s="36"/>
      <c r="Q137" s="36"/>
      <c r="R137" s="36"/>
      <c r="S137" s="38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</row>
    <row r="138" spans="1:35" s="35" customFormat="1" ht="23.25" x14ac:dyDescent="0.35">
      <c r="A138" s="36"/>
      <c r="B138" s="36"/>
      <c r="C138" s="36"/>
      <c r="D138" s="36"/>
      <c r="E138" s="36"/>
      <c r="F138" s="36"/>
      <c r="G138" s="38"/>
      <c r="H138" s="36"/>
      <c r="I138" s="38"/>
      <c r="J138" s="38"/>
      <c r="K138" s="36"/>
      <c r="L138" s="36"/>
      <c r="M138" s="36"/>
      <c r="N138" s="36"/>
      <c r="O138" s="36"/>
      <c r="P138" s="36"/>
      <c r="Q138" s="36"/>
      <c r="R138" s="36"/>
      <c r="S138" s="38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1:35" s="35" customFormat="1" ht="23.25" x14ac:dyDescent="0.35">
      <c r="A139" s="36"/>
      <c r="B139" s="36" t="s">
        <v>12</v>
      </c>
      <c r="C139" s="36" t="s">
        <v>51</v>
      </c>
      <c r="D139" s="36"/>
      <c r="E139" s="36"/>
      <c r="F139" s="36"/>
      <c r="G139" s="38"/>
      <c r="H139" s="36"/>
      <c r="I139" s="38"/>
      <c r="J139" s="38"/>
      <c r="K139" s="36"/>
      <c r="L139" s="36"/>
      <c r="M139" s="36"/>
      <c r="N139" s="36"/>
      <c r="O139" s="36"/>
      <c r="P139" s="36"/>
      <c r="Q139" s="36"/>
      <c r="R139" s="36"/>
      <c r="S139" s="38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</row>
    <row r="140" spans="1:35" s="35" customFormat="1" ht="23.25" x14ac:dyDescent="0.35">
      <c r="A140" s="36"/>
      <c r="B140" s="36" t="s">
        <v>17</v>
      </c>
      <c r="C140" s="36" t="s">
        <v>54</v>
      </c>
      <c r="D140" s="36" t="s">
        <v>55</v>
      </c>
      <c r="E140" s="36"/>
      <c r="F140" s="36"/>
      <c r="G140" s="38"/>
      <c r="H140" s="36"/>
      <c r="I140" s="38"/>
      <c r="J140" s="38"/>
      <c r="K140" s="36"/>
      <c r="L140" s="36"/>
      <c r="M140" s="36"/>
      <c r="N140" s="36"/>
      <c r="O140" s="36"/>
      <c r="P140" s="36"/>
      <c r="Q140" s="36"/>
      <c r="R140" s="36"/>
      <c r="S140" s="38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</row>
    <row r="141" spans="1:35" s="35" customFormat="1" ht="23.25" x14ac:dyDescent="0.35">
      <c r="A141" s="36"/>
      <c r="B141" s="36" t="s">
        <v>19</v>
      </c>
      <c r="C141" s="36" t="s">
        <v>56</v>
      </c>
      <c r="D141" s="36"/>
      <c r="E141" s="36"/>
      <c r="F141" s="36"/>
      <c r="G141" s="38"/>
      <c r="H141" s="36"/>
      <c r="I141" s="38"/>
      <c r="J141" s="38"/>
      <c r="K141" s="36"/>
      <c r="L141" s="36"/>
      <c r="M141" s="36"/>
      <c r="N141" s="36"/>
      <c r="O141" s="36"/>
      <c r="P141" s="36"/>
      <c r="Q141" s="36"/>
      <c r="R141" s="36"/>
      <c r="S141" s="38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</row>
    <row r="142" spans="1:35" s="35" customFormat="1" ht="23.25" x14ac:dyDescent="0.35">
      <c r="A142" s="36"/>
      <c r="B142" s="36"/>
      <c r="C142" s="36"/>
      <c r="D142" s="36"/>
      <c r="E142" s="36"/>
      <c r="F142" s="36"/>
      <c r="G142" s="38"/>
      <c r="H142" s="36"/>
      <c r="I142" s="38"/>
      <c r="J142" s="38"/>
      <c r="K142" s="36"/>
      <c r="L142" s="36"/>
      <c r="M142" s="36"/>
      <c r="N142" s="36"/>
      <c r="O142" s="36"/>
      <c r="P142" s="36"/>
      <c r="Q142" s="36"/>
      <c r="R142" s="36"/>
      <c r="S142" s="38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</row>
    <row r="143" spans="1:35" s="35" customFormat="1" ht="23.25" x14ac:dyDescent="0.35">
      <c r="A143" s="36"/>
      <c r="B143" s="522" t="s">
        <v>317</v>
      </c>
      <c r="C143" s="523"/>
      <c r="D143" s="523"/>
      <c r="E143" s="523"/>
      <c r="F143" s="523"/>
      <c r="G143" s="38"/>
      <c r="H143" s="36"/>
      <c r="I143" s="38"/>
      <c r="J143" s="38"/>
      <c r="K143" s="36"/>
      <c r="L143" s="36"/>
      <c r="M143" s="36"/>
      <c r="N143" s="36"/>
      <c r="O143" s="36"/>
      <c r="P143" s="36"/>
      <c r="Q143" s="36"/>
      <c r="R143" s="36"/>
      <c r="S143" s="38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</row>
    <row r="144" spans="1:35" s="35" customFormat="1" ht="23.25" x14ac:dyDescent="0.35">
      <c r="A144" s="36"/>
      <c r="B144" s="38"/>
      <c r="C144" s="522" t="s">
        <v>294</v>
      </c>
      <c r="D144" s="523"/>
      <c r="E144" s="36"/>
      <c r="F144" s="36" t="s">
        <v>293</v>
      </c>
      <c r="G144" s="38"/>
      <c r="H144" s="36"/>
      <c r="I144" s="38"/>
      <c r="J144" s="38"/>
      <c r="K144" s="36"/>
      <c r="L144" s="36"/>
      <c r="M144" s="36"/>
      <c r="N144" s="36"/>
      <c r="O144" s="36"/>
      <c r="P144" s="36"/>
      <c r="Q144" s="249"/>
      <c r="R144" s="249"/>
      <c r="S144" s="249"/>
      <c r="T144" s="249"/>
      <c r="U144" s="249"/>
      <c r="V144" s="249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</row>
    <row r="145" spans="1:35" s="35" customFormat="1" ht="23.25" x14ac:dyDescent="0.35">
      <c r="A145" s="36"/>
      <c r="B145" s="36"/>
      <c r="C145" s="38" t="s">
        <v>12</v>
      </c>
      <c r="D145" s="38" t="s">
        <v>51</v>
      </c>
      <c r="E145" s="36"/>
      <c r="F145" s="36" t="s">
        <v>292</v>
      </c>
      <c r="G145" s="38"/>
      <c r="H145" s="36"/>
      <c r="I145" s="38"/>
      <c r="J145" s="38"/>
      <c r="K145" s="36"/>
      <c r="L145" s="36"/>
      <c r="M145" s="36"/>
      <c r="N145" s="36"/>
      <c r="O145" s="36"/>
      <c r="P145" s="36"/>
      <c r="Q145" s="249"/>
      <c r="R145" s="249"/>
      <c r="S145" s="249"/>
      <c r="T145" s="249"/>
      <c r="U145" s="249"/>
      <c r="V145" s="249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1:35" s="35" customFormat="1" ht="23.25" x14ac:dyDescent="0.35">
      <c r="A146" s="36"/>
      <c r="B146" s="37" t="s">
        <v>47</v>
      </c>
      <c r="C146" s="38">
        <f>AC60*0.895</f>
        <v>339.38400000000001</v>
      </c>
      <c r="D146" s="38">
        <f>AC60*0.895</f>
        <v>339.38400000000001</v>
      </c>
      <c r="E146" s="37" t="s">
        <v>47</v>
      </c>
      <c r="F146" s="36">
        <f>0.863*AC60</f>
        <v>327.24959999999999</v>
      </c>
      <c r="G146" s="38"/>
      <c r="H146" s="36"/>
      <c r="I146" s="38"/>
      <c r="J146" s="38"/>
      <c r="K146" s="36"/>
      <c r="L146" s="36"/>
      <c r="M146" s="36"/>
      <c r="N146" s="36"/>
      <c r="O146" s="36"/>
      <c r="P146" s="36"/>
      <c r="Q146" s="249"/>
      <c r="R146" s="249"/>
      <c r="S146" s="249"/>
      <c r="T146" s="249"/>
      <c r="U146" s="249"/>
      <c r="V146" s="249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</row>
    <row r="147" spans="1:35" s="35" customFormat="1" ht="23.25" x14ac:dyDescent="0.35">
      <c r="A147" s="36"/>
      <c r="B147" s="37" t="s">
        <v>48</v>
      </c>
      <c r="C147" s="38">
        <f>0.935*$C$31</f>
        <v>1.2155</v>
      </c>
      <c r="D147" s="38">
        <f>0.966*$C$31</f>
        <v>1.2558</v>
      </c>
      <c r="E147" s="37" t="s">
        <v>48</v>
      </c>
      <c r="F147" s="36">
        <f>0.955*$C$31</f>
        <v>1.2415</v>
      </c>
      <c r="G147" s="38"/>
      <c r="H147" s="36"/>
      <c r="I147" s="38"/>
      <c r="J147" s="38"/>
      <c r="K147" s="36"/>
      <c r="L147" s="36"/>
      <c r="M147" s="36"/>
      <c r="N147" s="36"/>
      <c r="O147" s="36"/>
      <c r="P147" s="36"/>
      <c r="Q147" s="36"/>
      <c r="R147" s="36"/>
      <c r="S147" s="38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</row>
    <row r="148" spans="1:35" s="35" customFormat="1" ht="23.25" x14ac:dyDescent="0.35">
      <c r="A148" s="36"/>
      <c r="B148" s="37" t="s">
        <v>49</v>
      </c>
      <c r="C148" s="38">
        <f>($C$146/430)*440</f>
        <v>347.2766511627907</v>
      </c>
      <c r="D148" s="38">
        <f>($D$146/455)*440</f>
        <v>328.19551648351649</v>
      </c>
      <c r="E148" s="37" t="s">
        <v>49</v>
      </c>
      <c r="F148" s="36">
        <f>($F$146/430)*440</f>
        <v>334.86005581395347</v>
      </c>
      <c r="G148" s="38"/>
      <c r="H148" s="36"/>
      <c r="I148" s="38"/>
      <c r="J148" s="38"/>
      <c r="K148" s="36"/>
      <c r="L148" s="36"/>
      <c r="M148" s="36"/>
      <c r="N148" s="36"/>
      <c r="O148" s="36"/>
      <c r="P148" s="36"/>
      <c r="Q148" s="36"/>
      <c r="R148" s="36"/>
      <c r="S148" s="38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</row>
    <row r="149" spans="1:35" s="35" customFormat="1" ht="23.25" x14ac:dyDescent="0.35">
      <c r="A149" s="36"/>
      <c r="B149" s="37" t="s">
        <v>8</v>
      </c>
      <c r="C149" s="38">
        <f>0.0742*C146^0.75</f>
        <v>5.8670856500403055</v>
      </c>
      <c r="D149" s="38">
        <f>0.0742*D146^0.75</f>
        <v>5.8670856500403055</v>
      </c>
      <c r="E149" s="37" t="s">
        <v>8</v>
      </c>
      <c r="F149" s="36">
        <f>0.0717*(F146^0.75)</f>
        <v>5.5166889668994203</v>
      </c>
      <c r="G149" s="38"/>
      <c r="H149" s="36"/>
      <c r="I149" s="38"/>
      <c r="J149" s="38"/>
      <c r="K149" s="36"/>
      <c r="L149" s="36"/>
      <c r="M149" s="36"/>
      <c r="N149" s="36"/>
      <c r="O149" s="36"/>
      <c r="P149" s="36"/>
      <c r="Q149" s="36"/>
      <c r="R149" s="36"/>
      <c r="S149" s="38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</row>
    <row r="150" spans="1:35" s="35" customFormat="1" ht="23.25" x14ac:dyDescent="0.35">
      <c r="A150" s="36"/>
      <c r="B150" s="37" t="s">
        <v>316</v>
      </c>
      <c r="C150" s="38">
        <f>0.053*($C$148^0.75)*($C$147^1.095)</f>
        <v>5.2794568292131698</v>
      </c>
      <c r="D150" s="38">
        <f>0.053*($D$148^0.75)*($D$147^1.095)</f>
        <v>5.2443694237805065</v>
      </c>
      <c r="E150" s="37" t="s">
        <v>315</v>
      </c>
      <c r="F150" s="36">
        <f>0.052*(F148^0.75)*(F147^1.062)</f>
        <v>5.1217959616549393</v>
      </c>
      <c r="G150" s="38"/>
      <c r="H150" s="36"/>
      <c r="I150" s="38"/>
      <c r="J150" s="38"/>
      <c r="K150" s="36"/>
      <c r="L150" s="36"/>
      <c r="M150" s="36"/>
      <c r="N150" s="36"/>
      <c r="O150" s="36"/>
      <c r="P150" s="36"/>
      <c r="Q150" s="36"/>
      <c r="R150" s="36"/>
      <c r="S150" s="38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</row>
    <row r="151" spans="1:35" s="35" customFormat="1" ht="23.25" x14ac:dyDescent="0.35">
      <c r="A151" s="36"/>
      <c r="B151" s="37" t="s">
        <v>314</v>
      </c>
      <c r="C151" s="38">
        <f>0.064*($C$148^0.75)*($C$147^1.095)</f>
        <v>6.3751931522574123</v>
      </c>
      <c r="D151" s="38">
        <f>0.064*($D$148^0.75)*($D$147^1.095)</f>
        <v>6.3328234551311775</v>
      </c>
      <c r="E151" s="37"/>
      <c r="F151" s="36"/>
      <c r="G151" s="38"/>
      <c r="H151" s="36"/>
      <c r="I151" s="38"/>
      <c r="J151" s="38"/>
      <c r="K151" s="36"/>
      <c r="L151" s="36"/>
      <c r="M151" s="36"/>
      <c r="N151" s="36"/>
      <c r="O151" s="36"/>
      <c r="P151" s="36"/>
      <c r="Q151" s="36"/>
      <c r="R151" s="36"/>
      <c r="S151" s="38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1:35" s="35" customFormat="1" ht="23.25" x14ac:dyDescent="0.35">
      <c r="A152" s="36"/>
      <c r="B152" s="37" t="s">
        <v>313</v>
      </c>
      <c r="C152" s="38">
        <f>0.072*($C$148^0.75)*($C$147^1.095)</f>
        <v>7.1720922962895886</v>
      </c>
      <c r="D152" s="38">
        <f>0.072*($D$148^0.75)*($D$147^1.095)</f>
        <v>7.1244263870225737</v>
      </c>
      <c r="E152" s="37"/>
      <c r="F152" s="36"/>
      <c r="G152" s="38"/>
      <c r="H152" s="36"/>
      <c r="I152" s="38"/>
      <c r="J152" s="38"/>
      <c r="K152" s="36"/>
      <c r="L152" s="36"/>
      <c r="M152" s="36"/>
      <c r="N152" s="36"/>
      <c r="O152" s="36"/>
      <c r="P152" s="36"/>
      <c r="Q152" s="36"/>
      <c r="R152" s="36"/>
      <c r="S152" s="38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</row>
    <row r="153" spans="1:35" s="35" customFormat="1" ht="23.25" x14ac:dyDescent="0.35">
      <c r="A153" s="36"/>
      <c r="B153" s="37" t="s">
        <v>53</v>
      </c>
      <c r="C153" s="38">
        <f>1.14*(((IF(C26="Macho não castrado",C150,IF(C26="macho castrado",C151,IF(C26="fêmea",C152))))/C147)^-1.137)</f>
        <v>0.15149625268278166</v>
      </c>
      <c r="D153" s="38">
        <f>1.14*(((IF(C26="Macho não castrado",D150,IF(C26="macho castrado",D151,IF(C26="fêmea",D152))))/D147)^-1.137)</f>
        <v>0.15841663914758478</v>
      </c>
      <c r="E153" s="37" t="s">
        <v>53</v>
      </c>
      <c r="F153" s="36">
        <f>1.14*((F150/F147)^-1.137)</f>
        <v>0.22756693046701457</v>
      </c>
      <c r="G153" s="38"/>
      <c r="H153" s="36"/>
      <c r="I153" s="38"/>
      <c r="J153" s="38"/>
      <c r="K153" s="36"/>
      <c r="L153" s="36"/>
      <c r="M153" s="36"/>
      <c r="N153" s="36"/>
      <c r="O153" s="36"/>
      <c r="P153" s="36"/>
      <c r="Q153" s="36"/>
      <c r="R153" s="36"/>
      <c r="S153" s="38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</row>
    <row r="154" spans="1:35" s="35" customFormat="1" ht="23.25" x14ac:dyDescent="0.35">
      <c r="A154" s="36"/>
      <c r="B154" s="37" t="s">
        <v>312</v>
      </c>
      <c r="C154" s="38">
        <f>0.327/(0.539+C153)</f>
        <v>0.47357244696044115</v>
      </c>
      <c r="D154" s="38">
        <f>0.327/(0.539+D153)</f>
        <v>0.4688732411083204</v>
      </c>
      <c r="E154" s="37" t="s">
        <v>312</v>
      </c>
      <c r="F154" s="36">
        <f>0.327/(0.539+F153)</f>
        <v>0.42657723285921323</v>
      </c>
      <c r="G154" s="38"/>
      <c r="H154" s="36"/>
      <c r="I154" s="38"/>
      <c r="J154" s="38"/>
      <c r="K154" s="36"/>
      <c r="L154" s="36"/>
      <c r="M154" s="36"/>
      <c r="N154" s="36"/>
      <c r="O154" s="36"/>
      <c r="P154" s="36"/>
      <c r="Q154" s="36"/>
      <c r="R154" s="36"/>
      <c r="S154" s="38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1:35" s="35" customFormat="1" ht="23.25" x14ac:dyDescent="0.35">
      <c r="A155" s="36"/>
      <c r="B155" s="37" t="s">
        <v>277</v>
      </c>
      <c r="C155" s="38">
        <f>0.513+0.173*C154+0.1*C147</f>
        <v>0.71647803332415638</v>
      </c>
      <c r="D155" s="38">
        <f>0.513+0.173*D154+0.073*D147</f>
        <v>0.68578847071173943</v>
      </c>
      <c r="E155" s="37" t="s">
        <v>277</v>
      </c>
      <c r="F155" s="36">
        <f>0.513+0.173*F154+0.1*F147</f>
        <v>0.71094786128464382</v>
      </c>
      <c r="G155" s="38" t="s">
        <v>311</v>
      </c>
      <c r="H155" s="36" t="s">
        <v>51</v>
      </c>
      <c r="I155" s="38"/>
      <c r="J155" s="38"/>
      <c r="K155" s="36"/>
      <c r="L155" s="36"/>
      <c r="M155" s="36"/>
      <c r="N155" s="36"/>
      <c r="O155" s="36"/>
      <c r="P155" s="36"/>
      <c r="Q155" s="36"/>
      <c r="R155" s="36"/>
      <c r="S155" s="38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</row>
    <row r="156" spans="1:35" s="35" customFormat="1" ht="23.25" x14ac:dyDescent="0.35">
      <c r="A156" s="36"/>
      <c r="B156" s="37" t="s">
        <v>5</v>
      </c>
      <c r="C156" s="38">
        <f>C149/C155</f>
        <v>8.1887865044787187</v>
      </c>
      <c r="D156" s="38">
        <f>D149/D155</f>
        <v>8.5552410117819608</v>
      </c>
      <c r="E156" s="37" t="s">
        <v>5</v>
      </c>
      <c r="F156" s="36">
        <f>1.11*F149/F155</f>
        <v>8.6131840135132887</v>
      </c>
      <c r="G156" s="38">
        <f>C156*1.11</f>
        <v>9.0895530199713779</v>
      </c>
      <c r="H156" s="36">
        <f>D156*1.11</f>
        <v>9.4963175230779768</v>
      </c>
      <c r="I156" s="38"/>
      <c r="J156" s="38"/>
      <c r="K156" s="36"/>
      <c r="L156" s="36"/>
      <c r="M156" s="36"/>
      <c r="N156" s="36"/>
      <c r="O156" s="36"/>
      <c r="P156" s="36"/>
      <c r="Q156" s="36"/>
      <c r="R156" s="36"/>
      <c r="S156" s="38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</row>
    <row r="157" spans="1:35" s="35" customFormat="1" ht="23.25" x14ac:dyDescent="0.35">
      <c r="A157" s="36"/>
      <c r="B157" s="37" t="s">
        <v>6</v>
      </c>
      <c r="C157" s="38">
        <f>(IF($C$26="Macho não castrado",$C$150,IF($C$26="macho castrado",$C$151,IF($C$26="fêmea",$C$152))))/$C$154</f>
        <v>15.144657047348648</v>
      </c>
      <c r="D157" s="38">
        <f>(IF($C$26="Macho não castrado",$D$150,IF($C$26="macho castrado",$D$151,IF($C$26="fêmea",$D$152))))/$D$154</f>
        <v>15.19478136602952</v>
      </c>
      <c r="E157" s="37" t="s">
        <v>6</v>
      </c>
      <c r="F157" s="36">
        <f>F150/F154</f>
        <v>12.006726020807884</v>
      </c>
      <c r="G157" s="38">
        <f>(IF($C$26="Macho não castrado",$C$150,IF($C$26="macho castrado",$C$151,IF($C$26="fêmea",$C$152))))/$C$154</f>
        <v>15.144657047348648</v>
      </c>
      <c r="H157" s="38">
        <f>(IF($C$26="Macho não castrado",$D$150,IF($C$26="macho castrado",$D$151,IF($C$26="fêmea",$D$152))))/$D$154</f>
        <v>15.19478136602952</v>
      </c>
      <c r="I157" s="38"/>
      <c r="J157" s="38"/>
      <c r="K157" s="36"/>
      <c r="L157" s="36"/>
      <c r="M157" s="36"/>
      <c r="N157" s="36"/>
      <c r="O157" s="36"/>
      <c r="P157" s="36"/>
      <c r="Q157" s="36"/>
      <c r="R157" s="36"/>
      <c r="S157" s="38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</row>
    <row r="158" spans="1:35" s="35" customFormat="1" ht="23.25" x14ac:dyDescent="0.35">
      <c r="A158" s="36"/>
      <c r="B158" s="37" t="s">
        <v>310</v>
      </c>
      <c r="C158" s="38">
        <f>C156+C157</f>
        <v>23.333443551827365</v>
      </c>
      <c r="D158" s="38">
        <f>D156+D157</f>
        <v>23.750022377811483</v>
      </c>
      <c r="E158" s="37" t="s">
        <v>310</v>
      </c>
      <c r="F158" s="36">
        <f>F156+F157</f>
        <v>20.619910034321173</v>
      </c>
      <c r="G158" s="38"/>
      <c r="H158" s="36"/>
      <c r="I158" s="38"/>
      <c r="J158" s="38"/>
      <c r="K158" s="36"/>
      <c r="L158" s="36"/>
      <c r="M158" s="36"/>
      <c r="N158" s="36"/>
      <c r="O158" s="36"/>
      <c r="P158" s="36"/>
      <c r="Q158" s="36"/>
      <c r="R158" s="36"/>
      <c r="S158" s="38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</row>
    <row r="159" spans="1:35" s="35" customFormat="1" ht="23.25" x14ac:dyDescent="0.35">
      <c r="A159" s="36"/>
      <c r="B159" s="37" t="s">
        <v>2</v>
      </c>
      <c r="C159" s="38">
        <f>C158/0.82/4.409</f>
        <v>6.4539394342579115</v>
      </c>
      <c r="D159" s="38">
        <f>D158/0.82/4.409</f>
        <v>6.5691635119438301</v>
      </c>
      <c r="E159" s="37" t="s">
        <v>2</v>
      </c>
      <c r="F159" s="36">
        <f>F158/0.82/4.409</f>
        <v>5.7033866521143484</v>
      </c>
      <c r="G159" s="38"/>
      <c r="H159" s="36"/>
      <c r="I159" s="38"/>
      <c r="J159" s="38"/>
      <c r="K159" s="36"/>
      <c r="L159" s="36"/>
      <c r="M159" s="36"/>
      <c r="N159" s="36"/>
      <c r="O159" s="36"/>
      <c r="P159" s="36"/>
      <c r="Q159" s="36"/>
      <c r="R159" s="36"/>
      <c r="S159" s="38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</row>
    <row r="160" spans="1:35" s="35" customFormat="1" ht="23.25" x14ac:dyDescent="0.35">
      <c r="A160" s="36"/>
      <c r="B160" s="37" t="s">
        <v>309</v>
      </c>
      <c r="C160" s="38">
        <f>IF(C26="Macho não castrado",C150,IF(C26="macho castrado",C151,C152))</f>
        <v>7.1720922962895886</v>
      </c>
      <c r="D160" s="38">
        <f>IF(C26="Macho não castrado",D150,IF(C26="macho castrado",D151,D152))</f>
        <v>7.1244263870225737</v>
      </c>
      <c r="E160" s="38"/>
      <c r="F160" s="36"/>
      <c r="G160" s="38"/>
      <c r="H160" s="36"/>
      <c r="I160" s="38"/>
      <c r="J160" s="38"/>
      <c r="K160" s="36"/>
      <c r="L160" s="36"/>
      <c r="M160" s="36"/>
      <c r="N160" s="36"/>
      <c r="O160" s="36"/>
      <c r="P160" s="36"/>
      <c r="Q160" s="36"/>
      <c r="R160" s="36"/>
      <c r="S160" s="38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</row>
    <row r="161" spans="1:35" s="35" customFormat="1" ht="23.25" x14ac:dyDescent="0.35">
      <c r="A161" s="36"/>
      <c r="B161" s="37"/>
      <c r="C161" s="38"/>
      <c r="D161" s="38"/>
      <c r="E161" s="38"/>
      <c r="F161" s="36"/>
      <c r="G161" s="38"/>
      <c r="H161" s="36"/>
      <c r="I161" s="38"/>
      <c r="J161" s="38"/>
      <c r="K161" s="36"/>
      <c r="L161" s="36"/>
      <c r="M161" s="36"/>
      <c r="N161" s="36"/>
      <c r="O161" s="36"/>
      <c r="P161" s="36"/>
      <c r="Q161" s="36"/>
      <c r="R161" s="36"/>
      <c r="S161" s="38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</row>
    <row r="162" spans="1:35" s="35" customFormat="1" ht="23.25" x14ac:dyDescent="0.35">
      <c r="A162" s="36"/>
      <c r="B162" s="37"/>
      <c r="C162" s="36"/>
      <c r="D162" s="36"/>
      <c r="E162" s="36"/>
      <c r="F162" s="36"/>
      <c r="G162" s="38"/>
      <c r="H162" s="36"/>
      <c r="I162" s="38"/>
      <c r="J162" s="38"/>
      <c r="K162" s="36"/>
      <c r="L162" s="36"/>
      <c r="M162" s="36"/>
      <c r="N162" s="36"/>
      <c r="O162" s="36"/>
      <c r="P162" s="36"/>
      <c r="Q162" s="36"/>
      <c r="R162" s="36"/>
      <c r="S162" s="38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</row>
    <row r="163" spans="1:35" s="35" customFormat="1" ht="23.25" x14ac:dyDescent="0.35">
      <c r="A163" s="36"/>
      <c r="B163" s="522" t="s">
        <v>308</v>
      </c>
      <c r="C163" s="523"/>
      <c r="D163" s="523"/>
      <c r="E163" s="523"/>
      <c r="F163" s="523"/>
      <c r="G163" s="38"/>
      <c r="H163" s="36"/>
      <c r="I163" s="38"/>
      <c r="J163" s="38"/>
      <c r="K163" s="36"/>
      <c r="L163" s="36"/>
      <c r="M163" s="36"/>
      <c r="N163" s="36"/>
      <c r="O163" s="36"/>
      <c r="P163" s="36"/>
      <c r="Q163" s="36"/>
      <c r="R163" s="36"/>
      <c r="S163" s="38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</row>
    <row r="164" spans="1:35" s="35" customFormat="1" ht="23.25" x14ac:dyDescent="0.35">
      <c r="A164" s="36"/>
      <c r="B164" s="36"/>
      <c r="C164" s="522" t="s">
        <v>294</v>
      </c>
      <c r="D164" s="523"/>
      <c r="E164" s="36"/>
      <c r="F164" s="36" t="s">
        <v>293</v>
      </c>
      <c r="G164" s="38"/>
      <c r="H164" s="36"/>
      <c r="I164" s="38"/>
      <c r="J164" s="38"/>
      <c r="K164" s="36"/>
      <c r="L164" s="36"/>
      <c r="M164" s="36"/>
      <c r="N164" s="36"/>
      <c r="O164" s="36"/>
      <c r="P164" s="36"/>
      <c r="Q164" s="36"/>
      <c r="R164" s="36"/>
      <c r="S164" s="38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</row>
    <row r="165" spans="1:35" s="35" customFormat="1" ht="23.25" x14ac:dyDescent="0.35">
      <c r="A165" s="36"/>
      <c r="B165" s="37"/>
      <c r="C165" s="36" t="s">
        <v>12</v>
      </c>
      <c r="D165" s="36" t="s">
        <v>51</v>
      </c>
      <c r="E165" s="36"/>
      <c r="F165" s="36" t="s">
        <v>292</v>
      </c>
      <c r="G165" s="38"/>
      <c r="H165" s="36"/>
      <c r="I165" s="38"/>
      <c r="J165" s="38"/>
      <c r="K165" s="36"/>
      <c r="L165" s="36"/>
      <c r="M165" s="36"/>
      <c r="N165" s="36"/>
      <c r="O165" s="36"/>
      <c r="P165" s="36"/>
      <c r="Q165" s="36"/>
      <c r="R165" s="36"/>
      <c r="S165" s="38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</row>
    <row r="166" spans="1:35" s="35" customFormat="1" ht="23.25" x14ac:dyDescent="0.35">
      <c r="A166" s="36"/>
      <c r="B166" s="37" t="s">
        <v>47</v>
      </c>
      <c r="C166" s="38">
        <f>$C$30*0.895</f>
        <v>353.52500000000003</v>
      </c>
      <c r="D166" s="38">
        <f>$C$30*0.895</f>
        <v>353.52500000000003</v>
      </c>
      <c r="E166" s="37" t="s">
        <v>47</v>
      </c>
      <c r="F166" s="36">
        <f>0.863*$C$30</f>
        <v>340.88499999999999</v>
      </c>
      <c r="G166" s="38"/>
      <c r="H166" s="36"/>
      <c r="I166" s="38"/>
      <c r="J166" s="38"/>
      <c r="K166" s="36"/>
      <c r="L166" s="36"/>
      <c r="M166" s="36"/>
      <c r="N166" s="36"/>
      <c r="O166" s="36"/>
      <c r="P166" s="36"/>
      <c r="Q166" s="36"/>
      <c r="R166" s="36"/>
      <c r="S166" s="38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</row>
    <row r="167" spans="1:35" s="35" customFormat="1" ht="23.25" x14ac:dyDescent="0.35">
      <c r="A167" s="36"/>
      <c r="B167" s="37" t="s">
        <v>48</v>
      </c>
      <c r="C167" s="38">
        <f>0.935*$C$31</f>
        <v>1.2155</v>
      </c>
      <c r="D167" s="38">
        <f>0.966*$C$31</f>
        <v>1.2558</v>
      </c>
      <c r="E167" s="37" t="s">
        <v>48</v>
      </c>
      <c r="F167" s="36">
        <f>0.955*$C$31</f>
        <v>1.2415</v>
      </c>
      <c r="G167" s="38"/>
      <c r="H167" s="36"/>
      <c r="I167" s="38"/>
      <c r="J167" s="38"/>
      <c r="K167" s="36"/>
      <c r="L167" s="36"/>
      <c r="M167" s="36"/>
      <c r="N167" s="36"/>
      <c r="O167" s="36"/>
      <c r="P167" s="36"/>
      <c r="Q167" s="36"/>
      <c r="R167" s="36"/>
      <c r="S167" s="38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</row>
    <row r="168" spans="1:35" s="35" customFormat="1" ht="23.25" x14ac:dyDescent="0.35">
      <c r="A168" s="36"/>
      <c r="B168" s="37" t="s">
        <v>49</v>
      </c>
      <c r="C168" s="38">
        <f>($C$146/430)*440</f>
        <v>347.2766511627907</v>
      </c>
      <c r="D168" s="38">
        <f>($D$146/455)*440</f>
        <v>328.19551648351649</v>
      </c>
      <c r="E168" s="37" t="s">
        <v>49</v>
      </c>
      <c r="F168" s="36">
        <f>(F166/430)*440</f>
        <v>348.81255813953487</v>
      </c>
      <c r="G168" s="38"/>
      <c r="H168" s="36"/>
      <c r="I168" s="38"/>
      <c r="J168" s="38"/>
      <c r="K168" s="36"/>
      <c r="L168" s="36"/>
      <c r="M168" s="36"/>
      <c r="N168" s="36"/>
      <c r="O168" s="36"/>
      <c r="P168" s="36"/>
      <c r="Q168" s="36"/>
      <c r="R168" s="36"/>
      <c r="S168" s="38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</row>
    <row r="169" spans="1:35" s="35" customFormat="1" ht="23.25" x14ac:dyDescent="0.35">
      <c r="A169" s="36"/>
      <c r="B169" s="37" t="s">
        <v>307</v>
      </c>
      <c r="C169" s="38">
        <f>0.053*C168^0.75*C167^1.095</f>
        <v>5.2794568292131698</v>
      </c>
      <c r="D169" s="38">
        <f>0.053*D168^0.75*D167^1.095</f>
        <v>5.2443694237805065</v>
      </c>
      <c r="E169" s="37" t="s">
        <v>306</v>
      </c>
      <c r="F169" s="36">
        <f>0.052*(F168^0.75)*(F167^1.062)</f>
        <v>5.2810326021999767</v>
      </c>
      <c r="G169" s="38"/>
      <c r="H169" s="36"/>
      <c r="I169" s="38"/>
      <c r="J169" s="38"/>
      <c r="K169" s="36"/>
      <c r="L169" s="36"/>
      <c r="M169" s="36"/>
      <c r="N169" s="36"/>
      <c r="O169" s="36"/>
      <c r="P169" s="36"/>
      <c r="Q169" s="36"/>
      <c r="R169" s="36"/>
      <c r="S169" s="38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</row>
    <row r="170" spans="1:35" s="35" customFormat="1" ht="23.25" x14ac:dyDescent="0.35">
      <c r="A170" s="36"/>
      <c r="B170" s="37" t="s">
        <v>305</v>
      </c>
      <c r="C170" s="38">
        <f>0.064*C168^0.75*C167^1.095</f>
        <v>6.3751931522574123</v>
      </c>
      <c r="D170" s="38">
        <f>0.064*D168^0.75*D167^1.095</f>
        <v>6.3328234551311775</v>
      </c>
      <c r="E170" s="37"/>
      <c r="F170" s="36"/>
      <c r="G170" s="38"/>
      <c r="H170" s="36"/>
      <c r="I170" s="38"/>
      <c r="J170" s="38"/>
      <c r="K170" s="36"/>
      <c r="L170" s="36"/>
      <c r="M170" s="36"/>
      <c r="N170" s="36"/>
      <c r="O170" s="36"/>
      <c r="P170" s="36"/>
      <c r="Q170" s="36"/>
      <c r="R170" s="36"/>
      <c r="S170" s="38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</row>
    <row r="171" spans="1:35" s="35" customFormat="1" ht="23.25" x14ac:dyDescent="0.35">
      <c r="A171" s="36"/>
      <c r="B171" s="37" t="s">
        <v>304</v>
      </c>
      <c r="C171" s="38">
        <f>0.072*C168^0.75*C167^1.095</f>
        <v>7.1720922962895886</v>
      </c>
      <c r="D171" s="38">
        <f>0.072*D168^0.75*D167^1.095</f>
        <v>7.1244263870225737</v>
      </c>
      <c r="E171" s="37"/>
      <c r="F171" s="36"/>
      <c r="G171" s="38"/>
      <c r="H171" s="36"/>
      <c r="I171" s="38"/>
      <c r="J171" s="38"/>
      <c r="K171" s="36"/>
      <c r="L171" s="36"/>
      <c r="M171" s="36"/>
      <c r="N171" s="36"/>
      <c r="O171" s="36"/>
      <c r="P171" s="36"/>
      <c r="Q171" s="36"/>
      <c r="R171" s="36"/>
      <c r="S171" s="38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</row>
    <row r="172" spans="1:35" s="35" customFormat="1" ht="23.25" x14ac:dyDescent="0.35">
      <c r="A172" s="36"/>
      <c r="B172" s="37" t="s">
        <v>303</v>
      </c>
      <c r="C172" s="38">
        <f>IF(C24="Zebuíno",IF(C26="Macho não castrado",C169,IF(C26="macho castrado",C170,C171)),0)</f>
        <v>0</v>
      </c>
      <c r="D172" s="38">
        <f>IF(C24="Cruzado",IF(C26="Macho não castrado",D169,IF(C26="macho castrado",D170,D171)),0)</f>
        <v>7.1244263870225737</v>
      </c>
      <c r="E172" s="37"/>
      <c r="F172" s="36"/>
      <c r="G172" s="38"/>
      <c r="H172" s="36"/>
      <c r="I172" s="38"/>
      <c r="J172" s="38"/>
      <c r="K172" s="36"/>
      <c r="L172" s="36"/>
      <c r="M172" s="36"/>
      <c r="N172" s="36"/>
      <c r="O172" s="36"/>
      <c r="P172" s="36"/>
      <c r="Q172" s="36"/>
      <c r="R172" s="36"/>
      <c r="S172" s="38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</row>
    <row r="173" spans="1:35" s="35" customFormat="1" ht="23.25" x14ac:dyDescent="0.35">
      <c r="A173" s="36"/>
      <c r="B173" s="37" t="s">
        <v>302</v>
      </c>
      <c r="C173" s="38">
        <f>238.79*C167-15.68*C169</f>
        <v>207.46736191793747</v>
      </c>
      <c r="D173" s="38">
        <f>219.43*D167-15.01*D169</f>
        <v>196.84220894905462</v>
      </c>
      <c r="E173" s="37" t="s">
        <v>25</v>
      </c>
      <c r="F173" s="36">
        <f>(221.39*F167)-(6.61*F169)</f>
        <v>239.94805949945814</v>
      </c>
      <c r="G173" s="38"/>
      <c r="H173" s="36"/>
      <c r="I173" s="38"/>
      <c r="J173" s="38"/>
      <c r="K173" s="36"/>
      <c r="L173" s="36"/>
      <c r="M173" s="36"/>
      <c r="N173" s="36"/>
      <c r="O173" s="36"/>
      <c r="P173" s="36"/>
      <c r="Q173" s="36"/>
      <c r="R173" s="36"/>
      <c r="S173" s="38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</row>
    <row r="174" spans="1:35" s="35" customFormat="1" ht="23.25" x14ac:dyDescent="0.35">
      <c r="A174" s="36"/>
      <c r="B174" s="37" t="s">
        <v>301</v>
      </c>
      <c r="C174" s="38">
        <f>163.73*C167-4.65*C170</f>
        <v>169.36916684200304</v>
      </c>
      <c r="D174" s="38">
        <f>188.71*D167-7.67*D170</f>
        <v>188.40926209914389</v>
      </c>
      <c r="E174" s="37"/>
      <c r="F174" s="36"/>
      <c r="G174" s="38"/>
      <c r="H174" s="36"/>
      <c r="I174" s="38"/>
      <c r="J174" s="38"/>
      <c r="K174" s="36"/>
      <c r="L174" s="36"/>
      <c r="M174" s="36"/>
      <c r="N174" s="36"/>
      <c r="O174" s="36"/>
      <c r="P174" s="36"/>
      <c r="Q174" s="36"/>
      <c r="R174" s="36"/>
      <c r="S174" s="38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</row>
    <row r="175" spans="1:35" s="35" customFormat="1" ht="23.25" x14ac:dyDescent="0.35">
      <c r="A175" s="36"/>
      <c r="B175" s="37" t="s">
        <v>300</v>
      </c>
      <c r="C175" s="38">
        <f>163.73*C167-4.65*C171</f>
        <v>165.6635858222534</v>
      </c>
      <c r="D175" s="38">
        <f>188.71*D167-7.67*D171</f>
        <v>182.33766761153686</v>
      </c>
      <c r="E175" s="37"/>
      <c r="F175" s="36"/>
      <c r="G175" s="38"/>
      <c r="H175" s="36"/>
      <c r="I175" s="38"/>
      <c r="J175" s="38"/>
      <c r="K175" s="36"/>
      <c r="L175" s="36"/>
      <c r="M175" s="36"/>
      <c r="N175" s="36"/>
      <c r="O175" s="36"/>
      <c r="P175" s="36"/>
      <c r="Q175" s="36"/>
      <c r="R175" s="36"/>
      <c r="S175" s="38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</row>
    <row r="176" spans="1:35" s="35" customFormat="1" ht="23.25" x14ac:dyDescent="0.35">
      <c r="A176" s="36"/>
      <c r="B176" s="37" t="s">
        <v>299</v>
      </c>
      <c r="C176" s="38">
        <f>IF(C27="confinamento",IF(C24="Zebuíno",IF(C26="Macho não castrado",C173,IF(C26="macho castrado",C174,C175)),0))</f>
        <v>0</v>
      </c>
      <c r="D176" s="38">
        <f>IF(C27="confinamento",IF(C24="Cruzado",IF(C26="Macho não castrado",D173,IF(C26="macho castrado",D174,D175)),0))</f>
        <v>182.33766761153686</v>
      </c>
      <c r="E176" s="37"/>
      <c r="F176" s="36"/>
      <c r="G176" s="38"/>
      <c r="H176" s="36"/>
      <c r="I176" s="38"/>
      <c r="J176" s="38"/>
      <c r="K176" s="36"/>
      <c r="L176" s="36"/>
      <c r="M176" s="36"/>
      <c r="N176" s="36"/>
      <c r="O176" s="36"/>
      <c r="P176" s="36"/>
      <c r="Q176" s="36"/>
      <c r="R176" s="36"/>
      <c r="S176" s="38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</row>
    <row r="177" spans="1:35" s="35" customFormat="1" ht="23.25" x14ac:dyDescent="0.35">
      <c r="A177" s="36"/>
      <c r="B177" s="37" t="s">
        <v>298</v>
      </c>
      <c r="C177" s="38">
        <f>(84.665-0.1179*C168)/100</f>
        <v>0.43721082827906982</v>
      </c>
      <c r="D177" s="38">
        <f>(84.665-0.1179*D168)/100</f>
        <v>0.45970748606593409</v>
      </c>
      <c r="E177" s="37" t="s">
        <v>298</v>
      </c>
      <c r="F177" s="36">
        <f>(84.665-(0.1179*F168))/100</f>
        <v>0.43539999395348844</v>
      </c>
      <c r="G177" s="38"/>
      <c r="H177" s="36"/>
      <c r="I177" s="38"/>
      <c r="J177" s="38"/>
      <c r="K177" s="36"/>
      <c r="L177" s="36"/>
      <c r="M177" s="36"/>
      <c r="N177" s="36"/>
      <c r="O177" s="36"/>
      <c r="P177" s="36"/>
      <c r="Q177" s="36"/>
      <c r="R177" s="36"/>
      <c r="S177" s="38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</row>
    <row r="178" spans="1:35" s="35" customFormat="1" ht="23.25" x14ac:dyDescent="0.35">
      <c r="A178" s="36"/>
      <c r="B178" s="37" t="s">
        <v>297</v>
      </c>
      <c r="C178" s="38">
        <f>46.9/100</f>
        <v>0.46899999999999997</v>
      </c>
      <c r="D178" s="38">
        <f>46.9/100</f>
        <v>0.46899999999999997</v>
      </c>
      <c r="E178" s="37" t="s">
        <v>297</v>
      </c>
      <c r="F178" s="36">
        <f>46.9/100</f>
        <v>0.46899999999999997</v>
      </c>
      <c r="G178" s="38"/>
      <c r="H178" s="36"/>
      <c r="I178" s="38"/>
      <c r="J178" s="38"/>
      <c r="K178" s="36"/>
      <c r="L178" s="36"/>
      <c r="M178" s="36"/>
      <c r="N178" s="36"/>
      <c r="O178" s="36"/>
      <c r="P178" s="36"/>
      <c r="Q178" s="36"/>
      <c r="R178" s="36"/>
      <c r="S178" s="38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</row>
    <row r="179" spans="1:35" s="35" customFormat="1" ht="23.25" x14ac:dyDescent="0.35">
      <c r="A179" s="36"/>
      <c r="B179" s="37" t="s">
        <v>24</v>
      </c>
      <c r="C179" s="38">
        <f>(IF(C26="Macho não castrado",C173,IF(C26="macho castrado",C174,IF(C26="fêmea",C175))))/(IF(AC60&lt;=350,C177,IF(AC60&gt;350,C178)))</f>
        <v>353.22726188113734</v>
      </c>
      <c r="D179" s="38">
        <f>(IF(C26="Macho não castrado",D173,IF(C26="macho castrado",D174,IF(C26="fêmea",D175))))/(IF(AC60&lt;=350,D177,IF(AC60&gt;350,D178)))</f>
        <v>388.77967507790379</v>
      </c>
      <c r="E179" s="37" t="s">
        <v>24</v>
      </c>
      <c r="F179" s="36">
        <f>IF(AC60&lt;=350,(F173/F177),IF(AC60&gt;350,(F173/F178)))</f>
        <v>511.61633155534787</v>
      </c>
      <c r="G179" s="38"/>
      <c r="H179" s="36"/>
      <c r="I179" s="38"/>
      <c r="J179" s="38"/>
      <c r="K179" s="36"/>
      <c r="L179" s="36"/>
      <c r="M179" s="36"/>
      <c r="N179" s="36"/>
      <c r="O179" s="36"/>
      <c r="P179" s="36"/>
      <c r="Q179" s="36"/>
      <c r="R179" s="36"/>
      <c r="S179" s="38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</row>
    <row r="180" spans="1:35" s="35" customFormat="1" ht="23.25" x14ac:dyDescent="0.35">
      <c r="A180" s="36"/>
      <c r="B180" s="37" t="s">
        <v>23</v>
      </c>
      <c r="C180" s="38">
        <f>4*C30^0.75</f>
        <v>354.41150616014619</v>
      </c>
      <c r="D180" s="38">
        <f>4*C30^0.75</f>
        <v>354.41150616014619</v>
      </c>
      <c r="E180" s="37" t="s">
        <v>23</v>
      </c>
      <c r="F180" s="36">
        <f>4.5*(C30^0.75)</f>
        <v>398.71294443016444</v>
      </c>
      <c r="G180" s="38">
        <f>C180*1.11</f>
        <v>393.39677183776229</v>
      </c>
      <c r="H180" s="36">
        <f>D180*1.11</f>
        <v>393.39677183776229</v>
      </c>
      <c r="I180" s="38"/>
      <c r="J180" s="38"/>
      <c r="K180" s="36"/>
      <c r="L180" s="36"/>
      <c r="M180" s="36"/>
      <c r="N180" s="36"/>
      <c r="O180" s="36"/>
      <c r="P180" s="36"/>
      <c r="Q180" s="36"/>
      <c r="R180" s="36"/>
      <c r="S180" s="38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</row>
    <row r="181" spans="1:35" s="35" customFormat="1" ht="23.25" x14ac:dyDescent="0.35">
      <c r="A181" s="36"/>
      <c r="B181" s="37" t="s">
        <v>296</v>
      </c>
      <c r="C181" s="38">
        <f>C179+C180</f>
        <v>707.63876804128358</v>
      </c>
      <c r="D181" s="38">
        <f>D179+D180</f>
        <v>743.19118123804992</v>
      </c>
      <c r="E181" s="37" t="s">
        <v>296</v>
      </c>
      <c r="F181" s="36">
        <f>$F$179+F180</f>
        <v>910.32927598551237</v>
      </c>
      <c r="G181" s="38">
        <f>$F$179+G180</f>
        <v>905.01310339311021</v>
      </c>
      <c r="H181" s="36">
        <f>$F$179+H180</f>
        <v>905.01310339311021</v>
      </c>
      <c r="I181" s="38"/>
      <c r="J181" s="38"/>
      <c r="K181" s="36"/>
      <c r="L181" s="36"/>
      <c r="M181" s="36"/>
      <c r="N181" s="36"/>
      <c r="O181" s="36"/>
      <c r="P181" s="36"/>
      <c r="Q181" s="36"/>
      <c r="R181" s="36"/>
      <c r="S181" s="38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</row>
    <row r="182" spans="1:35" s="35" customFormat="1" ht="23.25" x14ac:dyDescent="0.35">
      <c r="A182" s="36"/>
      <c r="B182" s="37" t="s">
        <v>20</v>
      </c>
      <c r="C182" s="38">
        <f>120*C159</f>
        <v>774.47273211094944</v>
      </c>
      <c r="D182" s="38">
        <f>120*D159</f>
        <v>788.29962143325963</v>
      </c>
      <c r="E182" s="37" t="s">
        <v>20</v>
      </c>
      <c r="F182" s="36">
        <f>120*F159</f>
        <v>684.40639825372182</v>
      </c>
      <c r="G182" s="38"/>
      <c r="H182" s="36"/>
      <c r="I182" s="38"/>
      <c r="J182" s="38"/>
      <c r="K182" s="36"/>
      <c r="L182" s="36"/>
      <c r="M182" s="36"/>
      <c r="N182" s="36"/>
      <c r="O182" s="36"/>
      <c r="P182" s="36"/>
      <c r="Q182" s="36"/>
      <c r="R182" s="36"/>
      <c r="S182" s="38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</row>
    <row r="183" spans="1:35" s="35" customFormat="1" ht="23.25" x14ac:dyDescent="0.35">
      <c r="A183" s="36"/>
      <c r="B183" s="37" t="s">
        <v>18</v>
      </c>
      <c r="C183" s="38">
        <f>1.11*C182</f>
        <v>859.66473264315391</v>
      </c>
      <c r="D183" s="38">
        <f>1.11*D182</f>
        <v>875.01257979091827</v>
      </c>
      <c r="E183" s="37" t="s">
        <v>18</v>
      </c>
      <c r="F183" s="36">
        <f>1.11*F182</f>
        <v>759.69110206163134</v>
      </c>
      <c r="G183" s="38"/>
      <c r="H183" s="36"/>
      <c r="I183" s="38"/>
      <c r="J183" s="38"/>
      <c r="K183" s="36"/>
      <c r="L183" s="36"/>
      <c r="M183" s="36"/>
      <c r="N183" s="36"/>
      <c r="O183" s="36"/>
      <c r="P183" s="36"/>
      <c r="Q183" s="36"/>
      <c r="R183" s="36"/>
      <c r="S183" s="38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</row>
    <row r="184" spans="1:35" s="35" customFormat="1" ht="23.25" x14ac:dyDescent="0.35">
      <c r="A184" s="36"/>
      <c r="B184" s="37" t="s">
        <v>21</v>
      </c>
      <c r="C184" s="38">
        <f>((C181-(C182*0.64))/0.8)</f>
        <v>264.97027436284486</v>
      </c>
      <c r="D184" s="38">
        <f>((D181-(D182*0.64))/0.8)</f>
        <v>298.34927940095469</v>
      </c>
      <c r="E184" s="37" t="s">
        <v>21</v>
      </c>
      <c r="F184" s="36">
        <f>((F181-($F$182*0.64))/0.8)</f>
        <v>590.38647637891302</v>
      </c>
      <c r="G184" s="38">
        <f>((G181-($F$182*0.64))/0.8)</f>
        <v>583.74126063841027</v>
      </c>
      <c r="H184" s="36">
        <f>((H181-($F$182*0.64))/0.8)</f>
        <v>583.74126063841027</v>
      </c>
      <c r="I184" s="38"/>
      <c r="J184" s="38"/>
      <c r="K184" s="36"/>
      <c r="L184" s="36"/>
      <c r="M184" s="36"/>
      <c r="N184" s="36"/>
      <c r="O184" s="36"/>
      <c r="P184" s="36"/>
      <c r="Q184" s="36"/>
      <c r="R184" s="36"/>
      <c r="S184" s="38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</row>
    <row r="185" spans="1:35" s="35" customFormat="1" ht="23.25" x14ac:dyDescent="0.35">
      <c r="A185" s="36"/>
      <c r="B185" s="37" t="s">
        <v>14</v>
      </c>
      <c r="C185" s="38">
        <f>C183+C184</f>
        <v>1124.6350070059989</v>
      </c>
      <c r="D185" s="38">
        <f>D183+D184</f>
        <v>1173.361859191873</v>
      </c>
      <c r="E185" s="37" t="s">
        <v>14</v>
      </c>
      <c r="F185" s="36">
        <f>$F$183+F184</f>
        <v>1350.0775784405444</v>
      </c>
      <c r="G185" s="38">
        <f>$C$183+G184</f>
        <v>1443.4059932815642</v>
      </c>
      <c r="H185" s="36">
        <f>$D$183+H184</f>
        <v>1458.7538404293286</v>
      </c>
      <c r="I185" s="38"/>
      <c r="J185" s="38"/>
      <c r="K185" s="36"/>
      <c r="L185" s="36"/>
      <c r="M185" s="36"/>
      <c r="N185" s="36"/>
      <c r="O185" s="36"/>
      <c r="P185" s="36"/>
      <c r="Q185" s="36"/>
      <c r="R185" s="36"/>
      <c r="S185" s="38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</row>
    <row r="186" spans="1:35" s="35" customFormat="1" ht="23.25" x14ac:dyDescent="0.35">
      <c r="A186" s="36"/>
      <c r="B186" s="37"/>
      <c r="C186" s="38"/>
      <c r="D186" s="38"/>
      <c r="E186" s="36"/>
      <c r="F186" s="36"/>
      <c r="G186" s="38"/>
      <c r="H186" s="36"/>
      <c r="I186" s="38"/>
      <c r="J186" s="38"/>
      <c r="K186" s="36"/>
      <c r="L186" s="36"/>
      <c r="M186" s="36"/>
      <c r="N186" s="36"/>
      <c r="O186" s="36"/>
      <c r="P186" s="36"/>
      <c r="Q186" s="36"/>
      <c r="R186" s="36"/>
      <c r="S186" s="38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</row>
    <row r="187" spans="1:35" s="35" customFormat="1" ht="23.25" x14ac:dyDescent="0.35">
      <c r="A187" s="36"/>
      <c r="B187" s="37"/>
      <c r="C187" s="38"/>
      <c r="D187" s="38"/>
      <c r="E187" s="36"/>
      <c r="F187" s="36"/>
      <c r="G187" s="38"/>
      <c r="H187" s="36"/>
      <c r="I187" s="38"/>
      <c r="J187" s="38"/>
      <c r="K187" s="36"/>
      <c r="L187" s="36"/>
      <c r="M187" s="36"/>
      <c r="N187" s="36"/>
      <c r="O187" s="36"/>
      <c r="P187" s="36"/>
      <c r="Q187" s="36"/>
      <c r="R187" s="36"/>
      <c r="S187" s="38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</row>
    <row r="188" spans="1:35" s="35" customFormat="1" ht="23.25" x14ac:dyDescent="0.35">
      <c r="A188" s="36"/>
      <c r="B188" s="37"/>
      <c r="C188" s="38"/>
      <c r="D188" s="38"/>
      <c r="E188" s="36"/>
      <c r="F188" s="36"/>
      <c r="G188" s="38"/>
      <c r="H188" s="36"/>
      <c r="I188" s="38"/>
      <c r="J188" s="38"/>
      <c r="K188" s="36"/>
      <c r="L188" s="36"/>
      <c r="M188" s="36"/>
      <c r="N188" s="36"/>
      <c r="O188" s="36"/>
      <c r="P188" s="36"/>
      <c r="Q188" s="36"/>
      <c r="R188" s="36"/>
      <c r="S188" s="38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</row>
    <row r="189" spans="1:35" s="35" customFormat="1" ht="23.25" x14ac:dyDescent="0.35">
      <c r="A189" s="36"/>
      <c r="B189" s="37"/>
      <c r="C189" s="522" t="s">
        <v>295</v>
      </c>
      <c r="D189" s="523"/>
      <c r="E189" s="523"/>
      <c r="F189" s="523"/>
      <c r="G189" s="38"/>
      <c r="H189" s="36"/>
      <c r="I189" s="38"/>
      <c r="J189" s="38"/>
      <c r="K189" s="36"/>
      <c r="L189" s="36"/>
      <c r="M189" s="36"/>
      <c r="N189" s="36"/>
      <c r="O189" s="36"/>
      <c r="P189" s="36"/>
      <c r="Q189" s="36"/>
      <c r="R189" s="36"/>
      <c r="S189" s="38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</row>
    <row r="190" spans="1:35" s="35" customFormat="1" ht="23.25" x14ac:dyDescent="0.35">
      <c r="A190" s="36"/>
      <c r="B190" s="37"/>
      <c r="C190" s="522" t="s">
        <v>294</v>
      </c>
      <c r="D190" s="523"/>
      <c r="E190" s="36"/>
      <c r="F190" s="36" t="s">
        <v>293</v>
      </c>
      <c r="G190" s="38"/>
      <c r="H190" s="36"/>
      <c r="I190" s="38"/>
      <c r="J190" s="38"/>
      <c r="K190" s="36"/>
      <c r="L190" s="36"/>
      <c r="M190" s="36"/>
      <c r="N190" s="36"/>
      <c r="O190" s="36"/>
      <c r="P190" s="36"/>
      <c r="Q190" s="36"/>
      <c r="R190" s="36"/>
      <c r="S190" s="38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</row>
    <row r="191" spans="1:35" s="35" customFormat="1" ht="23.25" x14ac:dyDescent="0.35">
      <c r="A191" s="36"/>
      <c r="B191" s="37"/>
      <c r="C191" s="38" t="s">
        <v>12</v>
      </c>
      <c r="D191" s="38" t="s">
        <v>51</v>
      </c>
      <c r="E191" s="36"/>
      <c r="F191" s="38" t="s">
        <v>292</v>
      </c>
      <c r="G191" s="38"/>
      <c r="H191" s="36"/>
      <c r="I191" s="38"/>
      <c r="J191" s="38"/>
      <c r="K191" s="36"/>
      <c r="L191" s="36"/>
      <c r="M191" s="36"/>
      <c r="N191" s="36"/>
      <c r="O191" s="36"/>
      <c r="P191" s="36"/>
      <c r="Q191" s="36"/>
      <c r="R191" s="36"/>
      <c r="S191" s="38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</row>
    <row r="192" spans="1:35" s="35" customFormat="1" ht="23.25" x14ac:dyDescent="0.35">
      <c r="A192" s="36"/>
      <c r="B192" s="37" t="s">
        <v>46</v>
      </c>
      <c r="C192" s="38">
        <f>0.96*$C$30</f>
        <v>379.2</v>
      </c>
      <c r="D192" s="38">
        <f>0.96*$C$30</f>
        <v>379.2</v>
      </c>
      <c r="E192" s="37" t="s">
        <v>46</v>
      </c>
      <c r="F192" s="38">
        <f>0.96*$C$30</f>
        <v>379.2</v>
      </c>
      <c r="G192" s="38"/>
      <c r="H192" s="36"/>
      <c r="I192" s="38"/>
      <c r="J192" s="38"/>
      <c r="K192" s="36"/>
      <c r="L192" s="36"/>
      <c r="M192" s="36"/>
      <c r="N192" s="36"/>
      <c r="O192" s="36"/>
      <c r="P192" s="36"/>
      <c r="Q192" s="36"/>
      <c r="R192" s="36"/>
      <c r="S192" s="38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</row>
    <row r="193" spans="1:35" s="35" customFormat="1" ht="23.25" x14ac:dyDescent="0.35">
      <c r="A193" s="36"/>
      <c r="B193" s="37" t="s">
        <v>47</v>
      </c>
      <c r="C193" s="38">
        <f>0.895*C192</f>
        <v>339.38400000000001</v>
      </c>
      <c r="D193" s="38">
        <f>0.895*D192</f>
        <v>339.38400000000001</v>
      </c>
      <c r="E193" s="37" t="s">
        <v>47</v>
      </c>
      <c r="F193" s="38">
        <f>0.863*F192</f>
        <v>327.24959999999999</v>
      </c>
      <c r="G193" s="38"/>
      <c r="H193" s="36"/>
      <c r="I193" s="38"/>
      <c r="J193" s="38"/>
      <c r="K193" s="36"/>
      <c r="L193" s="36"/>
      <c r="M193" s="36"/>
      <c r="N193" s="36"/>
      <c r="O193" s="36"/>
      <c r="P193" s="36"/>
      <c r="Q193" s="36"/>
      <c r="R193" s="36"/>
      <c r="S193" s="38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</row>
    <row r="194" spans="1:35" s="35" customFormat="1" ht="23.25" x14ac:dyDescent="0.35">
      <c r="A194" s="36"/>
      <c r="B194" s="37" t="s">
        <v>49</v>
      </c>
      <c r="C194" s="38">
        <f>((C193/430)*440)</f>
        <v>347.2766511627907</v>
      </c>
      <c r="D194" s="38">
        <f>((D193/455)*440)</f>
        <v>328.19551648351649</v>
      </c>
      <c r="E194" s="37" t="s">
        <v>49</v>
      </c>
      <c r="F194" s="38">
        <f>((F193/430)*440)</f>
        <v>334.86005581395347</v>
      </c>
      <c r="G194" s="38"/>
      <c r="H194" s="36"/>
      <c r="I194" s="38"/>
      <c r="J194" s="38"/>
      <c r="K194" s="36"/>
      <c r="L194" s="36"/>
      <c r="M194" s="36"/>
      <c r="N194" s="36"/>
      <c r="O194" s="36"/>
      <c r="P194" s="36"/>
      <c r="Q194" s="36"/>
      <c r="R194" s="36"/>
      <c r="S194" s="38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s="35" customFormat="1" ht="23.25" x14ac:dyDescent="0.35">
      <c r="A195" s="36"/>
      <c r="B195" s="37" t="s">
        <v>48</v>
      </c>
      <c r="C195" s="38">
        <f>0.936*C31</f>
        <v>1.2168000000000001</v>
      </c>
      <c r="D195" s="38">
        <f>0.966*C31</f>
        <v>1.2558</v>
      </c>
      <c r="E195" s="37" t="s">
        <v>48</v>
      </c>
      <c r="F195" s="38">
        <f>0.955*C31</f>
        <v>1.2415</v>
      </c>
      <c r="G195" s="38"/>
      <c r="H195" s="36"/>
      <c r="I195" s="38"/>
      <c r="J195" s="38"/>
      <c r="K195" s="36"/>
      <c r="L195" s="36"/>
      <c r="M195" s="36"/>
      <c r="N195" s="36"/>
      <c r="O195" s="36"/>
      <c r="P195" s="36"/>
      <c r="Q195" s="36"/>
      <c r="R195" s="36"/>
      <c r="S195" s="38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s="35" customFormat="1" ht="23.25" x14ac:dyDescent="0.35">
      <c r="A196" s="36"/>
      <c r="B196" s="37" t="s">
        <v>57</v>
      </c>
      <c r="C196" s="38">
        <f>C195*(102*C194^-0.4)/0.55</f>
        <v>21.736341534353766</v>
      </c>
      <c r="D196" s="38">
        <f>D195*(102*D194^-0.4)/0.55</f>
        <v>22.945889797667288</v>
      </c>
      <c r="E196" s="37" t="s">
        <v>57</v>
      </c>
      <c r="F196" s="38">
        <f>F195*(102*F194^-0.4)/0.55</f>
        <v>22.502919575943469</v>
      </c>
      <c r="G196" s="38">
        <f>C196</f>
        <v>21.736341534353766</v>
      </c>
      <c r="H196" s="36">
        <f>D196</f>
        <v>22.945889797667288</v>
      </c>
      <c r="I196" s="38"/>
      <c r="J196" s="38"/>
      <c r="K196" s="36"/>
      <c r="L196" s="36"/>
      <c r="M196" s="36"/>
      <c r="N196" s="36"/>
      <c r="O196" s="36"/>
      <c r="P196" s="36"/>
      <c r="Q196" s="36"/>
      <c r="R196" s="36"/>
      <c r="S196" s="38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</row>
    <row r="197" spans="1:35" s="35" customFormat="1" ht="23.25" x14ac:dyDescent="0.35">
      <c r="A197" s="36"/>
      <c r="B197" s="37" t="s">
        <v>58</v>
      </c>
      <c r="C197" s="38">
        <f>(15.4*C30)/1000/0.55</f>
        <v>11.059999999999999</v>
      </c>
      <c r="D197" s="38">
        <f>(15.4*C30)/1000/0.55</f>
        <v>11.059999999999999</v>
      </c>
      <c r="E197" s="37" t="s">
        <v>58</v>
      </c>
      <c r="F197" s="38">
        <f>(15.4*C30)/1000/0.55</f>
        <v>11.059999999999999</v>
      </c>
      <c r="G197" s="38">
        <f>C197</f>
        <v>11.059999999999999</v>
      </c>
      <c r="H197" s="36">
        <f>D197</f>
        <v>11.059999999999999</v>
      </c>
      <c r="I197" s="38"/>
      <c r="J197" s="38"/>
      <c r="K197" s="36"/>
      <c r="L197" s="36"/>
      <c r="M197" s="36"/>
      <c r="N197" s="36"/>
      <c r="O197" s="36"/>
      <c r="P197" s="36"/>
      <c r="Q197" s="36"/>
      <c r="R197" s="36"/>
      <c r="S197" s="38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s="35" customFormat="1" ht="23.25" x14ac:dyDescent="0.35">
      <c r="A198" s="36"/>
      <c r="B198" s="39" t="s">
        <v>291</v>
      </c>
      <c r="C198" s="38">
        <f>(SUM(C196:C197))</f>
        <v>32.796341534353765</v>
      </c>
      <c r="D198" s="38">
        <f>(SUM(D196:D197))</f>
        <v>34.005889797667287</v>
      </c>
      <c r="E198" s="39" t="s">
        <v>291</v>
      </c>
      <c r="F198" s="38">
        <f>(SUM(F196:F197))</f>
        <v>33.562919575943468</v>
      </c>
      <c r="G198" s="38">
        <f>(SUM(G196:G197))</f>
        <v>32.796341534353765</v>
      </c>
      <c r="H198" s="38">
        <f>(SUM(H196:H197))</f>
        <v>34.005889797667287</v>
      </c>
      <c r="I198" s="38"/>
      <c r="J198" s="38"/>
      <c r="K198" s="36"/>
      <c r="L198" s="36"/>
      <c r="M198" s="36"/>
      <c r="N198" s="36"/>
      <c r="O198" s="36"/>
      <c r="P198" s="36"/>
      <c r="Q198" s="36"/>
      <c r="R198" s="36"/>
      <c r="S198" s="38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</row>
    <row r="199" spans="1:35" s="35" customFormat="1" ht="23.25" x14ac:dyDescent="0.35">
      <c r="A199" s="36"/>
      <c r="B199" s="37" t="s">
        <v>290</v>
      </c>
      <c r="C199" s="38">
        <f>C195*(29.8*C194^-0.29)/0.68</f>
        <v>9.7753121141283668</v>
      </c>
      <c r="D199" s="38">
        <f>D195*(29.8*D194^-0.29)/0.68</f>
        <v>10.255323472236499</v>
      </c>
      <c r="E199" s="37" t="s">
        <v>290</v>
      </c>
      <c r="F199" s="38">
        <f>F195*(29.8*F194^-0.29)/0.68</f>
        <v>10.079609452333511</v>
      </c>
      <c r="G199" s="38">
        <f>C199</f>
        <v>9.7753121141283668</v>
      </c>
      <c r="H199" s="36">
        <f>D199</f>
        <v>10.255323472236499</v>
      </c>
      <c r="I199" s="38"/>
      <c r="J199" s="38"/>
      <c r="K199" s="36"/>
      <c r="L199" s="36"/>
      <c r="M199" s="36"/>
      <c r="N199" s="36"/>
      <c r="O199" s="36"/>
      <c r="P199" s="36"/>
      <c r="Q199" s="36"/>
      <c r="R199" s="36"/>
      <c r="S199" s="38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</row>
    <row r="200" spans="1:35" s="35" customFormat="1" ht="23.25" x14ac:dyDescent="0.35">
      <c r="A200" s="36"/>
      <c r="B200" s="37" t="s">
        <v>59</v>
      </c>
      <c r="C200" s="38">
        <f>(17.6*$C$30)/1000/0.68</f>
        <v>10.223529411764707</v>
      </c>
      <c r="D200" s="38">
        <f>(17.6*$C$30)/1000/0.68</f>
        <v>10.223529411764707</v>
      </c>
      <c r="E200" s="37" t="s">
        <v>59</v>
      </c>
      <c r="F200" s="38">
        <f>(17.6*$C$30)/1000/0.68</f>
        <v>10.223529411764707</v>
      </c>
      <c r="G200" s="38">
        <f>(17.6*$C$30)/1000</f>
        <v>6.9520000000000008</v>
      </c>
      <c r="H200" s="38">
        <f>(17.6*$C$30)/1000</f>
        <v>6.9520000000000008</v>
      </c>
      <c r="I200" s="38"/>
      <c r="J200" s="38"/>
      <c r="K200" s="36"/>
      <c r="L200" s="36"/>
      <c r="M200" s="36"/>
      <c r="N200" s="36"/>
      <c r="O200" s="36"/>
      <c r="P200" s="36"/>
      <c r="Q200" s="36"/>
      <c r="R200" s="36"/>
      <c r="S200" s="38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</row>
    <row r="201" spans="1:35" s="35" customFormat="1" ht="23.25" x14ac:dyDescent="0.35">
      <c r="A201" s="36"/>
      <c r="B201" s="39" t="s">
        <v>289</v>
      </c>
      <c r="C201" s="38">
        <f>(SUM(C199:C200))</f>
        <v>19.998841525893074</v>
      </c>
      <c r="D201" s="38">
        <f>(SUM(D199:D200))</f>
        <v>20.478852884001206</v>
      </c>
      <c r="E201" s="39" t="s">
        <v>289</v>
      </c>
      <c r="F201" s="38">
        <f>(SUM(F199:F200))</f>
        <v>20.303138864098216</v>
      </c>
      <c r="G201" s="38">
        <f>(SUM(G199:G200))</f>
        <v>16.727312114128367</v>
      </c>
      <c r="H201" s="38">
        <f>(SUM(H199:H200))</f>
        <v>17.207323472236499</v>
      </c>
      <c r="I201" s="38"/>
      <c r="J201" s="38"/>
      <c r="K201" s="36"/>
      <c r="L201" s="36"/>
      <c r="M201" s="36"/>
      <c r="N201" s="36"/>
      <c r="O201" s="36"/>
      <c r="P201" s="36"/>
      <c r="Q201" s="36"/>
      <c r="R201" s="36"/>
      <c r="S201" s="38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</row>
    <row r="202" spans="1:35" s="35" customFormat="1" ht="23.25" x14ac:dyDescent="0.35">
      <c r="A202" s="36"/>
      <c r="B202" s="37" t="s">
        <v>288</v>
      </c>
      <c r="C202" s="38">
        <f>(333.3*C195)/1000/0.16</f>
        <v>2.5347465000000002</v>
      </c>
      <c r="D202" s="38">
        <f>(339.6*D195)/1000/0.16</f>
        <v>2.6654355000000001</v>
      </c>
      <c r="E202" s="37" t="s">
        <v>288</v>
      </c>
      <c r="F202" s="38">
        <f>(333.3*F195)/1000/0.16</f>
        <v>2.5861996875000002</v>
      </c>
      <c r="G202" s="38">
        <f>C202</f>
        <v>2.5347465000000002</v>
      </c>
      <c r="H202" s="36">
        <f>D202</f>
        <v>2.6654355000000001</v>
      </c>
      <c r="I202" s="38"/>
      <c r="J202" s="38"/>
      <c r="K202" s="36"/>
      <c r="L202" s="36"/>
      <c r="M202" s="36"/>
      <c r="N202" s="36"/>
      <c r="O202" s="36"/>
      <c r="P202" s="36"/>
      <c r="Q202" s="36"/>
      <c r="R202" s="36"/>
      <c r="S202" s="38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</row>
    <row r="203" spans="1:35" s="35" customFormat="1" ht="23.25" x14ac:dyDescent="0.35">
      <c r="A203" s="36"/>
      <c r="B203" s="37" t="s">
        <v>60</v>
      </c>
      <c r="C203" s="38">
        <f>(3.3*C193)/1000/0.16</f>
        <v>6.9997949999999998</v>
      </c>
      <c r="D203" s="38">
        <f>(3.3*D193)/1000/0.16</f>
        <v>6.9997949999999998</v>
      </c>
      <c r="E203" s="37" t="s">
        <v>60</v>
      </c>
      <c r="F203" s="38">
        <f>(3.3*F193)/1000/0.16</f>
        <v>6.7495229999999991</v>
      </c>
      <c r="G203" s="38">
        <f>C203</f>
        <v>6.9997949999999998</v>
      </c>
      <c r="H203" s="36">
        <f>D203</f>
        <v>6.9997949999999998</v>
      </c>
      <c r="I203" s="38"/>
      <c r="J203" s="38"/>
      <c r="K203" s="36"/>
      <c r="L203" s="36"/>
      <c r="M203" s="36"/>
      <c r="N203" s="36"/>
      <c r="O203" s="36"/>
      <c r="P203" s="36"/>
      <c r="Q203" s="36"/>
      <c r="R203" s="36"/>
      <c r="S203" s="38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</row>
    <row r="204" spans="1:35" s="35" customFormat="1" ht="23.25" x14ac:dyDescent="0.35">
      <c r="A204" s="36"/>
      <c r="B204" s="39" t="s">
        <v>287</v>
      </c>
      <c r="C204" s="38">
        <f>(SUM(C202:C203))</f>
        <v>9.5345414999999996</v>
      </c>
      <c r="D204" s="38">
        <f>(SUM(D202:D203))</f>
        <v>9.6652304999999998</v>
      </c>
      <c r="E204" s="39" t="s">
        <v>287</v>
      </c>
      <c r="F204" s="38">
        <f>(SUM(F202:F203))</f>
        <v>9.3357226874999988</v>
      </c>
      <c r="G204" s="38">
        <f>(SUM(G202:G203))</f>
        <v>9.5345414999999996</v>
      </c>
      <c r="H204" s="38">
        <f>(SUM(H202:H203))</f>
        <v>9.6652304999999998</v>
      </c>
      <c r="I204" s="38"/>
      <c r="J204" s="38"/>
      <c r="K204" s="36"/>
      <c r="L204" s="36"/>
      <c r="M204" s="36"/>
      <c r="N204" s="36"/>
      <c r="O204" s="36"/>
      <c r="P204" s="36"/>
      <c r="Q204" s="36"/>
      <c r="R204" s="36"/>
      <c r="S204" s="38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</row>
    <row r="205" spans="1:35" s="35" customFormat="1" ht="23.25" x14ac:dyDescent="0.35">
      <c r="A205" s="36"/>
      <c r="B205" s="37" t="s">
        <v>286</v>
      </c>
      <c r="C205" s="38">
        <f>1.5243*C195/0.91</f>
        <v>2.0382068571428573</v>
      </c>
      <c r="D205" s="38">
        <f>1.4388*D195/0.91</f>
        <v>1.9855440000000002</v>
      </c>
      <c r="E205" s="37" t="s">
        <v>286</v>
      </c>
      <c r="F205" s="38">
        <f>1.5243*F195/0.91</f>
        <v>2.0795807142857141</v>
      </c>
      <c r="G205" s="38">
        <f>C205</f>
        <v>2.0382068571428573</v>
      </c>
      <c r="H205" s="36">
        <f>D205</f>
        <v>1.9855440000000002</v>
      </c>
      <c r="I205" s="38"/>
      <c r="J205" s="38"/>
      <c r="K205" s="36"/>
      <c r="L205" s="36"/>
      <c r="M205" s="36"/>
      <c r="N205" s="36"/>
      <c r="O205" s="36"/>
      <c r="P205" s="36"/>
      <c r="Q205" s="36"/>
      <c r="R205" s="36"/>
      <c r="S205" s="38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</row>
    <row r="206" spans="1:35" s="35" customFormat="1" ht="23.25" x14ac:dyDescent="0.35">
      <c r="A206" s="36"/>
      <c r="B206" s="37" t="s">
        <v>285</v>
      </c>
      <c r="C206" s="38">
        <f>1.3503*C195/0.91</f>
        <v>1.8055440000000003</v>
      </c>
      <c r="D206" s="38">
        <f>1.2511*D195/0.91</f>
        <v>1.7265180000000002</v>
      </c>
      <c r="E206" s="37" t="s">
        <v>285</v>
      </c>
      <c r="F206" s="38">
        <f>1.3503*F195/0.91</f>
        <v>1.842195</v>
      </c>
      <c r="G206" s="38">
        <f>C206</f>
        <v>1.8055440000000003</v>
      </c>
      <c r="H206" s="36">
        <f>D206</f>
        <v>1.7265180000000002</v>
      </c>
      <c r="I206" s="38"/>
      <c r="J206" s="38"/>
      <c r="K206" s="36"/>
      <c r="L206" s="36"/>
      <c r="M206" s="36"/>
      <c r="N206" s="36"/>
      <c r="O206" s="36"/>
      <c r="P206" s="36"/>
      <c r="Q206" s="36"/>
      <c r="R206" s="36"/>
      <c r="S206" s="38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</row>
    <row r="207" spans="1:35" s="35" customFormat="1" ht="23.25" x14ac:dyDescent="0.35">
      <c r="A207" s="36"/>
      <c r="B207" s="37" t="s">
        <v>61</v>
      </c>
      <c r="C207" s="38">
        <f>(7*C193)/1000/0.91</f>
        <v>2.6106461538461541</v>
      </c>
      <c r="D207" s="38">
        <f>(7*D193)/1000/0.91</f>
        <v>2.6106461538461541</v>
      </c>
      <c r="E207" s="37" t="s">
        <v>61</v>
      </c>
      <c r="F207" s="38">
        <f>(7*F193)/1000/0.91</f>
        <v>2.517304615384615</v>
      </c>
      <c r="G207" s="38">
        <f>(7*F193)/1000</f>
        <v>2.2907471999999998</v>
      </c>
      <c r="H207" s="38">
        <f>(7*F193)/1000</f>
        <v>2.2907471999999998</v>
      </c>
      <c r="I207" s="38"/>
      <c r="J207" s="38"/>
      <c r="K207" s="36"/>
      <c r="L207" s="36"/>
      <c r="M207" s="36"/>
      <c r="N207" s="36"/>
      <c r="O207" s="36"/>
      <c r="P207" s="36"/>
      <c r="Q207" s="36"/>
      <c r="R207" s="36"/>
      <c r="S207" s="38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</row>
    <row r="208" spans="1:35" s="35" customFormat="1" ht="23.25" x14ac:dyDescent="0.35">
      <c r="A208" s="36"/>
      <c r="B208" s="39" t="s">
        <v>284</v>
      </c>
      <c r="C208" s="38">
        <f>(IF(C26="fêmea",(C206+C207),(C205+C207)))</f>
        <v>4.4161901538461539</v>
      </c>
      <c r="D208" s="38">
        <f>(IF(C26="fêmea",(D206+D207),(D205+D207)))</f>
        <v>4.3371641538461541</v>
      </c>
      <c r="E208" s="39" t="s">
        <v>284</v>
      </c>
      <c r="F208" s="38">
        <f>(IF($C$26="fêmea",(F206+F207),(F205+F207)))</f>
        <v>4.3594996153846148</v>
      </c>
      <c r="G208" s="38">
        <f>(IF($C$26="fêmea",(G206+G207),(G205+G207)))</f>
        <v>4.0962911999999996</v>
      </c>
      <c r="H208" s="38">
        <f>(IF($C$26="fêmea",(H206+H207),(H205+H207)))</f>
        <v>4.0172651999999998</v>
      </c>
      <c r="I208" s="38"/>
      <c r="J208" s="38"/>
      <c r="K208" s="36"/>
      <c r="L208" s="36"/>
      <c r="M208" s="36"/>
      <c r="N208" s="36"/>
      <c r="O208" s="36"/>
      <c r="P208" s="36"/>
      <c r="Q208" s="36"/>
      <c r="R208" s="36"/>
      <c r="S208" s="38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</row>
    <row r="209" spans="1:35" s="35" customFormat="1" ht="23.25" x14ac:dyDescent="0.35">
      <c r="A209" s="36"/>
      <c r="B209" s="37" t="s">
        <v>283</v>
      </c>
      <c r="C209" s="38">
        <f>C195*(0.29*C194^0.38)</f>
        <v>3.258921663404438</v>
      </c>
      <c r="D209" s="38">
        <f>D195*(0.29*D194^0.38)</f>
        <v>3.2919170346877453</v>
      </c>
      <c r="E209" s="37" t="s">
        <v>283</v>
      </c>
      <c r="F209" s="38">
        <f>F195*(0.29*F194^0.38)</f>
        <v>3.279387923301964</v>
      </c>
      <c r="G209" s="38">
        <f t="shared" ref="G209:H213" si="5">C209</f>
        <v>3.258921663404438</v>
      </c>
      <c r="H209" s="36">
        <f t="shared" si="5"/>
        <v>3.2919170346877453</v>
      </c>
      <c r="I209" s="38"/>
      <c r="J209" s="38"/>
      <c r="K209" s="36"/>
      <c r="L209" s="36"/>
      <c r="M209" s="36"/>
      <c r="N209" s="36"/>
      <c r="O209" s="36"/>
      <c r="P209" s="36"/>
      <c r="Q209" s="36"/>
      <c r="R209" s="36"/>
      <c r="S209" s="38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</row>
    <row r="210" spans="1:35" s="35" customFormat="1" ht="23.25" x14ac:dyDescent="0.35">
      <c r="A210" s="36"/>
      <c r="B210" s="37" t="s">
        <v>282</v>
      </c>
      <c r="C210" s="38">
        <f>2.6*AC10</f>
        <v>22.720743243122165</v>
      </c>
      <c r="D210" s="38">
        <f>2.6*AC10</f>
        <v>22.720743243122165</v>
      </c>
      <c r="E210" s="37" t="s">
        <v>282</v>
      </c>
      <c r="F210" s="38">
        <f>2.6*AC10</f>
        <v>22.720743243122165</v>
      </c>
      <c r="G210" s="38">
        <f t="shared" si="5"/>
        <v>22.720743243122165</v>
      </c>
      <c r="H210" s="36">
        <f t="shared" si="5"/>
        <v>22.720743243122165</v>
      </c>
      <c r="I210" s="38"/>
      <c r="J210" s="38"/>
      <c r="K210" s="36"/>
      <c r="L210" s="36"/>
      <c r="M210" s="36"/>
      <c r="N210" s="36"/>
      <c r="O210" s="36"/>
      <c r="P210" s="36"/>
      <c r="Q210" s="36"/>
      <c r="R210" s="36"/>
      <c r="S210" s="38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</row>
    <row r="211" spans="1:35" s="35" customFormat="1" ht="23.25" x14ac:dyDescent="0.35">
      <c r="A211" s="36"/>
      <c r="B211" s="37" t="s">
        <v>281</v>
      </c>
      <c r="C211" s="38">
        <f>(37.5*$C$30)/1000</f>
        <v>14.8125</v>
      </c>
      <c r="D211" s="38">
        <f>(37.5*$C$30)/1000</f>
        <v>14.8125</v>
      </c>
      <c r="E211" s="37" t="s">
        <v>281</v>
      </c>
      <c r="F211" s="38">
        <f>(37.5*$C$30)/1000</f>
        <v>14.8125</v>
      </c>
      <c r="G211" s="38">
        <f t="shared" si="5"/>
        <v>14.8125</v>
      </c>
      <c r="H211" s="36">
        <f t="shared" si="5"/>
        <v>14.8125</v>
      </c>
      <c r="I211" s="38"/>
      <c r="J211" s="38"/>
      <c r="K211" s="36"/>
      <c r="L211" s="36"/>
      <c r="M211" s="36"/>
      <c r="N211" s="36"/>
      <c r="O211" s="36"/>
      <c r="P211" s="36"/>
      <c r="Q211" s="36"/>
      <c r="R211" s="36"/>
      <c r="S211" s="38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</row>
    <row r="212" spans="1:35" s="35" customFormat="1" ht="23.25" x14ac:dyDescent="0.35">
      <c r="A212" s="36"/>
      <c r="B212" s="37" t="s">
        <v>280</v>
      </c>
      <c r="C212" s="38">
        <f>0.7*(C30/100)</f>
        <v>2.7650000000000001</v>
      </c>
      <c r="D212" s="38">
        <f>0.7*($C$30/100)</f>
        <v>2.7650000000000001</v>
      </c>
      <c r="E212" s="37" t="s">
        <v>280</v>
      </c>
      <c r="F212" s="38">
        <f>0.7*($C$30/100)</f>
        <v>2.7650000000000001</v>
      </c>
      <c r="G212" s="38">
        <f t="shared" si="5"/>
        <v>2.7650000000000001</v>
      </c>
      <c r="H212" s="36">
        <f t="shared" si="5"/>
        <v>2.7650000000000001</v>
      </c>
      <c r="I212" s="38"/>
      <c r="J212" s="38"/>
      <c r="K212" s="36"/>
      <c r="L212" s="36"/>
      <c r="M212" s="36"/>
      <c r="N212" s="36"/>
      <c r="O212" s="36"/>
      <c r="P212" s="36"/>
      <c r="Q212" s="36"/>
      <c r="R212" s="36"/>
      <c r="S212" s="38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</row>
    <row r="213" spans="1:35" s="35" customFormat="1" ht="23.25" x14ac:dyDescent="0.35">
      <c r="A213" s="36"/>
      <c r="B213" s="37" t="s">
        <v>279</v>
      </c>
      <c r="C213" s="38">
        <f>0.7+(0.002*C30)</f>
        <v>1.49</v>
      </c>
      <c r="D213" s="38">
        <f>0.7+(0.002*$C$30)</f>
        <v>1.49</v>
      </c>
      <c r="E213" s="37" t="s">
        <v>279</v>
      </c>
      <c r="F213" s="38">
        <f>0.7+(0.002*$C$30)</f>
        <v>1.49</v>
      </c>
      <c r="G213" s="38">
        <f t="shared" si="5"/>
        <v>1.49</v>
      </c>
      <c r="H213" s="36">
        <f t="shared" si="5"/>
        <v>1.49</v>
      </c>
      <c r="I213" s="38"/>
      <c r="J213" s="38"/>
      <c r="K213" s="36"/>
      <c r="L213" s="36"/>
      <c r="M213" s="36"/>
      <c r="N213" s="36"/>
      <c r="O213" s="36"/>
      <c r="P213" s="36"/>
      <c r="Q213" s="36"/>
      <c r="R213" s="36"/>
      <c r="S213" s="38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</row>
    <row r="214" spans="1:35" s="35" customFormat="1" ht="23.25" x14ac:dyDescent="0.35">
      <c r="A214" s="36"/>
      <c r="B214" s="39" t="s">
        <v>278</v>
      </c>
      <c r="C214" s="38">
        <f>SUM(C209:C213)</f>
        <v>45.047164906526604</v>
      </c>
      <c r="D214" s="38">
        <f>SUM(D209:D213)</f>
        <v>45.080160277809917</v>
      </c>
      <c r="E214" s="39" t="s">
        <v>278</v>
      </c>
      <c r="F214" s="38">
        <f>SUM(F209:F213)</f>
        <v>45.067631166424128</v>
      </c>
      <c r="G214" s="38">
        <f>SUM(G209:G213)</f>
        <v>45.047164906526604</v>
      </c>
      <c r="H214" s="38">
        <f>SUM(H209:H213)</f>
        <v>45.080160277809917</v>
      </c>
      <c r="I214" s="38"/>
      <c r="J214" s="38"/>
      <c r="K214" s="36"/>
      <c r="L214" s="36"/>
      <c r="M214" s="36"/>
      <c r="N214" s="36"/>
      <c r="O214" s="36"/>
      <c r="P214" s="36"/>
      <c r="Q214" s="36"/>
      <c r="R214" s="36"/>
      <c r="S214" s="38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</row>
    <row r="215" spans="1:35" s="35" customFormat="1" ht="23.25" x14ac:dyDescent="0.35">
      <c r="A215" s="36"/>
      <c r="B215" s="37" t="s">
        <v>277</v>
      </c>
      <c r="C215" s="38">
        <f>SUM(C210:C213)</f>
        <v>41.788243243122167</v>
      </c>
      <c r="D215" s="38">
        <f>SUM(D210:D213)</f>
        <v>41.788243243122167</v>
      </c>
      <c r="E215" s="37" t="s">
        <v>277</v>
      </c>
      <c r="F215" s="38">
        <f>SUM(F210:F213)</f>
        <v>41.788243243122167</v>
      </c>
      <c r="G215" s="38">
        <f>SUM(G210:G213)</f>
        <v>41.788243243122167</v>
      </c>
      <c r="H215" s="38">
        <f>SUM(H210:H213)</f>
        <v>41.788243243122167</v>
      </c>
      <c r="I215" s="38"/>
      <c r="J215" s="38"/>
      <c r="K215" s="36"/>
      <c r="L215" s="36"/>
      <c r="M215" s="36"/>
      <c r="N215" s="36"/>
      <c r="O215" s="36"/>
      <c r="P215" s="36"/>
      <c r="Q215" s="36"/>
      <c r="R215" s="36"/>
      <c r="S215" s="38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</row>
    <row r="216" spans="1:35" s="35" customFormat="1" ht="23.25" x14ac:dyDescent="0.35">
      <c r="A216" s="36"/>
      <c r="B216" s="36"/>
      <c r="C216" s="38"/>
      <c r="D216" s="38"/>
      <c r="E216" s="37"/>
      <c r="F216" s="38"/>
      <c r="G216" s="38"/>
      <c r="H216" s="36"/>
      <c r="I216" s="38"/>
      <c r="J216" s="38"/>
      <c r="K216" s="36"/>
      <c r="L216" s="36"/>
      <c r="M216" s="36"/>
      <c r="N216" s="36"/>
      <c r="O216" s="36"/>
      <c r="P216" s="36"/>
      <c r="Q216" s="36"/>
      <c r="R216" s="36"/>
      <c r="S216" s="38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</row>
    <row r="217" spans="1:35" s="35" customFormat="1" ht="23.25" x14ac:dyDescent="0.35">
      <c r="A217" s="36"/>
      <c r="B217" s="37"/>
      <c r="C217" s="522"/>
      <c r="D217" s="523"/>
      <c r="E217" s="523"/>
      <c r="F217" s="523"/>
      <c r="G217" s="38"/>
      <c r="H217" s="36"/>
      <c r="I217" s="38"/>
      <c r="J217" s="38"/>
      <c r="K217" s="36"/>
      <c r="L217" s="36"/>
      <c r="M217" s="36"/>
      <c r="N217" s="36"/>
      <c r="O217" s="36"/>
      <c r="P217" s="36"/>
      <c r="Q217" s="36"/>
      <c r="R217" s="36"/>
      <c r="S217" s="38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</row>
    <row r="218" spans="1:35" s="35" customFormat="1" ht="23.25" x14ac:dyDescent="0.35">
      <c r="A218" s="36"/>
      <c r="B218" s="37"/>
      <c r="C218" s="522"/>
      <c r="D218" s="523"/>
      <c r="E218" s="36"/>
      <c r="F218" s="36"/>
      <c r="G218" s="38"/>
      <c r="H218" s="36"/>
      <c r="I218" s="38"/>
      <c r="J218" s="38"/>
      <c r="K218" s="36"/>
      <c r="L218" s="36"/>
      <c r="M218" s="36"/>
      <c r="N218" s="36"/>
      <c r="O218" s="36"/>
      <c r="P218" s="36"/>
      <c r="Q218" s="36"/>
      <c r="R218" s="36"/>
      <c r="S218" s="38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</row>
    <row r="219" spans="1:35" s="35" customFormat="1" ht="23.25" x14ac:dyDescent="0.35">
      <c r="A219" s="36"/>
      <c r="B219" s="36"/>
      <c r="C219" s="36"/>
      <c r="D219" s="36"/>
      <c r="E219" s="37"/>
      <c r="F219" s="36"/>
      <c r="G219" s="38"/>
      <c r="H219" s="36"/>
      <c r="I219" s="38"/>
      <c r="J219" s="38"/>
      <c r="K219" s="36"/>
      <c r="L219" s="36"/>
      <c r="M219" s="36"/>
      <c r="N219" s="36"/>
      <c r="O219" s="36"/>
      <c r="P219" s="36"/>
      <c r="Q219" s="36"/>
      <c r="R219" s="36"/>
      <c r="S219" s="38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</row>
    <row r="220" spans="1:35" s="35" customFormat="1" ht="23.25" x14ac:dyDescent="0.35">
      <c r="A220" s="36"/>
      <c r="B220" s="36"/>
      <c r="C220" s="36"/>
      <c r="D220" s="36"/>
      <c r="E220" s="37"/>
      <c r="F220" s="36"/>
      <c r="G220" s="38"/>
      <c r="H220" s="36"/>
      <c r="I220" s="38"/>
      <c r="J220" s="38"/>
      <c r="K220" s="36"/>
      <c r="L220" s="36"/>
      <c r="M220" s="36"/>
      <c r="N220" s="36"/>
      <c r="O220" s="36"/>
      <c r="P220" s="36"/>
      <c r="Q220" s="36"/>
      <c r="R220" s="36"/>
      <c r="S220" s="38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</row>
    <row r="221" spans="1:35" s="35" customFormat="1" ht="23.25" x14ac:dyDescent="0.35">
      <c r="A221" s="36"/>
      <c r="B221" s="36"/>
      <c r="C221" s="36"/>
      <c r="D221" s="36"/>
      <c r="E221" s="37"/>
      <c r="F221" s="36"/>
      <c r="G221" s="38"/>
      <c r="H221" s="36"/>
      <c r="I221" s="38"/>
      <c r="J221" s="38"/>
      <c r="K221" s="36"/>
      <c r="L221" s="36"/>
      <c r="M221" s="36"/>
      <c r="N221" s="36"/>
      <c r="O221" s="36"/>
      <c r="P221" s="36"/>
      <c r="Q221" s="36"/>
      <c r="R221" s="36"/>
      <c r="S221" s="38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</row>
    <row r="222" spans="1:35" s="35" customFormat="1" ht="23.25" x14ac:dyDescent="0.35">
      <c r="A222" s="36"/>
      <c r="B222" s="36"/>
      <c r="C222" s="36"/>
      <c r="D222" s="36"/>
      <c r="E222" s="36"/>
      <c r="F222" s="36"/>
      <c r="G222" s="38"/>
      <c r="H222" s="36"/>
      <c r="I222" s="38"/>
      <c r="J222" s="38"/>
      <c r="K222" s="36"/>
      <c r="L222" s="36"/>
      <c r="M222" s="36"/>
      <c r="N222" s="36"/>
      <c r="O222" s="36"/>
      <c r="P222" s="36"/>
      <c r="Q222" s="36"/>
      <c r="R222" s="36"/>
      <c r="S222" s="38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</row>
    <row r="223" spans="1:35" s="35" customFormat="1" ht="23.25" x14ac:dyDescent="0.3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8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</row>
    <row r="224" spans="1:35" s="35" customFormat="1" ht="23.25" x14ac:dyDescent="0.3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8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</row>
    <row r="225" spans="1:35" s="35" customFormat="1" ht="23.25" x14ac:dyDescent="0.3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8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</row>
    <row r="226" spans="1:35" s="35" customFormat="1" ht="23.25" x14ac:dyDescent="0.3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8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</row>
    <row r="227" spans="1:35" s="35" customFormat="1" ht="23.25" x14ac:dyDescent="0.3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8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</row>
    <row r="228" spans="1:35" s="35" customFormat="1" ht="23.25" x14ac:dyDescent="0.3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8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</row>
    <row r="229" spans="1:35" s="35" customFormat="1" ht="23.25" x14ac:dyDescent="0.3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8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</row>
    <row r="230" spans="1:35" s="35" customFormat="1" ht="23.25" x14ac:dyDescent="0.3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8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</row>
    <row r="231" spans="1:35" s="35" customFormat="1" ht="23.25" x14ac:dyDescent="0.3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8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</row>
    <row r="232" spans="1:35" s="35" customFormat="1" ht="23.25" x14ac:dyDescent="0.3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8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</row>
    <row r="233" spans="1:35" s="35" customFormat="1" ht="23.25" x14ac:dyDescent="0.3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8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</row>
    <row r="234" spans="1:35" s="35" customFormat="1" ht="23.25" x14ac:dyDescent="0.3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8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</row>
    <row r="235" spans="1:35" s="35" customFormat="1" ht="23.25" x14ac:dyDescent="0.3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8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</row>
    <row r="236" spans="1:35" s="35" customFormat="1" ht="23.25" x14ac:dyDescent="0.35">
      <c r="A236" s="36"/>
      <c r="B236" s="36"/>
      <c r="C236" s="36"/>
      <c r="D236" s="36"/>
      <c r="E236" s="36"/>
      <c r="F236" s="36"/>
      <c r="G236" s="38"/>
      <c r="H236" s="36"/>
      <c r="I236" s="38"/>
      <c r="J236" s="38"/>
      <c r="K236" s="36"/>
      <c r="L236" s="36"/>
      <c r="M236" s="36"/>
      <c r="N236" s="36"/>
      <c r="O236" s="36"/>
      <c r="P236" s="36"/>
      <c r="Q236" s="36"/>
      <c r="R236" s="36"/>
      <c r="S236" s="38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</row>
    <row r="237" spans="1:35" s="35" customFormat="1" ht="23.25" x14ac:dyDescent="0.35">
      <c r="A237" s="36"/>
      <c r="B237" s="36"/>
      <c r="C237" s="36"/>
      <c r="D237" s="36"/>
      <c r="E237" s="36"/>
      <c r="F237" s="36"/>
      <c r="G237" s="38"/>
      <c r="H237" s="36"/>
      <c r="I237" s="38"/>
      <c r="J237" s="38"/>
      <c r="K237" s="36"/>
      <c r="L237" s="36"/>
      <c r="M237" s="36"/>
      <c r="N237" s="36"/>
      <c r="O237" s="36"/>
      <c r="P237" s="36"/>
      <c r="Q237" s="36"/>
      <c r="R237" s="36"/>
      <c r="S237" s="38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</row>
    <row r="238" spans="1:35" s="35" customFormat="1" ht="23.25" x14ac:dyDescent="0.35">
      <c r="A238" s="36"/>
      <c r="B238" s="36"/>
      <c r="C238" s="36"/>
      <c r="D238" s="36"/>
      <c r="E238" s="36"/>
      <c r="F238" s="36"/>
      <c r="G238" s="38"/>
      <c r="H238" s="36"/>
      <c r="I238" s="38"/>
      <c r="J238" s="38"/>
      <c r="K238" s="36"/>
      <c r="L238" s="36"/>
      <c r="M238" s="36"/>
      <c r="N238" s="36"/>
      <c r="O238" s="36"/>
      <c r="P238" s="36"/>
      <c r="Q238" s="36"/>
      <c r="R238" s="36"/>
      <c r="S238" s="38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</row>
    <row r="239" spans="1:35" s="35" customFormat="1" ht="23.25" x14ac:dyDescent="0.35">
      <c r="A239" s="36"/>
      <c r="B239" s="36"/>
      <c r="C239" s="36"/>
      <c r="D239" s="36"/>
      <c r="E239" s="36"/>
      <c r="F239" s="36"/>
      <c r="G239" s="38"/>
      <c r="H239" s="36"/>
      <c r="I239" s="38"/>
      <c r="J239" s="38"/>
      <c r="K239" s="36"/>
      <c r="L239" s="36"/>
      <c r="M239" s="36"/>
      <c r="N239" s="36"/>
      <c r="O239" s="36"/>
      <c r="P239" s="36"/>
      <c r="Q239" s="36"/>
      <c r="R239" s="36"/>
      <c r="S239" s="38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</row>
    <row r="240" spans="1:35" s="35" customFormat="1" ht="23.25" x14ac:dyDescent="0.35">
      <c r="A240" s="36"/>
      <c r="B240" s="36"/>
      <c r="C240" s="36"/>
      <c r="D240" s="36"/>
      <c r="E240" s="36"/>
      <c r="F240" s="36"/>
      <c r="G240" s="38"/>
      <c r="H240" s="36"/>
      <c r="I240" s="38"/>
      <c r="J240" s="38"/>
      <c r="K240" s="36"/>
      <c r="L240" s="36"/>
      <c r="M240" s="36"/>
      <c r="N240" s="36"/>
      <c r="O240" s="36"/>
      <c r="P240" s="36"/>
      <c r="Q240" s="36"/>
      <c r="R240" s="36"/>
      <c r="S240" s="38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</row>
    <row r="241" spans="1:35" s="35" customFormat="1" ht="23.25" x14ac:dyDescent="0.35">
      <c r="A241" s="36"/>
      <c r="B241" s="36"/>
      <c r="C241" s="36"/>
      <c r="D241" s="36"/>
      <c r="E241" s="36"/>
      <c r="F241" s="36"/>
      <c r="G241" s="38"/>
      <c r="H241" s="36"/>
      <c r="I241" s="38"/>
      <c r="J241" s="38"/>
      <c r="K241" s="36"/>
      <c r="L241" s="36"/>
      <c r="M241" s="36"/>
      <c r="N241" s="36"/>
      <c r="O241" s="36"/>
      <c r="P241" s="36"/>
      <c r="Q241" s="36"/>
      <c r="R241" s="36"/>
      <c r="S241" s="38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</row>
    <row r="242" spans="1:35" s="35" customFormat="1" ht="23.25" x14ac:dyDescent="0.35">
      <c r="A242" s="36"/>
      <c r="B242" s="36"/>
      <c r="C242" s="36"/>
      <c r="D242" s="36"/>
      <c r="E242" s="36"/>
      <c r="F242" s="36"/>
      <c r="G242" s="38"/>
      <c r="H242" s="36"/>
      <c r="I242" s="38"/>
      <c r="J242" s="38"/>
      <c r="K242" s="36"/>
      <c r="L242" s="36"/>
      <c r="M242" s="36"/>
      <c r="N242" s="36"/>
      <c r="O242" s="36"/>
      <c r="P242" s="36"/>
      <c r="Q242" s="36"/>
      <c r="R242" s="36"/>
      <c r="S242" s="38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</row>
    <row r="243" spans="1:35" s="35" customFormat="1" ht="23.25" x14ac:dyDescent="0.35">
      <c r="A243" s="36"/>
      <c r="B243" s="36"/>
      <c r="C243" s="36"/>
      <c r="D243" s="36"/>
      <c r="E243" s="36"/>
      <c r="F243" s="36"/>
      <c r="G243" s="38"/>
      <c r="H243" s="36"/>
      <c r="I243" s="38"/>
      <c r="J243" s="38"/>
      <c r="K243" s="36"/>
      <c r="L243" s="36"/>
      <c r="M243" s="36"/>
      <c r="N243" s="36"/>
      <c r="O243" s="36"/>
      <c r="P243" s="36"/>
      <c r="Q243" s="36"/>
      <c r="R243" s="36"/>
      <c r="S243" s="38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</row>
    <row r="244" spans="1:35" s="35" customFormat="1" ht="23.25" x14ac:dyDescent="0.35">
      <c r="A244" s="36"/>
      <c r="B244" s="36"/>
      <c r="C244" s="36"/>
      <c r="D244" s="36"/>
      <c r="E244" s="36"/>
      <c r="F244" s="36"/>
      <c r="G244" s="38"/>
      <c r="H244" s="36"/>
      <c r="I244" s="38"/>
      <c r="J244" s="38"/>
      <c r="K244" s="36"/>
      <c r="L244" s="36"/>
      <c r="M244" s="36"/>
      <c r="N244" s="36"/>
      <c r="O244" s="36"/>
      <c r="P244" s="36"/>
      <c r="Q244" s="36"/>
      <c r="R244" s="36"/>
      <c r="S244" s="38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</row>
    <row r="245" spans="1:35" s="35" customFormat="1" ht="23.25" x14ac:dyDescent="0.35">
      <c r="A245" s="36"/>
      <c r="B245" s="36"/>
      <c r="C245" s="36"/>
      <c r="D245" s="36"/>
      <c r="E245" s="36"/>
      <c r="F245" s="36"/>
      <c r="G245" s="38"/>
      <c r="H245" s="36"/>
      <c r="I245" s="38"/>
      <c r="J245" s="38"/>
      <c r="K245" s="36"/>
      <c r="L245" s="36"/>
      <c r="M245" s="36"/>
      <c r="N245" s="36"/>
      <c r="O245" s="36"/>
      <c r="P245" s="36"/>
      <c r="Q245" s="36"/>
      <c r="R245" s="36"/>
      <c r="S245" s="38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</row>
    <row r="246" spans="1:35" s="35" customFormat="1" ht="23.25" x14ac:dyDescent="0.35">
      <c r="A246" s="36"/>
      <c r="B246" s="36"/>
      <c r="C246" s="36"/>
      <c r="D246" s="36"/>
      <c r="E246" s="36"/>
      <c r="F246" s="36"/>
      <c r="G246" s="38"/>
      <c r="H246" s="36"/>
      <c r="I246" s="38"/>
      <c r="J246" s="38"/>
      <c r="K246" s="36"/>
      <c r="L246" s="36"/>
      <c r="M246" s="36"/>
      <c r="N246" s="36"/>
      <c r="O246" s="36"/>
      <c r="P246" s="36"/>
      <c r="Q246" s="36"/>
      <c r="R246" s="36"/>
      <c r="S246" s="38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</row>
    <row r="247" spans="1:35" s="35" customFormat="1" ht="23.25" x14ac:dyDescent="0.35">
      <c r="A247" s="36"/>
      <c r="B247" s="36"/>
      <c r="C247" s="36"/>
      <c r="D247" s="36"/>
      <c r="E247" s="36"/>
      <c r="F247" s="36"/>
      <c r="G247" s="38"/>
      <c r="H247" s="36"/>
      <c r="I247" s="38"/>
      <c r="J247" s="38"/>
      <c r="K247" s="36"/>
      <c r="L247" s="36"/>
      <c r="M247" s="36"/>
      <c r="N247" s="36"/>
      <c r="O247" s="36"/>
      <c r="P247" s="36"/>
      <c r="Q247" s="36"/>
      <c r="R247" s="36"/>
      <c r="S247" s="38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</row>
    <row r="248" spans="1:35" s="35" customFormat="1" ht="23.25" x14ac:dyDescent="0.35">
      <c r="A248" s="36"/>
      <c r="B248" s="36"/>
      <c r="C248" s="36"/>
      <c r="D248" s="36"/>
      <c r="E248" s="36"/>
      <c r="F248" s="36"/>
      <c r="G248" s="38"/>
      <c r="H248" s="36"/>
      <c r="I248" s="38"/>
      <c r="J248" s="38"/>
      <c r="K248" s="36"/>
      <c r="L248" s="36"/>
      <c r="M248" s="36"/>
      <c r="N248" s="36"/>
      <c r="O248" s="36"/>
      <c r="P248" s="36"/>
      <c r="Q248" s="36"/>
      <c r="R248" s="36"/>
      <c r="S248" s="38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</row>
    <row r="249" spans="1:35" s="35" customFormat="1" ht="23.25" x14ac:dyDescent="0.35">
      <c r="A249" s="36"/>
      <c r="B249" s="36"/>
      <c r="C249" s="36"/>
      <c r="D249" s="36"/>
      <c r="E249" s="36"/>
      <c r="F249" s="36"/>
      <c r="G249" s="38"/>
      <c r="H249" s="36"/>
      <c r="I249" s="38"/>
      <c r="J249" s="38"/>
      <c r="K249" s="36"/>
      <c r="L249" s="36"/>
      <c r="M249" s="36"/>
      <c r="N249" s="36"/>
      <c r="O249" s="36"/>
      <c r="P249" s="36"/>
      <c r="Q249" s="36"/>
      <c r="R249" s="36"/>
      <c r="S249" s="38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</row>
    <row r="250" spans="1:35" s="35" customFormat="1" ht="23.25" x14ac:dyDescent="0.35">
      <c r="A250" s="36"/>
      <c r="B250" s="36"/>
      <c r="C250" s="36"/>
      <c r="D250" s="36"/>
      <c r="E250" s="36"/>
      <c r="F250" s="36"/>
      <c r="G250" s="38"/>
      <c r="H250" s="36"/>
      <c r="I250" s="38"/>
      <c r="J250" s="38"/>
      <c r="K250" s="36"/>
      <c r="L250" s="36"/>
      <c r="M250" s="36"/>
      <c r="N250" s="36"/>
      <c r="O250" s="36"/>
      <c r="P250" s="36"/>
      <c r="Q250" s="36"/>
      <c r="R250" s="36"/>
      <c r="S250" s="38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</row>
    <row r="251" spans="1:35" s="35" customFormat="1" ht="23.25" x14ac:dyDescent="0.35">
      <c r="A251" s="36"/>
      <c r="B251" s="36"/>
      <c r="C251" s="36"/>
      <c r="D251" s="36"/>
      <c r="E251" s="36"/>
      <c r="F251" s="36"/>
      <c r="G251" s="38"/>
      <c r="H251" s="36"/>
      <c r="I251" s="38"/>
      <c r="J251" s="38"/>
      <c r="K251" s="36"/>
      <c r="L251" s="36"/>
      <c r="M251" s="36"/>
      <c r="N251" s="36"/>
      <c r="O251" s="36"/>
      <c r="P251" s="36"/>
      <c r="Q251" s="36"/>
      <c r="R251" s="36"/>
      <c r="S251" s="38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</row>
    <row r="252" spans="1:35" s="35" customFormat="1" ht="23.25" x14ac:dyDescent="0.35">
      <c r="A252" s="36"/>
      <c r="B252" s="36"/>
      <c r="C252" s="36"/>
      <c r="D252" s="36"/>
      <c r="E252" s="36"/>
      <c r="F252" s="36"/>
      <c r="G252" s="38"/>
      <c r="H252" s="36"/>
      <c r="I252" s="38"/>
      <c r="J252" s="38"/>
      <c r="K252" s="36"/>
      <c r="L252" s="36"/>
      <c r="M252" s="36"/>
      <c r="N252" s="36"/>
      <c r="O252" s="36"/>
      <c r="P252" s="36"/>
      <c r="Q252" s="36"/>
      <c r="R252" s="36"/>
      <c r="S252" s="38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</row>
    <row r="253" spans="1:35" s="35" customFormat="1" ht="23.25" x14ac:dyDescent="0.35">
      <c r="A253" s="36"/>
      <c r="B253" s="36"/>
      <c r="C253" s="36"/>
      <c r="D253" s="36"/>
      <c r="E253" s="36"/>
      <c r="F253" s="36"/>
      <c r="G253" s="38"/>
      <c r="H253" s="36"/>
      <c r="I253" s="38"/>
      <c r="J253" s="38"/>
      <c r="K253" s="36"/>
      <c r="L253" s="36"/>
      <c r="M253" s="36"/>
      <c r="N253" s="36"/>
      <c r="O253" s="36"/>
      <c r="P253" s="36"/>
      <c r="Q253" s="36"/>
      <c r="R253" s="36"/>
      <c r="S253" s="38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</row>
    <row r="254" spans="1:35" s="35" customFormat="1" ht="23.25" x14ac:dyDescent="0.35">
      <c r="A254" s="36"/>
      <c r="B254" s="36"/>
      <c r="C254" s="36"/>
      <c r="D254" s="36"/>
      <c r="E254" s="36"/>
      <c r="F254" s="36"/>
      <c r="G254" s="38"/>
      <c r="H254" s="36"/>
      <c r="I254" s="38"/>
      <c r="J254" s="38"/>
      <c r="K254" s="36"/>
      <c r="L254" s="36"/>
      <c r="M254" s="36"/>
      <c r="N254" s="36"/>
      <c r="O254" s="36"/>
      <c r="P254" s="36"/>
      <c r="Q254" s="36"/>
      <c r="R254" s="36"/>
      <c r="S254" s="38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</row>
    <row r="255" spans="1:35" s="35" customFormat="1" ht="23.25" x14ac:dyDescent="0.35">
      <c r="A255" s="36"/>
      <c r="B255" s="36"/>
      <c r="C255" s="36"/>
      <c r="D255" s="36"/>
      <c r="E255" s="36"/>
      <c r="F255" s="36"/>
      <c r="G255" s="38"/>
      <c r="H255" s="36"/>
      <c r="I255" s="38"/>
      <c r="J255" s="38"/>
      <c r="K255" s="36"/>
      <c r="L255" s="36"/>
      <c r="M255" s="36"/>
      <c r="N255" s="36"/>
      <c r="O255" s="36"/>
      <c r="P255" s="36"/>
      <c r="Q255" s="36"/>
      <c r="R255" s="36"/>
      <c r="S255" s="38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</row>
    <row r="256" spans="1:35" s="35" customFormat="1" ht="23.25" x14ac:dyDescent="0.35">
      <c r="A256" s="36"/>
      <c r="B256" s="36"/>
      <c r="C256" s="36"/>
      <c r="D256" s="36"/>
      <c r="E256" s="36"/>
      <c r="F256" s="36"/>
      <c r="G256" s="38"/>
      <c r="H256" s="36"/>
      <c r="I256" s="38"/>
      <c r="J256" s="38"/>
      <c r="K256" s="36"/>
      <c r="L256" s="36"/>
      <c r="M256" s="36"/>
      <c r="N256" s="36"/>
      <c r="O256" s="36"/>
      <c r="P256" s="36"/>
      <c r="Q256" s="36"/>
      <c r="R256" s="36"/>
      <c r="S256" s="38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</row>
    <row r="257" spans="1:35" s="35" customFormat="1" ht="23.25" x14ac:dyDescent="0.35">
      <c r="A257" s="36"/>
      <c r="B257" s="36"/>
      <c r="C257" s="36"/>
      <c r="D257" s="36"/>
      <c r="E257" s="36"/>
      <c r="F257" s="36"/>
      <c r="G257" s="38"/>
      <c r="H257" s="36"/>
      <c r="I257" s="38"/>
      <c r="J257" s="38"/>
      <c r="K257" s="36"/>
      <c r="L257" s="36"/>
      <c r="M257" s="36"/>
      <c r="N257" s="36"/>
      <c r="O257" s="36"/>
      <c r="P257" s="36"/>
      <c r="Q257" s="36"/>
      <c r="R257" s="36"/>
      <c r="S257" s="38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</row>
    <row r="258" spans="1:35" s="35" customFormat="1" ht="23.25" x14ac:dyDescent="0.35">
      <c r="A258" s="36"/>
      <c r="B258" s="36"/>
      <c r="C258" s="36"/>
      <c r="D258" s="36"/>
      <c r="E258" s="36"/>
      <c r="F258" s="36"/>
      <c r="G258" s="38"/>
      <c r="H258" s="36"/>
      <c r="I258" s="38"/>
      <c r="J258" s="38"/>
      <c r="K258" s="36"/>
      <c r="L258" s="36"/>
      <c r="M258" s="36"/>
      <c r="N258" s="36"/>
      <c r="O258" s="36"/>
      <c r="P258" s="36"/>
      <c r="Q258" s="36"/>
      <c r="R258" s="36"/>
      <c r="S258" s="38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</row>
    <row r="259" spans="1:35" s="35" customFormat="1" ht="23.25" x14ac:dyDescent="0.35">
      <c r="A259" s="36"/>
      <c r="B259" s="36"/>
      <c r="C259" s="36"/>
      <c r="D259" s="36"/>
      <c r="E259" s="36"/>
      <c r="F259" s="36"/>
      <c r="G259" s="38"/>
      <c r="H259" s="36"/>
      <c r="I259" s="38"/>
      <c r="J259" s="38"/>
      <c r="K259" s="36"/>
      <c r="L259" s="36"/>
      <c r="M259" s="36"/>
      <c r="N259" s="36"/>
      <c r="O259" s="36"/>
      <c r="P259" s="36"/>
      <c r="Q259" s="36"/>
      <c r="R259" s="36"/>
      <c r="S259" s="38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</row>
    <row r="260" spans="1:35" s="35" customFormat="1" ht="23.25" x14ac:dyDescent="0.35">
      <c r="A260" s="36"/>
      <c r="B260" s="36"/>
      <c r="C260" s="36"/>
      <c r="D260" s="36"/>
      <c r="E260" s="36"/>
      <c r="F260" s="36"/>
      <c r="G260" s="38"/>
      <c r="H260" s="36"/>
      <c r="I260" s="38"/>
      <c r="J260" s="38"/>
      <c r="K260" s="36"/>
      <c r="L260" s="36"/>
      <c r="M260" s="36"/>
      <c r="N260" s="36"/>
      <c r="O260" s="36"/>
      <c r="P260" s="36"/>
      <c r="Q260" s="36"/>
      <c r="R260" s="36"/>
      <c r="S260" s="38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</row>
    <row r="261" spans="1:35" s="35" customFormat="1" ht="23.25" x14ac:dyDescent="0.35">
      <c r="A261" s="36"/>
      <c r="B261" s="36"/>
      <c r="C261" s="36"/>
      <c r="D261" s="36"/>
      <c r="E261" s="36"/>
      <c r="F261" s="36"/>
      <c r="G261" s="38"/>
      <c r="H261" s="36"/>
      <c r="I261" s="38"/>
      <c r="J261" s="38"/>
      <c r="K261" s="36"/>
      <c r="L261" s="36"/>
      <c r="M261" s="36"/>
      <c r="N261" s="36"/>
      <c r="O261" s="36"/>
      <c r="P261" s="36"/>
      <c r="Q261" s="36"/>
      <c r="R261" s="36"/>
      <c r="S261" s="38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</row>
    <row r="262" spans="1:35" s="35" customFormat="1" ht="23.25" x14ac:dyDescent="0.35">
      <c r="A262" s="36"/>
      <c r="B262" s="36"/>
      <c r="C262" s="36"/>
      <c r="D262" s="36"/>
      <c r="E262" s="36"/>
      <c r="F262" s="36"/>
      <c r="G262" s="38"/>
      <c r="H262" s="36"/>
      <c r="I262" s="38"/>
      <c r="J262" s="38"/>
      <c r="K262" s="36"/>
      <c r="L262" s="36"/>
      <c r="M262" s="36"/>
      <c r="N262" s="36"/>
      <c r="O262" s="36"/>
      <c r="P262" s="36"/>
      <c r="Q262" s="36"/>
      <c r="R262" s="36"/>
      <c r="S262" s="38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</row>
    <row r="263" spans="1:35" s="35" customFormat="1" ht="23.25" x14ac:dyDescent="0.35">
      <c r="A263" s="36"/>
      <c r="B263" s="36"/>
      <c r="C263" s="36"/>
      <c r="D263" s="36"/>
      <c r="E263" s="36"/>
      <c r="F263" s="36"/>
      <c r="G263" s="38"/>
      <c r="H263" s="36"/>
      <c r="I263" s="38"/>
      <c r="J263" s="38"/>
      <c r="K263" s="36"/>
      <c r="L263" s="36"/>
      <c r="M263" s="36"/>
      <c r="N263" s="36"/>
      <c r="O263" s="36"/>
      <c r="P263" s="36"/>
      <c r="Q263" s="36"/>
      <c r="R263" s="36"/>
      <c r="S263" s="38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</row>
    <row r="264" spans="1:35" s="35" customFormat="1" ht="23.25" x14ac:dyDescent="0.35">
      <c r="A264" s="36"/>
      <c r="B264" s="36"/>
      <c r="C264" s="36"/>
      <c r="D264" s="36"/>
      <c r="E264" s="36"/>
      <c r="F264" s="36"/>
      <c r="G264" s="38"/>
      <c r="H264" s="36"/>
      <c r="I264" s="38"/>
      <c r="J264" s="38"/>
      <c r="K264" s="36"/>
      <c r="L264" s="36"/>
      <c r="M264" s="36"/>
      <c r="N264" s="36"/>
      <c r="O264" s="36"/>
      <c r="P264" s="36"/>
      <c r="Q264" s="36"/>
      <c r="R264" s="36"/>
      <c r="S264" s="38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</row>
    <row r="265" spans="1:35" s="35" customFormat="1" ht="23.25" x14ac:dyDescent="0.35">
      <c r="A265" s="36"/>
      <c r="B265" s="36"/>
      <c r="C265" s="36"/>
      <c r="D265" s="36"/>
      <c r="E265" s="36"/>
      <c r="F265" s="36"/>
      <c r="G265" s="38"/>
      <c r="H265" s="36"/>
      <c r="I265" s="38"/>
      <c r="J265" s="38"/>
      <c r="K265" s="36"/>
      <c r="L265" s="36"/>
      <c r="M265" s="36"/>
      <c r="N265" s="36"/>
      <c r="O265" s="36"/>
      <c r="P265" s="36"/>
      <c r="Q265" s="36"/>
      <c r="R265" s="36"/>
      <c r="S265" s="38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</row>
    <row r="266" spans="1:35" s="35" customFormat="1" ht="23.25" x14ac:dyDescent="0.35">
      <c r="A266" s="36"/>
      <c r="B266" s="36"/>
      <c r="C266" s="36"/>
      <c r="D266" s="36"/>
      <c r="E266" s="36"/>
      <c r="F266" s="36"/>
      <c r="G266" s="38"/>
      <c r="H266" s="36"/>
      <c r="I266" s="38"/>
      <c r="J266" s="38"/>
      <c r="K266" s="36"/>
      <c r="L266" s="36"/>
      <c r="M266" s="36"/>
      <c r="N266" s="36"/>
      <c r="O266" s="36"/>
      <c r="P266" s="36"/>
      <c r="Q266" s="36"/>
      <c r="R266" s="36"/>
      <c r="S266" s="38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</row>
    <row r="267" spans="1:35" s="35" customFormat="1" ht="23.25" x14ac:dyDescent="0.35">
      <c r="A267" s="36"/>
      <c r="B267" s="36"/>
      <c r="C267" s="36"/>
      <c r="D267" s="36"/>
      <c r="E267" s="36"/>
      <c r="F267" s="36"/>
      <c r="G267" s="38"/>
      <c r="H267" s="36"/>
      <c r="I267" s="38"/>
      <c r="J267" s="38"/>
      <c r="K267" s="36"/>
      <c r="L267" s="36"/>
      <c r="M267" s="36"/>
      <c r="N267" s="36"/>
      <c r="O267" s="36"/>
      <c r="P267" s="36"/>
      <c r="Q267" s="36"/>
      <c r="R267" s="36"/>
      <c r="S267" s="38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</row>
    <row r="268" spans="1:35" s="35" customFormat="1" ht="23.25" x14ac:dyDescent="0.35">
      <c r="A268" s="36"/>
      <c r="B268" s="36"/>
      <c r="C268" s="36"/>
      <c r="D268" s="36"/>
      <c r="E268" s="36"/>
      <c r="F268" s="36"/>
      <c r="G268" s="38"/>
      <c r="H268" s="36"/>
      <c r="I268" s="38"/>
      <c r="J268" s="38"/>
      <c r="K268" s="36"/>
      <c r="L268" s="36"/>
      <c r="M268" s="36"/>
      <c r="N268" s="36"/>
      <c r="O268" s="36"/>
      <c r="P268" s="36"/>
      <c r="Q268" s="36"/>
      <c r="R268" s="36"/>
      <c r="S268" s="38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</row>
    <row r="269" spans="1:35" s="35" customFormat="1" ht="23.25" x14ac:dyDescent="0.35">
      <c r="A269" s="36"/>
      <c r="B269" s="36"/>
      <c r="C269" s="36"/>
      <c r="D269" s="36"/>
      <c r="E269" s="36"/>
      <c r="F269" s="36"/>
      <c r="G269" s="38"/>
      <c r="H269" s="36"/>
      <c r="I269" s="38"/>
      <c r="J269" s="38"/>
      <c r="K269" s="36"/>
      <c r="L269" s="36"/>
      <c r="M269" s="36"/>
      <c r="N269" s="36"/>
      <c r="O269" s="36"/>
      <c r="P269" s="36"/>
      <c r="Q269" s="36"/>
      <c r="R269" s="36"/>
      <c r="S269" s="38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</row>
    <row r="270" spans="1:35" s="35" customFormat="1" ht="23.25" x14ac:dyDescent="0.35">
      <c r="A270" s="36"/>
      <c r="B270" s="36"/>
      <c r="C270" s="36"/>
      <c r="D270" s="36"/>
      <c r="E270" s="36"/>
      <c r="F270" s="36"/>
      <c r="G270" s="38"/>
      <c r="H270" s="36"/>
      <c r="I270" s="38"/>
      <c r="J270" s="38"/>
      <c r="K270" s="36"/>
      <c r="L270" s="36"/>
      <c r="M270" s="36"/>
      <c r="N270" s="36"/>
      <c r="O270" s="36"/>
      <c r="P270" s="36"/>
      <c r="Q270" s="36"/>
      <c r="R270" s="36"/>
      <c r="S270" s="38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</row>
    <row r="271" spans="1:35" s="35" customFormat="1" ht="23.25" x14ac:dyDescent="0.35">
      <c r="A271" s="36"/>
      <c r="B271" s="36"/>
      <c r="C271" s="36"/>
      <c r="D271" s="36"/>
      <c r="E271" s="36"/>
      <c r="F271" s="36"/>
      <c r="G271" s="38"/>
      <c r="H271" s="36"/>
      <c r="I271" s="38"/>
      <c r="J271" s="38"/>
      <c r="K271" s="36"/>
      <c r="L271" s="36"/>
      <c r="M271" s="36"/>
      <c r="N271" s="36"/>
      <c r="O271" s="36"/>
      <c r="P271" s="36"/>
      <c r="Q271" s="36"/>
      <c r="R271" s="36"/>
      <c r="S271" s="38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</row>
    <row r="272" spans="1:35" s="35" customFormat="1" ht="23.25" x14ac:dyDescent="0.35">
      <c r="A272" s="36"/>
      <c r="B272" s="36"/>
      <c r="C272" s="36"/>
      <c r="D272" s="36"/>
      <c r="E272" s="36"/>
      <c r="F272" s="36"/>
      <c r="G272" s="38"/>
      <c r="H272" s="36"/>
      <c r="I272" s="38"/>
      <c r="J272" s="38"/>
      <c r="K272" s="36"/>
      <c r="L272" s="36"/>
      <c r="M272" s="36"/>
      <c r="N272" s="36"/>
      <c r="O272" s="36"/>
      <c r="P272" s="36"/>
      <c r="Q272" s="36"/>
      <c r="R272" s="36"/>
      <c r="S272" s="38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</row>
    <row r="273" spans="1:35" s="35" customFormat="1" ht="23.25" x14ac:dyDescent="0.35">
      <c r="A273" s="36"/>
      <c r="B273" s="36"/>
      <c r="C273" s="36"/>
      <c r="D273" s="36"/>
      <c r="E273" s="36"/>
      <c r="F273" s="36"/>
      <c r="G273" s="38"/>
      <c r="H273" s="36"/>
      <c r="I273" s="38"/>
      <c r="J273" s="38"/>
      <c r="K273" s="36"/>
      <c r="L273" s="36"/>
      <c r="M273" s="36"/>
      <c r="N273" s="36"/>
      <c r="O273" s="36"/>
      <c r="P273" s="36"/>
      <c r="Q273" s="36"/>
      <c r="R273" s="36"/>
      <c r="S273" s="38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</row>
    <row r="274" spans="1:35" s="35" customFormat="1" ht="23.25" x14ac:dyDescent="0.35">
      <c r="A274" s="36"/>
      <c r="B274" s="36"/>
      <c r="C274" s="36"/>
      <c r="D274" s="36"/>
      <c r="E274" s="36"/>
      <c r="F274" s="36"/>
      <c r="G274" s="38"/>
      <c r="H274" s="36"/>
      <c r="I274" s="38"/>
      <c r="J274" s="38"/>
      <c r="K274" s="36"/>
      <c r="L274" s="36"/>
      <c r="M274" s="36"/>
      <c r="N274" s="36"/>
      <c r="O274" s="36"/>
      <c r="P274" s="36"/>
      <c r="Q274" s="36"/>
      <c r="R274" s="36"/>
      <c r="S274" s="38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</row>
    <row r="275" spans="1:35" s="35" customFormat="1" ht="23.25" x14ac:dyDescent="0.35">
      <c r="A275" s="36"/>
      <c r="B275" s="36"/>
      <c r="C275" s="36"/>
      <c r="D275" s="36"/>
      <c r="E275" s="36"/>
      <c r="F275" s="36"/>
      <c r="G275" s="38"/>
      <c r="H275" s="36"/>
      <c r="I275" s="38"/>
      <c r="J275" s="38"/>
      <c r="K275" s="36"/>
      <c r="L275" s="36"/>
      <c r="M275" s="36"/>
      <c r="N275" s="36"/>
      <c r="O275" s="36"/>
      <c r="P275" s="36"/>
      <c r="Q275" s="36"/>
      <c r="R275" s="36"/>
      <c r="S275" s="38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</row>
    <row r="276" spans="1:35" s="35" customFormat="1" ht="23.25" x14ac:dyDescent="0.35">
      <c r="A276" s="36"/>
      <c r="B276" s="36"/>
      <c r="C276" s="36"/>
      <c r="D276" s="36"/>
      <c r="E276" s="36"/>
      <c r="F276" s="36"/>
      <c r="G276" s="38"/>
      <c r="H276" s="36"/>
      <c r="I276" s="38"/>
      <c r="J276" s="38"/>
      <c r="K276" s="36"/>
      <c r="L276" s="36"/>
      <c r="M276" s="36"/>
      <c r="N276" s="36"/>
      <c r="O276" s="36"/>
      <c r="P276" s="36"/>
      <c r="Q276" s="36"/>
      <c r="R276" s="36"/>
      <c r="S276" s="38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</row>
    <row r="277" spans="1:35" s="35" customFormat="1" ht="23.25" x14ac:dyDescent="0.35">
      <c r="A277" s="36"/>
      <c r="B277" s="36"/>
      <c r="C277" s="36"/>
      <c r="D277" s="36"/>
      <c r="E277" s="36"/>
      <c r="F277" s="36"/>
      <c r="G277" s="38"/>
      <c r="H277" s="36"/>
      <c r="I277" s="38"/>
      <c r="J277" s="38"/>
      <c r="K277" s="36"/>
      <c r="L277" s="36"/>
      <c r="M277" s="36"/>
      <c r="N277" s="36"/>
      <c r="O277" s="36"/>
      <c r="P277" s="36"/>
      <c r="Q277" s="36"/>
      <c r="R277" s="36"/>
      <c r="S277" s="38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</row>
    <row r="278" spans="1:35" s="35" customFormat="1" ht="23.25" x14ac:dyDescent="0.35">
      <c r="A278" s="36"/>
      <c r="B278" s="36"/>
      <c r="C278" s="36"/>
      <c r="D278" s="36"/>
      <c r="E278" s="36"/>
      <c r="F278" s="36"/>
      <c r="G278" s="38"/>
      <c r="H278" s="36"/>
      <c r="I278" s="38"/>
      <c r="J278" s="38"/>
      <c r="K278" s="36"/>
      <c r="L278" s="36"/>
      <c r="M278" s="36"/>
      <c r="N278" s="36"/>
      <c r="O278" s="36"/>
      <c r="P278" s="36"/>
      <c r="Q278" s="36"/>
      <c r="R278" s="36"/>
      <c r="S278" s="38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</row>
    <row r="279" spans="1:35" s="35" customFormat="1" ht="23.25" x14ac:dyDescent="0.35">
      <c r="A279" s="36"/>
      <c r="B279" s="36"/>
      <c r="C279" s="36"/>
      <c r="D279" s="36"/>
      <c r="E279" s="36"/>
      <c r="F279" s="36"/>
      <c r="G279" s="38"/>
      <c r="H279" s="36"/>
      <c r="I279" s="38"/>
      <c r="J279" s="38"/>
      <c r="K279" s="36"/>
      <c r="L279" s="36"/>
      <c r="M279" s="36"/>
      <c r="N279" s="36"/>
      <c r="O279" s="36"/>
      <c r="P279" s="36"/>
      <c r="Q279" s="36"/>
      <c r="R279" s="36"/>
      <c r="S279" s="38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</row>
    <row r="280" spans="1:35" s="35" customFormat="1" ht="23.25" x14ac:dyDescent="0.35">
      <c r="A280" s="36"/>
      <c r="B280" s="36"/>
      <c r="C280" s="36"/>
      <c r="D280" s="36"/>
      <c r="E280" s="36"/>
      <c r="F280" s="36"/>
      <c r="G280" s="38"/>
      <c r="H280" s="36"/>
      <c r="I280" s="38"/>
      <c r="J280" s="38"/>
      <c r="K280" s="36"/>
      <c r="L280" s="36"/>
      <c r="M280" s="36"/>
      <c r="N280" s="36"/>
      <c r="O280" s="36"/>
      <c r="P280" s="36"/>
      <c r="Q280" s="36"/>
      <c r="R280" s="36"/>
      <c r="S280" s="38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</row>
    <row r="281" spans="1:35" s="35" customFormat="1" ht="23.25" x14ac:dyDescent="0.35">
      <c r="A281" s="36"/>
      <c r="B281" s="36"/>
      <c r="C281" s="36"/>
      <c r="D281" s="36"/>
      <c r="E281" s="36"/>
      <c r="F281" s="36"/>
      <c r="G281" s="38"/>
      <c r="H281" s="36"/>
      <c r="I281" s="38"/>
      <c r="J281" s="38"/>
      <c r="K281" s="36"/>
      <c r="L281" s="36"/>
      <c r="M281" s="36"/>
      <c r="N281" s="36"/>
      <c r="O281" s="36"/>
      <c r="P281" s="36"/>
      <c r="Q281" s="36"/>
      <c r="R281" s="36"/>
      <c r="S281" s="38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</row>
    <row r="282" spans="1:35" s="35" customFormat="1" ht="23.25" x14ac:dyDescent="0.35">
      <c r="A282" s="36"/>
      <c r="B282" s="36"/>
      <c r="C282" s="36"/>
      <c r="D282" s="36"/>
      <c r="E282" s="36"/>
      <c r="F282" s="36"/>
      <c r="G282" s="38"/>
      <c r="H282" s="36"/>
      <c r="I282" s="38"/>
      <c r="J282" s="38"/>
      <c r="K282" s="36"/>
      <c r="L282" s="36"/>
      <c r="M282" s="36"/>
      <c r="N282" s="36"/>
      <c r="O282" s="36"/>
      <c r="P282" s="36"/>
      <c r="Q282" s="36"/>
      <c r="R282" s="36"/>
      <c r="S282" s="38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</row>
    <row r="283" spans="1:35" s="35" customFormat="1" ht="23.25" x14ac:dyDescent="0.35">
      <c r="A283" s="36"/>
      <c r="B283" s="36"/>
      <c r="C283" s="36"/>
      <c r="D283" s="36"/>
      <c r="E283" s="36"/>
      <c r="F283" s="36"/>
      <c r="G283" s="38"/>
      <c r="H283" s="36"/>
      <c r="I283" s="38"/>
      <c r="J283" s="38"/>
      <c r="K283" s="36"/>
      <c r="L283" s="36"/>
      <c r="M283" s="36"/>
      <c r="N283" s="36"/>
      <c r="O283" s="36"/>
      <c r="P283" s="36"/>
      <c r="Q283" s="36"/>
      <c r="R283" s="36"/>
      <c r="S283" s="38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</row>
    <row r="284" spans="1:35" s="35" customFormat="1" ht="23.25" x14ac:dyDescent="0.35">
      <c r="A284" s="36"/>
      <c r="B284" s="36"/>
      <c r="C284" s="36"/>
      <c r="D284" s="36"/>
      <c r="E284" s="36"/>
      <c r="F284" s="36"/>
      <c r="G284" s="38"/>
      <c r="H284" s="36"/>
      <c r="I284" s="38"/>
      <c r="J284" s="38"/>
      <c r="K284" s="36"/>
      <c r="L284" s="36"/>
      <c r="M284" s="36"/>
      <c r="N284" s="36"/>
      <c r="O284" s="36"/>
      <c r="P284" s="36"/>
      <c r="Q284" s="36"/>
      <c r="R284" s="36"/>
      <c r="S284" s="38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</row>
    <row r="285" spans="1:35" s="35" customFormat="1" ht="23.25" x14ac:dyDescent="0.35">
      <c r="A285" s="36"/>
      <c r="B285" s="36"/>
      <c r="C285" s="36"/>
      <c r="D285" s="36"/>
      <c r="E285" s="36"/>
      <c r="F285" s="36"/>
      <c r="G285" s="38"/>
      <c r="H285" s="36"/>
      <c r="I285" s="38"/>
      <c r="J285" s="38"/>
      <c r="K285" s="36"/>
      <c r="L285" s="36"/>
      <c r="M285" s="36"/>
      <c r="N285" s="36"/>
      <c r="O285" s="36"/>
      <c r="P285" s="36"/>
      <c r="Q285" s="36"/>
      <c r="R285" s="36"/>
      <c r="S285" s="38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</row>
    <row r="286" spans="1:35" s="35" customFormat="1" ht="23.25" x14ac:dyDescent="0.35">
      <c r="A286" s="36"/>
      <c r="B286" s="36"/>
      <c r="C286" s="36"/>
      <c r="D286" s="36"/>
      <c r="E286" s="36"/>
      <c r="F286" s="36"/>
      <c r="G286" s="38"/>
      <c r="H286" s="36"/>
      <c r="I286" s="38"/>
      <c r="J286" s="38"/>
      <c r="K286" s="36"/>
      <c r="L286" s="36"/>
      <c r="M286" s="36"/>
      <c r="N286" s="36"/>
      <c r="O286" s="36"/>
      <c r="P286" s="36"/>
      <c r="Q286" s="36"/>
      <c r="R286" s="36"/>
      <c r="S286" s="38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</row>
    <row r="287" spans="1:35" s="35" customFormat="1" ht="23.25" x14ac:dyDescent="0.35">
      <c r="A287" s="36"/>
      <c r="B287" s="36"/>
      <c r="C287" s="36"/>
      <c r="D287" s="36"/>
      <c r="E287" s="36"/>
      <c r="F287" s="36"/>
      <c r="G287" s="38"/>
      <c r="H287" s="36"/>
      <c r="I287" s="38"/>
      <c r="J287" s="38"/>
      <c r="K287" s="36"/>
      <c r="L287" s="36"/>
      <c r="M287" s="36"/>
      <c r="N287" s="36"/>
      <c r="O287" s="36"/>
      <c r="P287" s="36"/>
      <c r="Q287" s="36"/>
      <c r="R287" s="36"/>
      <c r="S287" s="38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</row>
    <row r="288" spans="1:35" s="35" customFormat="1" ht="23.25" x14ac:dyDescent="0.35">
      <c r="A288" s="36"/>
      <c r="B288" s="36"/>
      <c r="C288" s="36"/>
      <c r="D288" s="36"/>
      <c r="E288" s="36"/>
      <c r="F288" s="36"/>
      <c r="G288" s="38"/>
      <c r="H288" s="36"/>
      <c r="I288" s="38"/>
      <c r="J288" s="38"/>
      <c r="K288" s="36"/>
      <c r="L288" s="36"/>
      <c r="M288" s="36"/>
      <c r="N288" s="36"/>
      <c r="O288" s="36"/>
      <c r="P288" s="36"/>
      <c r="Q288" s="36"/>
      <c r="R288" s="36"/>
      <c r="S288" s="38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</row>
    <row r="289" spans="1:35" s="35" customFormat="1" ht="23.25" x14ac:dyDescent="0.35">
      <c r="A289" s="36"/>
      <c r="B289" s="36"/>
      <c r="C289" s="36"/>
      <c r="D289" s="36"/>
      <c r="E289" s="36"/>
      <c r="F289" s="36"/>
      <c r="G289" s="38"/>
      <c r="H289" s="36"/>
      <c r="I289" s="38"/>
      <c r="J289" s="38"/>
      <c r="K289" s="36"/>
      <c r="L289" s="36"/>
      <c r="M289" s="36"/>
      <c r="N289" s="36"/>
      <c r="O289" s="36"/>
      <c r="P289" s="36"/>
      <c r="Q289" s="36"/>
      <c r="R289" s="36"/>
      <c r="S289" s="38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</row>
    <row r="290" spans="1:35" s="35" customFormat="1" ht="23.25" x14ac:dyDescent="0.35">
      <c r="A290" s="36"/>
      <c r="B290" s="36"/>
      <c r="C290" s="36"/>
      <c r="D290" s="36"/>
      <c r="E290" s="36"/>
      <c r="F290" s="36"/>
      <c r="G290" s="38"/>
      <c r="H290" s="36"/>
      <c r="I290" s="38"/>
      <c r="J290" s="38"/>
      <c r="K290" s="36"/>
      <c r="L290" s="36"/>
      <c r="M290" s="36"/>
      <c r="N290" s="36"/>
      <c r="O290" s="36"/>
      <c r="P290" s="36"/>
      <c r="Q290" s="36"/>
      <c r="R290" s="36"/>
      <c r="S290" s="38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</row>
    <row r="291" spans="1:35" s="35" customFormat="1" ht="23.25" x14ac:dyDescent="0.35">
      <c r="A291" s="36"/>
      <c r="B291" s="36"/>
      <c r="C291" s="36"/>
      <c r="D291" s="36"/>
      <c r="E291" s="36"/>
      <c r="F291" s="36"/>
      <c r="G291" s="38"/>
      <c r="H291" s="36"/>
      <c r="I291" s="38"/>
      <c r="J291" s="38"/>
      <c r="K291" s="36"/>
      <c r="L291" s="36"/>
      <c r="M291" s="36"/>
      <c r="N291" s="36"/>
      <c r="O291" s="36"/>
      <c r="P291" s="36"/>
      <c r="Q291" s="36"/>
      <c r="R291" s="36"/>
      <c r="S291" s="38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</row>
    <row r="292" spans="1:35" s="35" customFormat="1" ht="23.25" x14ac:dyDescent="0.35">
      <c r="A292" s="36"/>
      <c r="B292" s="36"/>
      <c r="C292" s="36"/>
      <c r="D292" s="36"/>
      <c r="E292" s="36"/>
      <c r="F292" s="36"/>
      <c r="G292" s="38"/>
      <c r="H292" s="36"/>
      <c r="I292" s="38"/>
      <c r="J292" s="38"/>
      <c r="K292" s="36"/>
      <c r="L292" s="36"/>
      <c r="M292" s="36"/>
      <c r="N292" s="36"/>
      <c r="O292" s="36"/>
      <c r="P292" s="36"/>
      <c r="Q292" s="36"/>
      <c r="R292" s="36"/>
      <c r="S292" s="38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</row>
    <row r="293" spans="1:35" s="35" customFormat="1" ht="23.25" x14ac:dyDescent="0.35">
      <c r="A293" s="36"/>
      <c r="B293" s="36"/>
      <c r="C293" s="36"/>
      <c r="D293" s="36"/>
      <c r="E293" s="36"/>
      <c r="F293" s="36"/>
      <c r="G293" s="38"/>
      <c r="H293" s="36"/>
      <c r="I293" s="38"/>
      <c r="J293" s="38"/>
      <c r="K293" s="36"/>
      <c r="L293" s="36"/>
      <c r="M293" s="36"/>
      <c r="N293" s="36"/>
      <c r="O293" s="36"/>
      <c r="P293" s="36"/>
      <c r="Q293" s="36"/>
      <c r="R293" s="36"/>
      <c r="S293" s="38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</row>
    <row r="294" spans="1:35" s="35" customFormat="1" ht="23.25" x14ac:dyDescent="0.35">
      <c r="A294" s="36"/>
      <c r="B294" s="36"/>
      <c r="C294" s="36"/>
      <c r="D294" s="36"/>
      <c r="E294" s="36"/>
      <c r="F294" s="36"/>
      <c r="G294" s="38"/>
      <c r="H294" s="36"/>
      <c r="I294" s="38"/>
      <c r="J294" s="38"/>
      <c r="K294" s="36"/>
      <c r="L294" s="36"/>
      <c r="M294" s="36"/>
      <c r="N294" s="36"/>
      <c r="O294" s="36"/>
      <c r="P294" s="36"/>
      <c r="Q294" s="36"/>
      <c r="R294" s="36"/>
      <c r="S294" s="38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</row>
    <row r="295" spans="1:35" s="35" customFormat="1" ht="23.25" x14ac:dyDescent="0.35">
      <c r="A295" s="36"/>
      <c r="B295" s="36"/>
      <c r="C295" s="36"/>
      <c r="D295" s="36"/>
      <c r="E295" s="36"/>
      <c r="F295" s="36"/>
      <c r="G295" s="38"/>
      <c r="H295" s="36"/>
      <c r="I295" s="38"/>
      <c r="J295" s="38"/>
      <c r="K295" s="36"/>
      <c r="L295" s="36"/>
      <c r="M295" s="36"/>
      <c r="N295" s="36"/>
      <c r="O295" s="36"/>
      <c r="P295" s="36"/>
      <c r="Q295" s="36"/>
      <c r="R295" s="36"/>
      <c r="S295" s="38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</row>
    <row r="296" spans="1:35" s="35" customFormat="1" ht="23.25" x14ac:dyDescent="0.35">
      <c r="A296" s="36"/>
      <c r="B296" s="36"/>
      <c r="C296" s="36"/>
      <c r="D296" s="36"/>
      <c r="E296" s="36"/>
      <c r="F296" s="36"/>
      <c r="G296" s="38"/>
      <c r="H296" s="36"/>
      <c r="I296" s="38"/>
      <c r="J296" s="38"/>
      <c r="K296" s="36"/>
      <c r="L296" s="36"/>
      <c r="M296" s="36"/>
      <c r="N296" s="36"/>
      <c r="O296" s="36"/>
      <c r="P296" s="36"/>
      <c r="Q296" s="36"/>
      <c r="R296" s="36"/>
      <c r="S296" s="38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</row>
    <row r="297" spans="1:35" s="35" customFormat="1" ht="23.25" x14ac:dyDescent="0.35">
      <c r="A297" s="36"/>
      <c r="B297" s="36"/>
      <c r="C297" s="36"/>
      <c r="D297" s="36"/>
      <c r="E297" s="36"/>
      <c r="F297" s="36"/>
      <c r="G297" s="38"/>
      <c r="H297" s="36"/>
      <c r="I297" s="38"/>
      <c r="J297" s="38"/>
      <c r="K297" s="36"/>
      <c r="L297" s="36"/>
      <c r="M297" s="36"/>
      <c r="N297" s="36"/>
      <c r="O297" s="36"/>
      <c r="P297" s="36"/>
      <c r="Q297" s="36"/>
      <c r="R297" s="36"/>
      <c r="S297" s="38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</row>
    <row r="298" spans="1:35" s="35" customFormat="1" ht="23.25" x14ac:dyDescent="0.35">
      <c r="A298" s="36"/>
      <c r="B298" s="36"/>
      <c r="C298" s="36"/>
      <c r="D298" s="36"/>
      <c r="E298" s="36"/>
      <c r="F298" s="36"/>
      <c r="G298" s="38"/>
      <c r="H298" s="36"/>
      <c r="I298" s="38"/>
      <c r="J298" s="38"/>
      <c r="K298" s="36"/>
      <c r="L298" s="36"/>
      <c r="M298" s="36"/>
      <c r="N298" s="36"/>
      <c r="O298" s="36"/>
      <c r="P298" s="36"/>
      <c r="Q298" s="36"/>
      <c r="R298" s="36"/>
      <c r="S298" s="38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</row>
    <row r="299" spans="1:35" s="35" customFormat="1" ht="23.25" x14ac:dyDescent="0.35">
      <c r="A299" s="36"/>
      <c r="B299" s="36"/>
      <c r="C299" s="36"/>
      <c r="D299" s="36"/>
      <c r="E299" s="36"/>
      <c r="F299" s="36"/>
      <c r="G299" s="38"/>
      <c r="H299" s="36"/>
      <c r="I299" s="38"/>
      <c r="J299" s="38"/>
      <c r="K299" s="36"/>
      <c r="L299" s="36"/>
      <c r="M299" s="36"/>
      <c r="N299" s="36"/>
      <c r="O299" s="36"/>
      <c r="P299" s="36"/>
      <c r="Q299" s="36"/>
      <c r="R299" s="36"/>
      <c r="S299" s="38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</row>
    <row r="300" spans="1:35" s="35" customFormat="1" ht="23.25" x14ac:dyDescent="0.35">
      <c r="A300" s="36"/>
      <c r="B300" s="36"/>
      <c r="C300" s="36"/>
      <c r="D300" s="36"/>
      <c r="E300" s="36"/>
      <c r="F300" s="36"/>
      <c r="G300" s="38"/>
      <c r="H300" s="36"/>
      <c r="I300" s="38"/>
      <c r="J300" s="38"/>
      <c r="K300" s="36"/>
      <c r="L300" s="36"/>
      <c r="M300" s="36"/>
      <c r="N300" s="36"/>
      <c r="O300" s="36"/>
      <c r="P300" s="36"/>
      <c r="Q300" s="36"/>
      <c r="R300" s="36"/>
      <c r="S300" s="38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</row>
    <row r="301" spans="1:35" s="35" customFormat="1" ht="23.25" x14ac:dyDescent="0.35">
      <c r="A301" s="36"/>
      <c r="B301" s="36"/>
      <c r="C301" s="36"/>
      <c r="D301" s="36"/>
      <c r="E301" s="36"/>
      <c r="F301" s="36"/>
      <c r="G301" s="38"/>
      <c r="H301" s="36"/>
      <c r="I301" s="38"/>
      <c r="J301" s="38"/>
      <c r="K301" s="36"/>
      <c r="L301" s="36"/>
      <c r="M301" s="36"/>
      <c r="N301" s="36"/>
      <c r="O301" s="36"/>
      <c r="P301" s="36"/>
      <c r="Q301" s="36"/>
      <c r="R301" s="36"/>
      <c r="S301" s="38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</row>
    <row r="302" spans="1:35" s="35" customFormat="1" ht="23.25" x14ac:dyDescent="0.35">
      <c r="A302" s="36"/>
      <c r="B302" s="36"/>
      <c r="C302" s="36"/>
      <c r="D302" s="36"/>
      <c r="E302" s="36"/>
      <c r="F302" s="36"/>
      <c r="G302" s="38"/>
      <c r="H302" s="36"/>
      <c r="I302" s="38"/>
      <c r="J302" s="38"/>
      <c r="K302" s="36"/>
      <c r="L302" s="36"/>
      <c r="M302" s="36"/>
      <c r="N302" s="36"/>
      <c r="O302" s="36"/>
      <c r="P302" s="36"/>
      <c r="Q302" s="36"/>
      <c r="R302" s="36"/>
      <c r="S302" s="38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</row>
    <row r="303" spans="1:35" s="35" customFormat="1" ht="23.25" x14ac:dyDescent="0.35">
      <c r="A303" s="36"/>
      <c r="B303" s="36"/>
      <c r="C303" s="36"/>
      <c r="D303" s="36"/>
      <c r="E303" s="36"/>
      <c r="F303" s="36"/>
      <c r="G303" s="38"/>
      <c r="H303" s="36"/>
      <c r="I303" s="38"/>
      <c r="J303" s="38"/>
      <c r="K303" s="36"/>
      <c r="L303" s="36"/>
      <c r="M303" s="36"/>
      <c r="N303" s="36"/>
      <c r="O303" s="36"/>
      <c r="P303" s="36"/>
      <c r="Q303" s="36"/>
      <c r="R303" s="36"/>
      <c r="S303" s="38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</row>
    <row r="304" spans="1:35" s="35" customFormat="1" ht="23.25" x14ac:dyDescent="0.35">
      <c r="A304" s="36"/>
      <c r="B304" s="36"/>
      <c r="C304" s="36"/>
      <c r="D304" s="36"/>
      <c r="E304" s="36"/>
      <c r="F304" s="36"/>
      <c r="G304" s="38"/>
      <c r="H304" s="36"/>
      <c r="I304" s="38"/>
      <c r="J304" s="38"/>
      <c r="K304" s="36"/>
      <c r="L304" s="36"/>
      <c r="M304" s="36"/>
      <c r="N304" s="36"/>
      <c r="O304" s="36"/>
      <c r="P304" s="36"/>
      <c r="Q304" s="36"/>
      <c r="R304" s="36"/>
      <c r="S304" s="38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</row>
    <row r="305" spans="1:51" s="35" customFormat="1" ht="23.25" x14ac:dyDescent="0.35">
      <c r="A305" s="36"/>
      <c r="B305" s="36"/>
      <c r="C305" s="36"/>
      <c r="D305" s="36"/>
      <c r="E305" s="36"/>
      <c r="F305" s="36"/>
      <c r="G305" s="38"/>
      <c r="H305" s="36"/>
      <c r="I305" s="38"/>
      <c r="J305" s="38"/>
      <c r="K305" s="36"/>
      <c r="L305" s="36"/>
      <c r="M305" s="36"/>
      <c r="N305" s="36"/>
      <c r="O305" s="36"/>
      <c r="P305" s="36"/>
      <c r="Q305" s="36"/>
      <c r="R305" s="36"/>
      <c r="S305" s="38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</row>
    <row r="306" spans="1:51" s="35" customFormat="1" ht="23.25" x14ac:dyDescent="0.35">
      <c r="A306" s="36"/>
      <c r="B306" s="36"/>
      <c r="C306" s="36"/>
      <c r="D306" s="36"/>
      <c r="E306" s="36"/>
      <c r="F306" s="36"/>
      <c r="G306" s="38"/>
      <c r="H306" s="36"/>
      <c r="I306" s="38"/>
      <c r="J306" s="38"/>
      <c r="K306" s="36"/>
      <c r="L306" s="36"/>
      <c r="M306" s="36"/>
      <c r="N306" s="36"/>
      <c r="O306" s="36"/>
      <c r="P306" s="36"/>
      <c r="Q306" s="36"/>
      <c r="R306" s="36"/>
      <c r="S306" s="38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</row>
    <row r="307" spans="1:51" s="35" customFormat="1" ht="23.25" x14ac:dyDescent="0.35">
      <c r="A307" s="36"/>
      <c r="B307" s="36"/>
      <c r="C307" s="36"/>
      <c r="D307" s="36"/>
      <c r="E307" s="36"/>
      <c r="F307" s="36"/>
      <c r="G307" s="38"/>
      <c r="H307" s="36"/>
      <c r="I307" s="38"/>
      <c r="J307" s="38"/>
      <c r="K307" s="36"/>
      <c r="L307" s="36"/>
      <c r="M307" s="36"/>
      <c r="N307" s="36"/>
      <c r="O307" s="36"/>
      <c r="P307" s="36"/>
      <c r="Q307" s="36"/>
      <c r="R307" s="36"/>
      <c r="S307" s="38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51" s="35" customFormat="1" ht="23.25" x14ac:dyDescent="0.35">
      <c r="A308" s="36"/>
      <c r="B308" s="36"/>
      <c r="C308" s="36"/>
      <c r="D308" s="36"/>
      <c r="E308" s="36"/>
      <c r="F308" s="36"/>
      <c r="G308" s="38"/>
      <c r="H308" s="36"/>
      <c r="I308" s="38"/>
      <c r="J308" s="38"/>
      <c r="K308" s="36"/>
      <c r="L308" s="36"/>
      <c r="M308" s="36"/>
      <c r="N308" s="36"/>
      <c r="O308" s="36"/>
      <c r="P308" s="36"/>
      <c r="Q308" s="36"/>
      <c r="R308" s="36"/>
      <c r="S308" s="38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51" s="35" customFormat="1" ht="23.25" x14ac:dyDescent="0.35">
      <c r="A309" s="36"/>
      <c r="B309" s="36"/>
      <c r="C309" s="36"/>
      <c r="D309" s="36"/>
      <c r="E309" s="36"/>
      <c r="F309" s="36"/>
      <c r="G309" s="38"/>
      <c r="H309" s="36"/>
      <c r="I309" s="38"/>
      <c r="J309" s="38"/>
      <c r="K309" s="36"/>
      <c r="L309" s="36"/>
      <c r="M309" s="36"/>
      <c r="N309" s="36"/>
      <c r="O309" s="36"/>
      <c r="P309" s="36"/>
      <c r="Q309" s="36"/>
      <c r="R309" s="36"/>
      <c r="S309" s="38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51" s="35" customFormat="1" ht="23.25" x14ac:dyDescent="0.35">
      <c r="A310" s="36"/>
      <c r="B310" s="36"/>
      <c r="C310" s="36"/>
      <c r="D310" s="36"/>
      <c r="E310" s="36"/>
      <c r="F310" s="36"/>
      <c r="G310" s="38"/>
      <c r="H310" s="36"/>
      <c r="I310" s="38"/>
      <c r="J310" s="38"/>
      <c r="K310" s="36"/>
      <c r="L310" s="36"/>
      <c r="M310" s="36"/>
      <c r="N310" s="36"/>
      <c r="O310" s="36"/>
      <c r="P310" s="36"/>
      <c r="Q310" s="36"/>
      <c r="R310" s="36"/>
      <c r="S310" s="38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</row>
    <row r="311" spans="1:51" s="35" customFormat="1" ht="23.25" x14ac:dyDescent="0.35">
      <c r="A311" s="36"/>
      <c r="B311" s="36"/>
      <c r="C311" s="36"/>
      <c r="D311" s="36"/>
      <c r="E311" s="36"/>
      <c r="F311" s="36"/>
      <c r="G311" s="38"/>
      <c r="H311" s="36"/>
      <c r="I311" s="38"/>
      <c r="J311" s="38"/>
      <c r="K311" s="36"/>
      <c r="L311" s="36"/>
      <c r="M311" s="36"/>
      <c r="N311" s="36"/>
      <c r="O311" s="36"/>
      <c r="P311" s="36"/>
      <c r="Q311" s="36"/>
      <c r="R311" s="36"/>
      <c r="S311" s="38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</row>
    <row r="312" spans="1:51" s="35" customFormat="1" ht="23.25" x14ac:dyDescent="0.35">
      <c r="A312" s="36"/>
      <c r="B312" s="36"/>
      <c r="C312" s="36"/>
      <c r="D312" s="36"/>
      <c r="E312" s="36"/>
      <c r="F312" s="36"/>
      <c r="G312" s="38"/>
      <c r="H312" s="36"/>
      <c r="I312" s="38"/>
      <c r="J312" s="38"/>
      <c r="K312" s="36"/>
      <c r="L312" s="36"/>
      <c r="M312" s="36"/>
      <c r="N312" s="36"/>
      <c r="O312" s="36"/>
      <c r="P312" s="36"/>
      <c r="Q312" s="36"/>
      <c r="R312" s="36"/>
      <c r="S312" s="38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</row>
    <row r="313" spans="1:51" s="35" customFormat="1" ht="23.25" x14ac:dyDescent="0.35">
      <c r="A313" s="36"/>
      <c r="B313" s="36"/>
      <c r="C313" s="36"/>
      <c r="D313" s="36"/>
      <c r="E313" s="36"/>
      <c r="F313" s="36"/>
      <c r="G313" s="38"/>
      <c r="H313" s="36"/>
      <c r="I313" s="38"/>
      <c r="J313" s="38"/>
      <c r="K313" s="36"/>
      <c r="L313" s="36"/>
      <c r="M313" s="36"/>
      <c r="N313" s="36"/>
      <c r="O313" s="36"/>
      <c r="P313" s="36"/>
      <c r="Q313" s="36"/>
      <c r="R313" s="36"/>
      <c r="S313" s="38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</row>
    <row r="314" spans="1:51" s="35" customFormat="1" ht="23.25" x14ac:dyDescent="0.35">
      <c r="A314" s="36"/>
      <c r="B314" s="36"/>
      <c r="C314" s="36"/>
      <c r="D314" s="36"/>
      <c r="E314" s="36"/>
      <c r="F314" s="36"/>
      <c r="G314" s="38"/>
      <c r="H314" s="36"/>
      <c r="I314" s="38"/>
      <c r="J314" s="38"/>
      <c r="K314" s="36"/>
      <c r="L314" s="36"/>
      <c r="M314" s="36"/>
      <c r="N314" s="36"/>
      <c r="O314" s="36"/>
      <c r="P314" s="36"/>
      <c r="Q314" s="36"/>
      <c r="R314" s="36"/>
      <c r="S314" s="38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</row>
    <row r="315" spans="1:51" s="35" customFormat="1" ht="23.25" x14ac:dyDescent="0.35">
      <c r="A315" s="36"/>
      <c r="B315" s="36"/>
      <c r="C315" s="36"/>
      <c r="D315" s="36"/>
      <c r="E315" s="36"/>
      <c r="F315" s="36"/>
      <c r="G315" s="38"/>
      <c r="H315" s="36"/>
      <c r="I315" s="38"/>
      <c r="J315" s="38"/>
      <c r="K315" s="36"/>
      <c r="L315" s="36"/>
      <c r="M315" s="36"/>
      <c r="N315" s="36"/>
      <c r="O315" s="36"/>
      <c r="P315" s="36"/>
      <c r="Q315" s="36"/>
      <c r="R315" s="36"/>
      <c r="S315" s="38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</row>
    <row r="316" spans="1:51" s="31" customFormat="1" ht="23.25" x14ac:dyDescent="0.35">
      <c r="A316" s="32"/>
      <c r="B316" s="32"/>
      <c r="C316" s="32"/>
      <c r="D316" s="32"/>
      <c r="E316" s="32"/>
      <c r="F316" s="32"/>
      <c r="G316" s="33"/>
      <c r="H316" s="32"/>
      <c r="I316" s="161"/>
      <c r="J316" s="161"/>
      <c r="K316" s="158"/>
      <c r="L316" s="158"/>
      <c r="M316" s="158"/>
      <c r="N316" s="158"/>
      <c r="O316" s="158"/>
      <c r="P316" s="158"/>
      <c r="Q316" s="34"/>
      <c r="R316" s="158"/>
      <c r="S316" s="161"/>
      <c r="T316" s="158"/>
      <c r="U316" s="158"/>
      <c r="V316" s="158"/>
      <c r="W316" s="158"/>
      <c r="X316" s="158"/>
      <c r="Y316" s="158"/>
      <c r="Z316" s="158"/>
      <c r="AA316" s="158"/>
      <c r="AB316" s="158"/>
      <c r="AC316" s="158"/>
      <c r="AD316" s="158"/>
      <c r="AE316" s="158"/>
      <c r="AF316" s="158"/>
      <c r="AG316" s="158"/>
      <c r="AH316" s="158"/>
      <c r="AI316" s="158"/>
      <c r="AJ316" s="159"/>
      <c r="AK316" s="159"/>
      <c r="AL316" s="159"/>
      <c r="AM316" s="159"/>
      <c r="AN316" s="159"/>
      <c r="AO316" s="159"/>
      <c r="AP316" s="159"/>
      <c r="AQ316" s="159"/>
      <c r="AR316" s="159"/>
      <c r="AS316" s="159"/>
      <c r="AT316" s="159"/>
      <c r="AU316" s="159"/>
      <c r="AV316" s="159"/>
      <c r="AW316" s="159"/>
      <c r="AX316" s="159"/>
      <c r="AY316" s="159"/>
    </row>
    <row r="317" spans="1:51" s="31" customFormat="1" ht="23.25" x14ac:dyDescent="0.35">
      <c r="A317" s="32"/>
      <c r="B317" s="32"/>
      <c r="C317" s="32"/>
      <c r="D317" s="32"/>
      <c r="E317" s="32"/>
      <c r="F317" s="32"/>
      <c r="G317" s="33"/>
      <c r="H317" s="32"/>
      <c r="I317" s="161"/>
      <c r="J317" s="161"/>
      <c r="K317" s="158"/>
      <c r="L317" s="158"/>
      <c r="M317" s="158"/>
      <c r="N317" s="158"/>
      <c r="O317" s="158"/>
      <c r="P317" s="158"/>
      <c r="Q317" s="34"/>
      <c r="R317" s="158"/>
      <c r="S317" s="161"/>
      <c r="T317" s="158"/>
      <c r="U317" s="158"/>
      <c r="V317" s="158"/>
      <c r="W317" s="158"/>
      <c r="X317" s="158"/>
      <c r="Y317" s="158"/>
      <c r="Z317" s="158"/>
      <c r="AA317" s="158"/>
      <c r="AB317" s="158"/>
      <c r="AC317" s="158"/>
      <c r="AD317" s="158"/>
      <c r="AE317" s="158"/>
      <c r="AF317" s="158"/>
      <c r="AG317" s="158"/>
      <c r="AH317" s="158"/>
      <c r="AI317" s="158"/>
      <c r="AJ317" s="159"/>
      <c r="AK317" s="159"/>
      <c r="AL317" s="159"/>
      <c r="AM317" s="159"/>
      <c r="AN317" s="159"/>
      <c r="AO317" s="159"/>
      <c r="AP317" s="159"/>
      <c r="AQ317" s="159"/>
      <c r="AR317" s="159"/>
      <c r="AS317" s="159"/>
      <c r="AT317" s="159"/>
      <c r="AU317" s="159"/>
      <c r="AV317" s="159"/>
      <c r="AW317" s="159"/>
      <c r="AX317" s="159"/>
      <c r="AY317" s="159"/>
    </row>
    <row r="318" spans="1:51" s="31" customFormat="1" ht="23.25" x14ac:dyDescent="0.35">
      <c r="A318" s="32"/>
      <c r="B318" s="32"/>
      <c r="C318" s="32"/>
      <c r="D318" s="32"/>
      <c r="E318" s="32"/>
      <c r="F318" s="32"/>
      <c r="G318" s="33"/>
      <c r="H318" s="32"/>
      <c r="I318" s="161"/>
      <c r="J318" s="161"/>
      <c r="K318" s="158"/>
      <c r="L318" s="158"/>
      <c r="M318" s="158"/>
      <c r="N318" s="158"/>
      <c r="O318" s="158"/>
      <c r="P318" s="158"/>
      <c r="Q318" s="34"/>
      <c r="R318" s="158"/>
      <c r="S318" s="161"/>
      <c r="T318" s="158"/>
      <c r="U318" s="158"/>
      <c r="V318" s="158"/>
      <c r="W318" s="158"/>
      <c r="X318" s="158"/>
      <c r="Y318" s="158"/>
      <c r="Z318" s="158"/>
      <c r="AA318" s="158"/>
      <c r="AB318" s="158"/>
      <c r="AC318" s="158"/>
      <c r="AD318" s="158"/>
      <c r="AE318" s="158"/>
      <c r="AF318" s="158"/>
      <c r="AG318" s="158"/>
      <c r="AH318" s="158"/>
      <c r="AI318" s="158"/>
      <c r="AJ318" s="159"/>
      <c r="AK318" s="159"/>
      <c r="AL318" s="159"/>
      <c r="AM318" s="159"/>
      <c r="AN318" s="159"/>
      <c r="AO318" s="159"/>
      <c r="AP318" s="159"/>
      <c r="AQ318" s="159"/>
      <c r="AR318" s="159"/>
      <c r="AS318" s="159"/>
      <c r="AT318" s="159"/>
      <c r="AU318" s="159"/>
      <c r="AV318" s="159"/>
      <c r="AW318" s="159"/>
      <c r="AX318" s="159"/>
      <c r="AY318" s="159"/>
    </row>
    <row r="319" spans="1:51" s="31" customFormat="1" ht="23.25" x14ac:dyDescent="0.35">
      <c r="A319" s="32"/>
      <c r="B319" s="32"/>
      <c r="C319" s="32"/>
      <c r="D319" s="32"/>
      <c r="E319" s="32"/>
      <c r="F319" s="32"/>
      <c r="G319" s="33"/>
      <c r="H319" s="32"/>
      <c r="I319" s="161"/>
      <c r="J319" s="161"/>
      <c r="K319" s="158"/>
      <c r="L319" s="158"/>
      <c r="M319" s="158"/>
      <c r="N319" s="158"/>
      <c r="O319" s="158"/>
      <c r="P319" s="158"/>
      <c r="Q319" s="34"/>
      <c r="R319" s="158"/>
      <c r="S319" s="161"/>
      <c r="T319" s="158"/>
      <c r="U319" s="158"/>
      <c r="V319" s="158"/>
      <c r="W319" s="158"/>
      <c r="X319" s="158"/>
      <c r="Y319" s="158"/>
      <c r="Z319" s="158"/>
      <c r="AA319" s="158"/>
      <c r="AB319" s="158"/>
      <c r="AC319" s="158"/>
      <c r="AD319" s="158"/>
      <c r="AE319" s="158"/>
      <c r="AF319" s="158"/>
      <c r="AG319" s="158"/>
      <c r="AH319" s="158"/>
      <c r="AI319" s="158"/>
      <c r="AJ319" s="159"/>
      <c r="AK319" s="159"/>
      <c r="AL319" s="159"/>
      <c r="AM319" s="159"/>
      <c r="AN319" s="159"/>
      <c r="AO319" s="159"/>
      <c r="AP319" s="159"/>
      <c r="AQ319" s="159"/>
      <c r="AR319" s="159"/>
      <c r="AS319" s="159"/>
      <c r="AT319" s="159"/>
      <c r="AU319" s="159"/>
      <c r="AV319" s="159"/>
      <c r="AW319" s="159"/>
      <c r="AX319" s="159"/>
      <c r="AY319" s="159"/>
    </row>
    <row r="320" spans="1:51" s="31" customFormat="1" ht="23.25" x14ac:dyDescent="0.35">
      <c r="A320" s="32"/>
      <c r="B320" s="32"/>
      <c r="C320" s="32"/>
      <c r="D320" s="32"/>
      <c r="E320" s="32"/>
      <c r="F320" s="32"/>
      <c r="G320" s="33"/>
      <c r="H320" s="32"/>
      <c r="I320" s="161"/>
      <c r="J320" s="161"/>
      <c r="K320" s="158"/>
      <c r="L320" s="158"/>
      <c r="M320" s="158"/>
      <c r="N320" s="158"/>
      <c r="O320" s="158"/>
      <c r="P320" s="158"/>
      <c r="Q320" s="34"/>
      <c r="R320" s="158"/>
      <c r="S320" s="161"/>
      <c r="T320" s="158"/>
      <c r="U320" s="158"/>
      <c r="V320" s="158"/>
      <c r="W320" s="158"/>
      <c r="X320" s="158"/>
      <c r="Y320" s="158"/>
      <c r="Z320" s="158"/>
      <c r="AA320" s="158"/>
      <c r="AB320" s="158"/>
      <c r="AC320" s="158"/>
      <c r="AD320" s="158"/>
      <c r="AE320" s="158"/>
      <c r="AF320" s="158"/>
      <c r="AG320" s="158"/>
      <c r="AH320" s="158"/>
      <c r="AI320" s="158"/>
      <c r="AJ320" s="159"/>
      <c r="AK320" s="159"/>
      <c r="AL320" s="159"/>
      <c r="AM320" s="159"/>
      <c r="AN320" s="159"/>
      <c r="AO320" s="159"/>
      <c r="AP320" s="159"/>
      <c r="AQ320" s="159"/>
      <c r="AR320" s="159"/>
      <c r="AS320" s="159"/>
      <c r="AT320" s="159"/>
      <c r="AU320" s="159"/>
      <c r="AV320" s="159"/>
      <c r="AW320" s="159"/>
      <c r="AX320" s="159"/>
      <c r="AY320" s="159"/>
    </row>
    <row r="321" spans="1:51" s="31" customFormat="1" ht="23.25" x14ac:dyDescent="0.35">
      <c r="A321" s="32"/>
      <c r="B321" s="32"/>
      <c r="C321" s="32"/>
      <c r="D321" s="32"/>
      <c r="E321" s="32"/>
      <c r="F321" s="32"/>
      <c r="G321" s="33"/>
      <c r="H321" s="32"/>
      <c r="I321" s="161"/>
      <c r="J321" s="161"/>
      <c r="K321" s="158"/>
      <c r="L321" s="158"/>
      <c r="M321" s="158"/>
      <c r="N321" s="158"/>
      <c r="O321" s="158"/>
      <c r="P321" s="158"/>
      <c r="Q321" s="34"/>
      <c r="R321" s="158"/>
      <c r="S321" s="161"/>
      <c r="T321" s="158"/>
      <c r="U321" s="158"/>
      <c r="V321" s="158"/>
      <c r="W321" s="158"/>
      <c r="X321" s="158"/>
      <c r="Y321" s="158"/>
      <c r="Z321" s="158"/>
      <c r="AA321" s="158"/>
      <c r="AB321" s="158"/>
      <c r="AC321" s="158"/>
      <c r="AD321" s="158"/>
      <c r="AE321" s="158"/>
      <c r="AF321" s="158"/>
      <c r="AG321" s="158"/>
      <c r="AH321" s="158"/>
      <c r="AI321" s="158"/>
      <c r="AJ321" s="159"/>
      <c r="AK321" s="159"/>
      <c r="AL321" s="159"/>
      <c r="AM321" s="159"/>
      <c r="AN321" s="159"/>
      <c r="AO321" s="159"/>
      <c r="AP321" s="159"/>
      <c r="AQ321" s="159"/>
      <c r="AR321" s="159"/>
      <c r="AS321" s="159"/>
      <c r="AT321" s="159"/>
      <c r="AU321" s="159"/>
      <c r="AV321" s="159"/>
      <c r="AW321" s="159"/>
      <c r="AX321" s="159"/>
      <c r="AY321" s="159"/>
    </row>
    <row r="322" spans="1:51" s="31" customFormat="1" ht="23.25" x14ac:dyDescent="0.35">
      <c r="A322" s="32"/>
      <c r="B322" s="32"/>
      <c r="C322" s="32"/>
      <c r="D322" s="32"/>
      <c r="E322" s="32"/>
      <c r="F322" s="32"/>
      <c r="G322" s="33"/>
      <c r="H322" s="32"/>
      <c r="I322" s="161"/>
      <c r="J322" s="161"/>
      <c r="K322" s="158"/>
      <c r="L322" s="158"/>
      <c r="M322" s="158"/>
      <c r="N322" s="158"/>
      <c r="O322" s="158"/>
      <c r="P322" s="158"/>
      <c r="Q322" s="34"/>
      <c r="R322" s="158"/>
      <c r="S322" s="161"/>
      <c r="T322" s="158"/>
      <c r="U322" s="158"/>
      <c r="V322" s="158"/>
      <c r="W322" s="158"/>
      <c r="X322" s="158"/>
      <c r="Y322" s="158"/>
      <c r="Z322" s="158"/>
      <c r="AA322" s="158"/>
      <c r="AB322" s="158"/>
      <c r="AC322" s="158"/>
      <c r="AD322" s="158"/>
      <c r="AE322" s="158"/>
      <c r="AF322" s="158"/>
      <c r="AG322" s="158"/>
      <c r="AH322" s="158"/>
      <c r="AI322" s="158"/>
      <c r="AJ322" s="159"/>
      <c r="AK322" s="159"/>
      <c r="AL322" s="159"/>
      <c r="AM322" s="159"/>
      <c r="AN322" s="159"/>
      <c r="AO322" s="159"/>
      <c r="AP322" s="159"/>
      <c r="AQ322" s="159"/>
      <c r="AR322" s="159"/>
      <c r="AS322" s="159"/>
      <c r="AT322" s="159"/>
      <c r="AU322" s="159"/>
      <c r="AV322" s="159"/>
      <c r="AW322" s="159"/>
      <c r="AX322" s="159"/>
      <c r="AY322" s="159"/>
    </row>
    <row r="323" spans="1:51" s="31" customFormat="1" ht="23.25" x14ac:dyDescent="0.35">
      <c r="A323" s="32"/>
      <c r="B323" s="32"/>
      <c r="C323" s="32"/>
      <c r="D323" s="32"/>
      <c r="E323" s="32"/>
      <c r="F323" s="32"/>
      <c r="G323" s="33"/>
      <c r="H323" s="32"/>
      <c r="I323" s="161"/>
      <c r="J323" s="161"/>
      <c r="K323" s="158"/>
      <c r="L323" s="158"/>
      <c r="M323" s="158"/>
      <c r="N323" s="158"/>
      <c r="O323" s="158"/>
      <c r="P323" s="158"/>
      <c r="Q323" s="34"/>
      <c r="R323" s="158"/>
      <c r="S323" s="161"/>
      <c r="T323" s="158"/>
      <c r="U323" s="158"/>
      <c r="V323" s="158"/>
      <c r="W323" s="158"/>
      <c r="X323" s="158"/>
      <c r="Y323" s="158"/>
      <c r="Z323" s="158"/>
      <c r="AA323" s="158"/>
      <c r="AB323" s="158"/>
      <c r="AC323" s="158"/>
      <c r="AD323" s="158"/>
      <c r="AE323" s="158"/>
      <c r="AF323" s="158"/>
      <c r="AG323" s="158"/>
      <c r="AH323" s="158"/>
      <c r="AI323" s="158"/>
      <c r="AJ323" s="159"/>
      <c r="AK323" s="159"/>
      <c r="AL323" s="159"/>
      <c r="AM323" s="159"/>
      <c r="AN323" s="159"/>
      <c r="AO323" s="159"/>
      <c r="AP323" s="159"/>
      <c r="AQ323" s="159"/>
      <c r="AR323" s="159"/>
      <c r="AS323" s="159"/>
      <c r="AT323" s="159"/>
      <c r="AU323" s="159"/>
      <c r="AV323" s="159"/>
      <c r="AW323" s="159"/>
      <c r="AX323" s="159"/>
      <c r="AY323" s="159"/>
    </row>
    <row r="324" spans="1:51" s="31" customFormat="1" ht="23.25" x14ac:dyDescent="0.35">
      <c r="A324" s="32"/>
      <c r="B324" s="32"/>
      <c r="C324" s="32"/>
      <c r="D324" s="32"/>
      <c r="E324" s="32"/>
      <c r="F324" s="32"/>
      <c r="G324" s="33"/>
      <c r="H324" s="32"/>
      <c r="I324" s="161"/>
      <c r="J324" s="161"/>
      <c r="K324" s="158"/>
      <c r="L324" s="158"/>
      <c r="M324" s="158"/>
      <c r="N324" s="158"/>
      <c r="O324" s="158"/>
      <c r="P324" s="158"/>
      <c r="Q324" s="34"/>
      <c r="R324" s="158"/>
      <c r="S324" s="161"/>
      <c r="T324" s="158"/>
      <c r="U324" s="158"/>
      <c r="V324" s="158"/>
      <c r="W324" s="158"/>
      <c r="X324" s="158"/>
      <c r="Y324" s="158"/>
      <c r="Z324" s="158"/>
      <c r="AA324" s="158"/>
      <c r="AB324" s="158"/>
      <c r="AC324" s="158"/>
      <c r="AD324" s="158"/>
      <c r="AE324" s="158"/>
      <c r="AF324" s="158"/>
      <c r="AG324" s="158"/>
      <c r="AH324" s="158"/>
      <c r="AI324" s="158"/>
      <c r="AJ324" s="159"/>
      <c r="AK324" s="159"/>
      <c r="AL324" s="159"/>
      <c r="AM324" s="159"/>
      <c r="AN324" s="159"/>
      <c r="AO324" s="159"/>
      <c r="AP324" s="159"/>
      <c r="AQ324" s="159"/>
      <c r="AR324" s="159"/>
      <c r="AS324" s="159"/>
      <c r="AT324" s="159"/>
      <c r="AU324" s="159"/>
      <c r="AV324" s="159"/>
      <c r="AW324" s="159"/>
      <c r="AX324" s="159"/>
      <c r="AY324" s="159"/>
    </row>
    <row r="325" spans="1:51" s="31" customFormat="1" ht="23.25" x14ac:dyDescent="0.35">
      <c r="A325" s="32"/>
      <c r="B325" s="32"/>
      <c r="C325" s="32"/>
      <c r="D325" s="32"/>
      <c r="E325" s="32"/>
      <c r="F325" s="32"/>
      <c r="G325" s="33"/>
      <c r="H325" s="32"/>
      <c r="I325" s="161"/>
      <c r="J325" s="161"/>
      <c r="K325" s="158"/>
      <c r="L325" s="158"/>
      <c r="M325" s="158"/>
      <c r="N325" s="158"/>
      <c r="O325" s="158"/>
      <c r="P325" s="158"/>
      <c r="Q325" s="34"/>
      <c r="R325" s="158"/>
      <c r="S325" s="161"/>
      <c r="T325" s="158"/>
      <c r="U325" s="158"/>
      <c r="V325" s="158"/>
      <c r="W325" s="158"/>
      <c r="X325" s="158"/>
      <c r="Y325" s="158"/>
      <c r="Z325" s="158"/>
      <c r="AA325" s="158"/>
      <c r="AB325" s="158"/>
      <c r="AC325" s="158"/>
      <c r="AD325" s="158"/>
      <c r="AE325" s="158"/>
      <c r="AF325" s="158"/>
      <c r="AG325" s="158"/>
      <c r="AH325" s="158"/>
      <c r="AI325" s="158"/>
      <c r="AJ325" s="159"/>
      <c r="AK325" s="159"/>
      <c r="AL325" s="159"/>
      <c r="AM325" s="159"/>
      <c r="AN325" s="159"/>
      <c r="AO325" s="159"/>
      <c r="AP325" s="159"/>
      <c r="AQ325" s="159"/>
      <c r="AR325" s="159"/>
      <c r="AS325" s="159"/>
      <c r="AT325" s="159"/>
      <c r="AU325" s="159"/>
      <c r="AV325" s="159"/>
      <c r="AW325" s="159"/>
      <c r="AX325" s="159"/>
      <c r="AY325" s="159"/>
    </row>
    <row r="326" spans="1:51" s="31" customFormat="1" ht="23.25" x14ac:dyDescent="0.35">
      <c r="A326" s="32"/>
      <c r="B326" s="32"/>
      <c r="C326" s="32"/>
      <c r="D326" s="32"/>
      <c r="E326" s="32"/>
      <c r="F326" s="32"/>
      <c r="G326" s="33"/>
      <c r="H326" s="32"/>
      <c r="I326" s="161"/>
      <c r="J326" s="161"/>
      <c r="K326" s="158"/>
      <c r="L326" s="158"/>
      <c r="M326" s="158"/>
      <c r="N326" s="158"/>
      <c r="O326" s="158"/>
      <c r="P326" s="158"/>
      <c r="Q326" s="34"/>
      <c r="R326" s="158"/>
      <c r="S326" s="161"/>
      <c r="T326" s="158"/>
      <c r="U326" s="158"/>
      <c r="V326" s="158"/>
      <c r="W326" s="158"/>
      <c r="X326" s="158"/>
      <c r="Y326" s="158"/>
      <c r="Z326" s="158"/>
      <c r="AA326" s="158"/>
      <c r="AB326" s="158"/>
      <c r="AC326" s="158"/>
      <c r="AD326" s="158"/>
      <c r="AE326" s="158"/>
      <c r="AF326" s="158"/>
      <c r="AG326" s="158"/>
      <c r="AH326" s="158"/>
      <c r="AI326" s="158"/>
      <c r="AJ326" s="159"/>
      <c r="AK326" s="159"/>
      <c r="AL326" s="159"/>
      <c r="AM326" s="159"/>
      <c r="AN326" s="159"/>
      <c r="AO326" s="159"/>
      <c r="AP326" s="159"/>
      <c r="AQ326" s="159"/>
      <c r="AR326" s="159"/>
      <c r="AS326" s="159"/>
      <c r="AT326" s="159"/>
      <c r="AU326" s="159"/>
      <c r="AV326" s="159"/>
      <c r="AW326" s="159"/>
      <c r="AX326" s="159"/>
      <c r="AY326" s="159"/>
    </row>
    <row r="327" spans="1:51" s="31" customFormat="1" ht="23.25" x14ac:dyDescent="0.35">
      <c r="A327" s="32"/>
      <c r="B327" s="32"/>
      <c r="C327" s="32"/>
      <c r="D327" s="32"/>
      <c r="E327" s="32"/>
      <c r="F327" s="32"/>
      <c r="G327" s="33"/>
      <c r="H327" s="32"/>
      <c r="I327" s="161"/>
      <c r="J327" s="161"/>
      <c r="K327" s="158"/>
      <c r="L327" s="158"/>
      <c r="M327" s="158"/>
      <c r="N327" s="158"/>
      <c r="O327" s="158"/>
      <c r="P327" s="158"/>
      <c r="Q327" s="34"/>
      <c r="R327" s="158"/>
      <c r="S327" s="161"/>
      <c r="T327" s="158"/>
      <c r="U327" s="158"/>
      <c r="V327" s="158"/>
      <c r="W327" s="158"/>
      <c r="X327" s="158"/>
      <c r="Y327" s="158"/>
      <c r="Z327" s="158"/>
      <c r="AA327" s="158"/>
      <c r="AB327" s="158"/>
      <c r="AC327" s="158"/>
      <c r="AD327" s="158"/>
      <c r="AE327" s="158"/>
      <c r="AF327" s="158"/>
      <c r="AG327" s="158"/>
      <c r="AH327" s="158"/>
      <c r="AI327" s="158"/>
      <c r="AJ327" s="159"/>
      <c r="AK327" s="159"/>
      <c r="AL327" s="159"/>
      <c r="AM327" s="159"/>
      <c r="AN327" s="159"/>
      <c r="AO327" s="159"/>
      <c r="AP327" s="159"/>
      <c r="AQ327" s="159"/>
      <c r="AR327" s="159"/>
      <c r="AS327" s="159"/>
      <c r="AT327" s="159"/>
      <c r="AU327" s="159"/>
      <c r="AV327" s="159"/>
      <c r="AW327" s="159"/>
      <c r="AX327" s="159"/>
      <c r="AY327" s="159"/>
    </row>
    <row r="328" spans="1:51" s="31" customFormat="1" ht="23.25" x14ac:dyDescent="0.35">
      <c r="A328" s="32"/>
      <c r="B328" s="32"/>
      <c r="C328" s="32"/>
      <c r="D328" s="32"/>
      <c r="E328" s="32"/>
      <c r="F328" s="32"/>
      <c r="G328" s="33"/>
      <c r="H328" s="32"/>
      <c r="I328" s="161"/>
      <c r="J328" s="161"/>
      <c r="K328" s="158"/>
      <c r="L328" s="158"/>
      <c r="M328" s="158"/>
      <c r="N328" s="158"/>
      <c r="O328" s="158"/>
      <c r="P328" s="158"/>
      <c r="Q328" s="34"/>
      <c r="R328" s="158"/>
      <c r="S328" s="161"/>
      <c r="T328" s="158"/>
      <c r="U328" s="158"/>
      <c r="V328" s="158"/>
      <c r="W328" s="158"/>
      <c r="X328" s="158"/>
      <c r="Y328" s="158"/>
      <c r="Z328" s="158"/>
      <c r="AA328" s="158"/>
      <c r="AB328" s="158"/>
      <c r="AC328" s="158"/>
      <c r="AD328" s="158"/>
      <c r="AE328" s="158"/>
      <c r="AF328" s="158"/>
      <c r="AG328" s="158"/>
      <c r="AH328" s="158"/>
      <c r="AI328" s="158"/>
      <c r="AJ328" s="159"/>
      <c r="AK328" s="159"/>
      <c r="AL328" s="159"/>
      <c r="AM328" s="159"/>
      <c r="AN328" s="159"/>
      <c r="AO328" s="159"/>
      <c r="AP328" s="159"/>
      <c r="AQ328" s="159"/>
      <c r="AR328" s="159"/>
      <c r="AS328" s="159"/>
      <c r="AT328" s="159"/>
      <c r="AU328" s="159"/>
      <c r="AV328" s="159"/>
      <c r="AW328" s="159"/>
      <c r="AX328" s="159"/>
      <c r="AY328" s="159"/>
    </row>
    <row r="329" spans="1:51" s="31" customFormat="1" ht="23.25" x14ac:dyDescent="0.35">
      <c r="A329" s="32"/>
      <c r="B329" s="32"/>
      <c r="C329" s="32"/>
      <c r="D329" s="32"/>
      <c r="E329" s="32"/>
      <c r="F329" s="32"/>
      <c r="G329" s="33"/>
      <c r="H329" s="32"/>
      <c r="I329" s="161"/>
      <c r="J329" s="161"/>
      <c r="K329" s="158"/>
      <c r="L329" s="158"/>
      <c r="M329" s="158"/>
      <c r="N329" s="158"/>
      <c r="O329" s="158"/>
      <c r="P329" s="158"/>
      <c r="Q329" s="34"/>
      <c r="R329" s="158"/>
      <c r="S329" s="161"/>
      <c r="T329" s="158"/>
      <c r="U329" s="158"/>
      <c r="V329" s="158"/>
      <c r="W329" s="158"/>
      <c r="X329" s="158"/>
      <c r="Y329" s="158"/>
      <c r="Z329" s="158"/>
      <c r="AA329" s="158"/>
      <c r="AB329" s="158"/>
      <c r="AC329" s="158"/>
      <c r="AD329" s="158"/>
      <c r="AE329" s="158"/>
      <c r="AF329" s="158"/>
      <c r="AG329" s="158"/>
      <c r="AH329" s="158"/>
      <c r="AI329" s="158"/>
      <c r="AJ329" s="159"/>
      <c r="AK329" s="159"/>
      <c r="AL329" s="159"/>
      <c r="AM329" s="159"/>
      <c r="AN329" s="159"/>
      <c r="AO329" s="159"/>
      <c r="AP329" s="159"/>
      <c r="AQ329" s="159"/>
      <c r="AR329" s="159"/>
      <c r="AS329" s="159"/>
      <c r="AT329" s="159"/>
      <c r="AU329" s="159"/>
      <c r="AV329" s="159"/>
      <c r="AW329" s="159"/>
      <c r="AX329" s="159"/>
      <c r="AY329" s="159"/>
    </row>
    <row r="330" spans="1:51" s="31" customFormat="1" ht="23.25" x14ac:dyDescent="0.35">
      <c r="A330" s="32"/>
      <c r="B330" s="32"/>
      <c r="C330" s="32"/>
      <c r="D330" s="32"/>
      <c r="E330" s="32"/>
      <c r="F330" s="32"/>
      <c r="G330" s="33"/>
      <c r="H330" s="32"/>
      <c r="I330" s="161"/>
      <c r="J330" s="161"/>
      <c r="K330" s="158"/>
      <c r="L330" s="158"/>
      <c r="M330" s="158"/>
      <c r="N330" s="158"/>
      <c r="O330" s="158"/>
      <c r="P330" s="158"/>
      <c r="Q330" s="34"/>
      <c r="R330" s="158"/>
      <c r="S330" s="161"/>
      <c r="T330" s="158"/>
      <c r="U330" s="158"/>
      <c r="V330" s="158"/>
      <c r="W330" s="158"/>
      <c r="X330" s="158"/>
      <c r="Y330" s="158"/>
      <c r="Z330" s="158"/>
      <c r="AA330" s="158"/>
      <c r="AB330" s="158"/>
      <c r="AC330" s="158"/>
      <c r="AD330" s="158"/>
      <c r="AE330" s="158"/>
      <c r="AF330" s="158"/>
      <c r="AG330" s="158"/>
      <c r="AH330" s="158"/>
      <c r="AI330" s="158"/>
      <c r="AJ330" s="159"/>
      <c r="AK330" s="159"/>
      <c r="AL330" s="159"/>
      <c r="AM330" s="159"/>
      <c r="AN330" s="159"/>
      <c r="AO330" s="159"/>
      <c r="AP330" s="159"/>
      <c r="AQ330" s="159"/>
      <c r="AR330" s="159"/>
      <c r="AS330" s="159"/>
      <c r="AT330" s="159"/>
      <c r="AU330" s="159"/>
      <c r="AV330" s="159"/>
      <c r="AW330" s="159"/>
      <c r="AX330" s="159"/>
      <c r="AY330" s="159"/>
    </row>
    <row r="331" spans="1:51" s="31" customFormat="1" ht="23.25" x14ac:dyDescent="0.35">
      <c r="A331" s="32"/>
      <c r="B331" s="32"/>
      <c r="C331" s="32"/>
      <c r="D331" s="32"/>
      <c r="E331" s="32"/>
      <c r="F331" s="32"/>
      <c r="G331" s="33"/>
      <c r="H331" s="32"/>
      <c r="I331" s="161"/>
      <c r="J331" s="161"/>
      <c r="K331" s="158"/>
      <c r="L331" s="158"/>
      <c r="M331" s="158"/>
      <c r="N331" s="158"/>
      <c r="O331" s="158"/>
      <c r="P331" s="158"/>
      <c r="Q331" s="34"/>
      <c r="R331" s="158"/>
      <c r="S331" s="161"/>
      <c r="T331" s="158"/>
      <c r="U331" s="158"/>
      <c r="V331" s="158"/>
      <c r="W331" s="158"/>
      <c r="X331" s="158"/>
      <c r="Y331" s="158"/>
      <c r="Z331" s="158"/>
      <c r="AA331" s="158"/>
      <c r="AB331" s="158"/>
      <c r="AC331" s="158"/>
      <c r="AD331" s="158"/>
      <c r="AE331" s="158"/>
      <c r="AF331" s="158"/>
      <c r="AG331" s="158"/>
      <c r="AH331" s="158"/>
      <c r="AI331" s="158"/>
      <c r="AJ331" s="159"/>
      <c r="AK331" s="159"/>
      <c r="AL331" s="159"/>
      <c r="AM331" s="159"/>
      <c r="AN331" s="159"/>
      <c r="AO331" s="159"/>
      <c r="AP331" s="159"/>
      <c r="AQ331" s="159"/>
      <c r="AR331" s="159"/>
      <c r="AS331" s="159"/>
      <c r="AT331" s="159"/>
      <c r="AU331" s="159"/>
      <c r="AV331" s="159"/>
      <c r="AW331" s="159"/>
      <c r="AX331" s="159"/>
      <c r="AY331" s="159"/>
    </row>
    <row r="332" spans="1:51" s="31" customFormat="1" ht="23.25" x14ac:dyDescent="0.35">
      <c r="A332" s="32"/>
      <c r="B332" s="32"/>
      <c r="C332" s="32"/>
      <c r="D332" s="32"/>
      <c r="E332" s="32"/>
      <c r="F332" s="32"/>
      <c r="G332" s="33"/>
      <c r="H332" s="32"/>
      <c r="I332" s="161"/>
      <c r="J332" s="161"/>
      <c r="K332" s="158"/>
      <c r="L332" s="158"/>
      <c r="M332" s="158"/>
      <c r="N332" s="158"/>
      <c r="O332" s="158"/>
      <c r="P332" s="158"/>
      <c r="Q332" s="34"/>
      <c r="R332" s="158"/>
      <c r="S332" s="161"/>
      <c r="T332" s="158"/>
      <c r="U332" s="158"/>
      <c r="V332" s="158"/>
      <c r="W332" s="158"/>
      <c r="X332" s="158"/>
      <c r="Y332" s="158"/>
      <c r="Z332" s="158"/>
      <c r="AA332" s="158"/>
      <c r="AB332" s="158"/>
      <c r="AC332" s="158"/>
      <c r="AD332" s="158"/>
      <c r="AE332" s="158"/>
      <c r="AF332" s="158"/>
      <c r="AG332" s="158"/>
      <c r="AH332" s="158"/>
      <c r="AI332" s="158"/>
      <c r="AJ332" s="159"/>
      <c r="AK332" s="159"/>
      <c r="AL332" s="159"/>
      <c r="AM332" s="159"/>
      <c r="AN332" s="159"/>
      <c r="AO332" s="159"/>
      <c r="AP332" s="159"/>
      <c r="AQ332" s="159"/>
      <c r="AR332" s="159"/>
      <c r="AS332" s="159"/>
      <c r="AT332" s="159"/>
      <c r="AU332" s="159"/>
      <c r="AV332" s="159"/>
      <c r="AW332" s="159"/>
      <c r="AX332" s="159"/>
      <c r="AY332" s="159"/>
    </row>
    <row r="333" spans="1:51" s="31" customFormat="1" ht="23.25" x14ac:dyDescent="0.35">
      <c r="A333" s="32"/>
      <c r="B333" s="32"/>
      <c r="C333" s="32"/>
      <c r="D333" s="32"/>
      <c r="E333" s="32"/>
      <c r="F333" s="32"/>
      <c r="G333" s="33"/>
      <c r="H333" s="32"/>
      <c r="I333" s="161"/>
      <c r="J333" s="161"/>
      <c r="K333" s="158"/>
      <c r="L333" s="158"/>
      <c r="M333" s="158"/>
      <c r="N333" s="158"/>
      <c r="O333" s="158"/>
      <c r="P333" s="158"/>
      <c r="Q333" s="34"/>
      <c r="R333" s="158"/>
      <c r="S333" s="161"/>
      <c r="T333" s="158"/>
      <c r="U333" s="158"/>
      <c r="V333" s="158"/>
      <c r="W333" s="158"/>
      <c r="X333" s="158"/>
      <c r="Y333" s="158"/>
      <c r="Z333" s="158"/>
      <c r="AA333" s="158"/>
      <c r="AB333" s="158"/>
      <c r="AC333" s="158"/>
      <c r="AD333" s="158"/>
      <c r="AE333" s="158"/>
      <c r="AF333" s="158"/>
      <c r="AG333" s="158"/>
      <c r="AH333" s="158"/>
      <c r="AI333" s="158"/>
      <c r="AJ333" s="159"/>
      <c r="AK333" s="159"/>
      <c r="AL333" s="159"/>
      <c r="AM333" s="159"/>
      <c r="AN333" s="159"/>
      <c r="AO333" s="159"/>
      <c r="AP333" s="159"/>
      <c r="AQ333" s="159"/>
      <c r="AR333" s="159"/>
      <c r="AS333" s="159"/>
      <c r="AT333" s="159"/>
      <c r="AU333" s="159"/>
      <c r="AV333" s="159"/>
      <c r="AW333" s="159"/>
      <c r="AX333" s="159"/>
      <c r="AY333" s="159"/>
    </row>
    <row r="334" spans="1:51" s="31" customFormat="1" ht="23.25" x14ac:dyDescent="0.35">
      <c r="A334" s="32"/>
      <c r="B334" s="32"/>
      <c r="C334" s="32"/>
      <c r="D334" s="32"/>
      <c r="E334" s="32"/>
      <c r="F334" s="32"/>
      <c r="G334" s="33"/>
      <c r="H334" s="32"/>
      <c r="I334" s="161"/>
      <c r="J334" s="161"/>
      <c r="K334" s="158"/>
      <c r="L334" s="158"/>
      <c r="M334" s="158"/>
      <c r="N334" s="158"/>
      <c r="O334" s="158"/>
      <c r="P334" s="158"/>
      <c r="Q334" s="34"/>
      <c r="R334" s="158"/>
      <c r="S334" s="161"/>
      <c r="T334" s="158"/>
      <c r="U334" s="158"/>
      <c r="V334" s="158"/>
      <c r="W334" s="158"/>
      <c r="X334" s="158"/>
      <c r="Y334" s="158"/>
      <c r="Z334" s="158"/>
      <c r="AA334" s="158"/>
      <c r="AB334" s="158"/>
      <c r="AC334" s="158"/>
      <c r="AD334" s="158"/>
      <c r="AE334" s="158"/>
      <c r="AF334" s="158"/>
      <c r="AG334" s="158"/>
      <c r="AH334" s="158"/>
      <c r="AI334" s="158"/>
      <c r="AJ334" s="159"/>
      <c r="AK334" s="159"/>
      <c r="AL334" s="159"/>
      <c r="AM334" s="159"/>
      <c r="AN334" s="159"/>
      <c r="AO334" s="159"/>
      <c r="AP334" s="159"/>
      <c r="AQ334" s="159"/>
      <c r="AR334" s="159"/>
      <c r="AS334" s="159"/>
      <c r="AT334" s="159"/>
      <c r="AU334" s="159"/>
      <c r="AV334" s="159"/>
      <c r="AW334" s="159"/>
      <c r="AX334" s="159"/>
      <c r="AY334" s="159"/>
    </row>
    <row r="335" spans="1:51" s="31" customFormat="1" ht="23.25" x14ac:dyDescent="0.35">
      <c r="A335" s="32"/>
      <c r="B335" s="32"/>
      <c r="C335" s="32"/>
      <c r="D335" s="32"/>
      <c r="E335" s="32"/>
      <c r="F335" s="32"/>
      <c r="G335" s="33"/>
      <c r="H335" s="32"/>
      <c r="I335" s="161"/>
      <c r="J335" s="161"/>
      <c r="K335" s="158"/>
      <c r="L335" s="158"/>
      <c r="M335" s="158"/>
      <c r="N335" s="158"/>
      <c r="O335" s="158"/>
      <c r="P335" s="158"/>
      <c r="Q335" s="34"/>
      <c r="R335" s="158"/>
      <c r="S335" s="161"/>
      <c r="T335" s="158"/>
      <c r="U335" s="158"/>
      <c r="V335" s="158"/>
      <c r="W335" s="158"/>
      <c r="X335" s="158"/>
      <c r="Y335" s="158"/>
      <c r="Z335" s="158"/>
      <c r="AA335" s="158"/>
      <c r="AB335" s="158"/>
      <c r="AC335" s="158"/>
      <c r="AD335" s="158"/>
      <c r="AE335" s="158"/>
      <c r="AF335" s="158"/>
      <c r="AG335" s="158"/>
      <c r="AH335" s="158"/>
      <c r="AI335" s="158"/>
      <c r="AJ335" s="159"/>
      <c r="AK335" s="159"/>
      <c r="AL335" s="159"/>
      <c r="AM335" s="159"/>
      <c r="AN335" s="159"/>
      <c r="AO335" s="159"/>
      <c r="AP335" s="159"/>
      <c r="AQ335" s="159"/>
      <c r="AR335" s="159"/>
      <c r="AS335" s="159"/>
      <c r="AT335" s="159"/>
      <c r="AU335" s="159"/>
      <c r="AV335" s="159"/>
      <c r="AW335" s="159"/>
      <c r="AX335" s="159"/>
      <c r="AY335" s="159"/>
    </row>
    <row r="336" spans="1:51" s="31" customFormat="1" ht="23.25" x14ac:dyDescent="0.35">
      <c r="A336" s="32"/>
      <c r="B336" s="32"/>
      <c r="C336" s="32"/>
      <c r="D336" s="32"/>
      <c r="E336" s="32"/>
      <c r="F336" s="32"/>
      <c r="G336" s="33"/>
      <c r="H336" s="32"/>
      <c r="I336" s="161"/>
      <c r="J336" s="161"/>
      <c r="K336" s="158"/>
      <c r="L336" s="158"/>
      <c r="M336" s="158"/>
      <c r="N336" s="158"/>
      <c r="O336" s="158"/>
      <c r="P336" s="158"/>
      <c r="Q336" s="34"/>
      <c r="R336" s="158"/>
      <c r="S336" s="161"/>
      <c r="T336" s="158"/>
      <c r="U336" s="158"/>
      <c r="V336" s="158"/>
      <c r="W336" s="158"/>
      <c r="X336" s="158"/>
      <c r="Y336" s="158"/>
      <c r="Z336" s="158"/>
      <c r="AA336" s="158"/>
      <c r="AB336" s="158"/>
      <c r="AC336" s="158"/>
      <c r="AD336" s="158"/>
      <c r="AE336" s="158"/>
      <c r="AF336" s="158"/>
      <c r="AG336" s="158"/>
      <c r="AH336" s="158"/>
      <c r="AI336" s="158"/>
      <c r="AJ336" s="159"/>
      <c r="AK336" s="159"/>
      <c r="AL336" s="159"/>
      <c r="AM336" s="159"/>
      <c r="AN336" s="159"/>
      <c r="AO336" s="159"/>
      <c r="AP336" s="159"/>
      <c r="AQ336" s="159"/>
      <c r="AR336" s="159"/>
      <c r="AS336" s="159"/>
      <c r="AT336" s="159"/>
      <c r="AU336" s="159"/>
      <c r="AV336" s="159"/>
      <c r="AW336" s="159"/>
      <c r="AX336" s="159"/>
      <c r="AY336" s="159"/>
    </row>
    <row r="337" spans="1:51" s="31" customFormat="1" ht="23.25" x14ac:dyDescent="0.35">
      <c r="A337" s="32"/>
      <c r="B337" s="32"/>
      <c r="C337" s="32"/>
      <c r="D337" s="32"/>
      <c r="E337" s="32"/>
      <c r="F337" s="32"/>
      <c r="G337" s="33"/>
      <c r="H337" s="32"/>
      <c r="I337" s="161"/>
      <c r="J337" s="161"/>
      <c r="K337" s="158"/>
      <c r="L337" s="158"/>
      <c r="M337" s="158"/>
      <c r="N337" s="158"/>
      <c r="O337" s="158"/>
      <c r="P337" s="158"/>
      <c r="Q337" s="34"/>
      <c r="R337" s="158"/>
      <c r="S337" s="161"/>
      <c r="T337" s="158"/>
      <c r="U337" s="158"/>
      <c r="V337" s="158"/>
      <c r="W337" s="158"/>
      <c r="X337" s="158"/>
      <c r="Y337" s="158"/>
      <c r="Z337" s="158"/>
      <c r="AA337" s="158"/>
      <c r="AB337" s="158"/>
      <c r="AC337" s="158"/>
      <c r="AD337" s="158"/>
      <c r="AE337" s="158"/>
      <c r="AF337" s="158"/>
      <c r="AG337" s="158"/>
      <c r="AH337" s="158"/>
      <c r="AI337" s="158"/>
      <c r="AJ337" s="159"/>
      <c r="AK337" s="159"/>
      <c r="AL337" s="159"/>
      <c r="AM337" s="159"/>
      <c r="AN337" s="159"/>
      <c r="AO337" s="159"/>
      <c r="AP337" s="159"/>
      <c r="AQ337" s="159"/>
      <c r="AR337" s="159"/>
      <c r="AS337" s="159"/>
      <c r="AT337" s="159"/>
      <c r="AU337" s="159"/>
      <c r="AV337" s="159"/>
      <c r="AW337" s="159"/>
      <c r="AX337" s="159"/>
      <c r="AY337" s="159"/>
    </row>
    <row r="338" spans="1:51" s="31" customFormat="1" ht="23.25" x14ac:dyDescent="0.35">
      <c r="A338" s="32"/>
      <c r="B338" s="32"/>
      <c r="C338" s="32"/>
      <c r="D338" s="32"/>
      <c r="E338" s="32"/>
      <c r="F338" s="32"/>
      <c r="G338" s="33"/>
      <c r="H338" s="32"/>
      <c r="I338" s="161"/>
      <c r="J338" s="161"/>
      <c r="K338" s="158"/>
      <c r="L338" s="158"/>
      <c r="M338" s="158"/>
      <c r="N338" s="158"/>
      <c r="O338" s="158"/>
      <c r="P338" s="158"/>
      <c r="Q338" s="34"/>
      <c r="R338" s="158"/>
      <c r="S338" s="161"/>
      <c r="T338" s="158"/>
      <c r="U338" s="158"/>
      <c r="V338" s="158"/>
      <c r="W338" s="158"/>
      <c r="X338" s="158"/>
      <c r="Y338" s="158"/>
      <c r="Z338" s="158"/>
      <c r="AA338" s="158"/>
      <c r="AB338" s="158"/>
      <c r="AC338" s="158"/>
      <c r="AD338" s="158"/>
      <c r="AE338" s="158"/>
      <c r="AF338" s="158"/>
      <c r="AG338" s="158"/>
      <c r="AH338" s="158"/>
      <c r="AI338" s="158"/>
      <c r="AJ338" s="159"/>
      <c r="AK338" s="159"/>
      <c r="AL338" s="159"/>
      <c r="AM338" s="159"/>
      <c r="AN338" s="159"/>
      <c r="AO338" s="159"/>
      <c r="AP338" s="159"/>
      <c r="AQ338" s="159"/>
      <c r="AR338" s="159"/>
      <c r="AS338" s="159"/>
      <c r="AT338" s="159"/>
      <c r="AU338" s="159"/>
      <c r="AV338" s="159"/>
      <c r="AW338" s="159"/>
      <c r="AX338" s="159"/>
      <c r="AY338" s="159"/>
    </row>
    <row r="339" spans="1:51" s="31" customFormat="1" ht="23.25" x14ac:dyDescent="0.35">
      <c r="A339" s="32"/>
      <c r="B339" s="32"/>
      <c r="C339" s="32"/>
      <c r="D339" s="32"/>
      <c r="E339" s="32"/>
      <c r="F339" s="32"/>
      <c r="G339" s="33"/>
      <c r="H339" s="32"/>
      <c r="I339" s="161"/>
      <c r="J339" s="161"/>
      <c r="K339" s="158"/>
      <c r="L339" s="158"/>
      <c r="M339" s="158"/>
      <c r="N339" s="158"/>
      <c r="O339" s="158"/>
      <c r="P339" s="158"/>
      <c r="Q339" s="34"/>
      <c r="R339" s="158"/>
      <c r="S339" s="161"/>
      <c r="T339" s="158"/>
      <c r="U339" s="158"/>
      <c r="V339" s="158"/>
      <c r="W339" s="158"/>
      <c r="X339" s="158"/>
      <c r="Y339" s="158"/>
      <c r="Z339" s="158"/>
      <c r="AA339" s="158"/>
      <c r="AB339" s="158"/>
      <c r="AC339" s="158"/>
      <c r="AD339" s="158"/>
      <c r="AE339" s="158"/>
      <c r="AF339" s="158"/>
      <c r="AG339" s="158"/>
      <c r="AH339" s="158"/>
      <c r="AI339" s="158"/>
      <c r="AJ339" s="159"/>
      <c r="AK339" s="159"/>
      <c r="AL339" s="159"/>
      <c r="AM339" s="159"/>
      <c r="AN339" s="159"/>
      <c r="AO339" s="159"/>
      <c r="AP339" s="159"/>
      <c r="AQ339" s="159"/>
      <c r="AR339" s="159"/>
      <c r="AS339" s="159"/>
      <c r="AT339" s="159"/>
      <c r="AU339" s="159"/>
      <c r="AV339" s="159"/>
      <c r="AW339" s="159"/>
      <c r="AX339" s="159"/>
      <c r="AY339" s="159"/>
    </row>
    <row r="340" spans="1:51" s="31" customFormat="1" ht="23.25" x14ac:dyDescent="0.35">
      <c r="A340" s="32"/>
      <c r="B340" s="32"/>
      <c r="C340" s="32"/>
      <c r="D340" s="32"/>
      <c r="E340" s="32"/>
      <c r="F340" s="32"/>
      <c r="G340" s="33"/>
      <c r="H340" s="32"/>
      <c r="I340" s="161"/>
      <c r="J340" s="161"/>
      <c r="K340" s="158"/>
      <c r="L340" s="158"/>
      <c r="M340" s="158"/>
      <c r="N340" s="158"/>
      <c r="O340" s="158"/>
      <c r="P340" s="158"/>
      <c r="Q340" s="34"/>
      <c r="R340" s="158"/>
      <c r="S340" s="161"/>
      <c r="T340" s="158"/>
      <c r="U340" s="158"/>
      <c r="V340" s="158"/>
      <c r="W340" s="158"/>
      <c r="X340" s="158"/>
      <c r="Y340" s="158"/>
      <c r="Z340" s="158"/>
      <c r="AA340" s="158"/>
      <c r="AB340" s="158"/>
      <c r="AC340" s="158"/>
      <c r="AD340" s="158"/>
      <c r="AE340" s="158"/>
      <c r="AF340" s="158"/>
      <c r="AG340" s="158"/>
      <c r="AH340" s="158"/>
      <c r="AI340" s="158"/>
      <c r="AJ340" s="159"/>
      <c r="AK340" s="159"/>
      <c r="AL340" s="159"/>
      <c r="AM340" s="159"/>
      <c r="AN340" s="159"/>
      <c r="AO340" s="159"/>
      <c r="AP340" s="159"/>
      <c r="AQ340" s="159"/>
      <c r="AR340" s="159"/>
      <c r="AS340" s="159"/>
      <c r="AT340" s="159"/>
      <c r="AU340" s="159"/>
      <c r="AV340" s="159"/>
      <c r="AW340" s="159"/>
      <c r="AX340" s="159"/>
      <c r="AY340" s="159"/>
    </row>
    <row r="341" spans="1:51" s="31" customFormat="1" ht="23.25" x14ac:dyDescent="0.35">
      <c r="A341" s="32"/>
      <c r="B341" s="32"/>
      <c r="C341" s="32"/>
      <c r="D341" s="32"/>
      <c r="E341" s="32"/>
      <c r="F341" s="32"/>
      <c r="G341" s="33"/>
      <c r="H341" s="32"/>
      <c r="I341" s="161"/>
      <c r="J341" s="161"/>
      <c r="K341" s="158"/>
      <c r="L341" s="158"/>
      <c r="M341" s="158"/>
      <c r="N341" s="158"/>
      <c r="O341" s="158"/>
      <c r="P341" s="158"/>
      <c r="Q341" s="34"/>
      <c r="R341" s="158"/>
      <c r="S341" s="161"/>
      <c r="T341" s="158"/>
      <c r="U341" s="158"/>
      <c r="V341" s="158"/>
      <c r="W341" s="158"/>
      <c r="X341" s="158"/>
      <c r="Y341" s="158"/>
      <c r="Z341" s="158"/>
      <c r="AA341" s="158"/>
      <c r="AB341" s="158"/>
      <c r="AC341" s="158"/>
      <c r="AD341" s="158"/>
      <c r="AE341" s="158"/>
      <c r="AF341" s="158"/>
      <c r="AG341" s="158"/>
      <c r="AH341" s="158"/>
      <c r="AI341" s="158"/>
      <c r="AJ341" s="159"/>
      <c r="AK341" s="159"/>
      <c r="AL341" s="159"/>
      <c r="AM341" s="159"/>
      <c r="AN341" s="159"/>
      <c r="AO341" s="159"/>
      <c r="AP341" s="159"/>
      <c r="AQ341" s="159"/>
      <c r="AR341" s="159"/>
      <c r="AS341" s="159"/>
      <c r="AT341" s="159"/>
      <c r="AU341" s="159"/>
      <c r="AV341" s="159"/>
      <c r="AW341" s="159"/>
      <c r="AX341" s="159"/>
      <c r="AY341" s="159"/>
    </row>
    <row r="342" spans="1:51" s="31" customFormat="1" ht="23.25" x14ac:dyDescent="0.35">
      <c r="A342" s="32"/>
      <c r="B342" s="32"/>
      <c r="C342" s="32"/>
      <c r="D342" s="32"/>
      <c r="E342" s="32"/>
      <c r="F342" s="32"/>
      <c r="G342" s="33"/>
      <c r="H342" s="32"/>
      <c r="I342" s="161"/>
      <c r="J342" s="161"/>
      <c r="K342" s="158"/>
      <c r="L342" s="158"/>
      <c r="M342" s="158"/>
      <c r="N342" s="158"/>
      <c r="O342" s="158"/>
      <c r="P342" s="158"/>
      <c r="Q342" s="34"/>
      <c r="R342" s="158"/>
      <c r="S342" s="161"/>
      <c r="T342" s="158"/>
      <c r="U342" s="158"/>
      <c r="V342" s="158"/>
      <c r="W342" s="158"/>
      <c r="X342" s="158"/>
      <c r="Y342" s="158"/>
      <c r="Z342" s="158"/>
      <c r="AA342" s="158"/>
      <c r="AB342" s="158"/>
      <c r="AC342" s="158"/>
      <c r="AD342" s="158"/>
      <c r="AE342" s="158"/>
      <c r="AF342" s="158"/>
      <c r="AG342" s="158"/>
      <c r="AH342" s="158"/>
      <c r="AI342" s="158"/>
      <c r="AJ342" s="159"/>
      <c r="AK342" s="159"/>
      <c r="AL342" s="159"/>
      <c r="AM342" s="159"/>
      <c r="AN342" s="159"/>
      <c r="AO342" s="159"/>
      <c r="AP342" s="159"/>
      <c r="AQ342" s="159"/>
      <c r="AR342" s="159"/>
      <c r="AS342" s="159"/>
      <c r="AT342" s="159"/>
      <c r="AU342" s="159"/>
      <c r="AV342" s="159"/>
      <c r="AW342" s="159"/>
      <c r="AX342" s="159"/>
      <c r="AY342" s="159"/>
    </row>
    <row r="343" spans="1:51" s="31" customFormat="1" ht="23.25" x14ac:dyDescent="0.35">
      <c r="A343" s="32"/>
      <c r="B343" s="32"/>
      <c r="C343" s="32"/>
      <c r="D343" s="32"/>
      <c r="E343" s="32"/>
      <c r="F343" s="32"/>
      <c r="G343" s="33"/>
      <c r="H343" s="32"/>
      <c r="I343" s="161"/>
      <c r="J343" s="161"/>
      <c r="K343" s="158"/>
      <c r="L343" s="158"/>
      <c r="M343" s="158"/>
      <c r="N343" s="158"/>
      <c r="O343" s="158"/>
      <c r="P343" s="158"/>
      <c r="Q343" s="34"/>
      <c r="R343" s="158"/>
      <c r="S343" s="161"/>
      <c r="T343" s="158"/>
      <c r="U343" s="158"/>
      <c r="V343" s="158"/>
      <c r="W343" s="158"/>
      <c r="X343" s="158"/>
      <c r="Y343" s="158"/>
      <c r="Z343" s="158"/>
      <c r="AA343" s="158"/>
      <c r="AB343" s="158"/>
      <c r="AC343" s="158"/>
      <c r="AD343" s="158"/>
      <c r="AE343" s="158"/>
      <c r="AF343" s="158"/>
      <c r="AG343" s="158"/>
      <c r="AH343" s="158"/>
      <c r="AI343" s="158"/>
      <c r="AJ343" s="159"/>
      <c r="AK343" s="159"/>
      <c r="AL343" s="159"/>
      <c r="AM343" s="159"/>
      <c r="AN343" s="159"/>
      <c r="AO343" s="159"/>
      <c r="AP343" s="159"/>
      <c r="AQ343" s="159"/>
      <c r="AR343" s="159"/>
      <c r="AS343" s="159"/>
      <c r="AT343" s="159"/>
      <c r="AU343" s="159"/>
      <c r="AV343" s="159"/>
      <c r="AW343" s="159"/>
      <c r="AX343" s="159"/>
      <c r="AY343" s="159"/>
    </row>
    <row r="344" spans="1:51" s="31" customFormat="1" ht="23.25" x14ac:dyDescent="0.35">
      <c r="A344" s="32"/>
      <c r="B344" s="32"/>
      <c r="C344" s="32"/>
      <c r="D344" s="32"/>
      <c r="E344" s="32"/>
      <c r="F344" s="32"/>
      <c r="G344" s="33"/>
      <c r="H344" s="32"/>
      <c r="I344" s="161"/>
      <c r="J344" s="161"/>
      <c r="K344" s="158"/>
      <c r="L344" s="158"/>
      <c r="M344" s="158"/>
      <c r="N344" s="158"/>
      <c r="O344" s="158"/>
      <c r="P344" s="158"/>
      <c r="Q344" s="34"/>
      <c r="R344" s="158"/>
      <c r="S344" s="161"/>
      <c r="T344" s="158"/>
      <c r="U344" s="158"/>
      <c r="V344" s="158"/>
      <c r="W344" s="158"/>
      <c r="X344" s="158"/>
      <c r="Y344" s="158"/>
      <c r="Z344" s="158"/>
      <c r="AA344" s="158"/>
      <c r="AB344" s="158"/>
      <c r="AC344" s="158"/>
      <c r="AD344" s="158"/>
      <c r="AE344" s="158"/>
      <c r="AF344" s="158"/>
      <c r="AG344" s="158"/>
      <c r="AH344" s="158"/>
      <c r="AI344" s="158"/>
      <c r="AJ344" s="159"/>
      <c r="AK344" s="159"/>
      <c r="AL344" s="159"/>
      <c r="AM344" s="159"/>
      <c r="AN344" s="159"/>
      <c r="AO344" s="159"/>
      <c r="AP344" s="159"/>
      <c r="AQ344" s="159"/>
      <c r="AR344" s="159"/>
      <c r="AS344" s="159"/>
      <c r="AT344" s="159"/>
      <c r="AU344" s="159"/>
      <c r="AV344" s="159"/>
      <c r="AW344" s="159"/>
      <c r="AX344" s="159"/>
      <c r="AY344" s="159"/>
    </row>
    <row r="345" spans="1:51" s="31" customFormat="1" ht="23.25" x14ac:dyDescent="0.35">
      <c r="A345" s="32"/>
      <c r="B345" s="32"/>
      <c r="C345" s="32"/>
      <c r="D345" s="32"/>
      <c r="E345" s="32"/>
      <c r="F345" s="32"/>
      <c r="G345" s="33"/>
      <c r="H345" s="32"/>
      <c r="I345" s="161"/>
      <c r="J345" s="161"/>
      <c r="K345" s="158"/>
      <c r="L345" s="158"/>
      <c r="M345" s="158"/>
      <c r="N345" s="158"/>
      <c r="O345" s="158"/>
      <c r="P345" s="158"/>
      <c r="Q345" s="34"/>
      <c r="R345" s="158"/>
      <c r="S345" s="161"/>
      <c r="T345" s="158"/>
      <c r="U345" s="158"/>
      <c r="V345" s="158"/>
      <c r="W345" s="158"/>
      <c r="X345" s="158"/>
      <c r="Y345" s="158"/>
      <c r="Z345" s="158"/>
      <c r="AA345" s="158"/>
      <c r="AB345" s="158"/>
      <c r="AC345" s="158"/>
      <c r="AD345" s="158"/>
      <c r="AE345" s="158"/>
      <c r="AF345" s="158"/>
      <c r="AG345" s="158"/>
      <c r="AH345" s="158"/>
      <c r="AI345" s="158"/>
      <c r="AJ345" s="159"/>
      <c r="AK345" s="159"/>
      <c r="AL345" s="159"/>
      <c r="AM345" s="159"/>
      <c r="AN345" s="159"/>
      <c r="AO345" s="159"/>
      <c r="AP345" s="159"/>
      <c r="AQ345" s="159"/>
      <c r="AR345" s="159"/>
      <c r="AS345" s="159"/>
      <c r="AT345" s="159"/>
      <c r="AU345" s="159"/>
      <c r="AV345" s="159"/>
      <c r="AW345" s="159"/>
      <c r="AX345" s="159"/>
      <c r="AY345" s="159"/>
    </row>
    <row r="346" spans="1:51" s="31" customFormat="1" ht="23.25" x14ac:dyDescent="0.35">
      <c r="A346" s="32"/>
      <c r="B346" s="32"/>
      <c r="C346" s="32"/>
      <c r="D346" s="32"/>
      <c r="E346" s="32"/>
      <c r="F346" s="32"/>
      <c r="G346" s="33"/>
      <c r="H346" s="32"/>
      <c r="I346" s="161"/>
      <c r="J346" s="161"/>
      <c r="K346" s="158"/>
      <c r="L346" s="158"/>
      <c r="M346" s="158"/>
      <c r="N346" s="158"/>
      <c r="O346" s="158"/>
      <c r="P346" s="158"/>
      <c r="Q346" s="34"/>
      <c r="R346" s="158"/>
      <c r="S346" s="161"/>
      <c r="T346" s="158"/>
      <c r="U346" s="158"/>
      <c r="V346" s="158"/>
      <c r="W346" s="158"/>
      <c r="X346" s="158"/>
      <c r="Y346" s="158"/>
      <c r="Z346" s="158"/>
      <c r="AA346" s="158"/>
      <c r="AB346" s="158"/>
      <c r="AC346" s="158"/>
      <c r="AD346" s="158"/>
      <c r="AE346" s="158"/>
      <c r="AF346" s="158"/>
      <c r="AG346" s="158"/>
      <c r="AH346" s="158"/>
      <c r="AI346" s="158"/>
      <c r="AJ346" s="159"/>
      <c r="AK346" s="159"/>
      <c r="AL346" s="159"/>
      <c r="AM346" s="159"/>
      <c r="AN346" s="159"/>
      <c r="AO346" s="159"/>
      <c r="AP346" s="159"/>
      <c r="AQ346" s="159"/>
      <c r="AR346" s="159"/>
      <c r="AS346" s="159"/>
      <c r="AT346" s="159"/>
      <c r="AU346" s="159"/>
      <c r="AV346" s="159"/>
      <c r="AW346" s="159"/>
      <c r="AX346" s="159"/>
      <c r="AY346" s="159"/>
    </row>
    <row r="347" spans="1:51" s="31" customFormat="1" ht="23.25" x14ac:dyDescent="0.35">
      <c r="A347" s="32"/>
      <c r="B347" s="32"/>
      <c r="C347" s="32"/>
      <c r="D347" s="32"/>
      <c r="E347" s="32"/>
      <c r="F347" s="32"/>
      <c r="G347" s="33"/>
      <c r="H347" s="32"/>
      <c r="I347" s="161"/>
      <c r="J347" s="161"/>
      <c r="K347" s="158"/>
      <c r="L347" s="158"/>
      <c r="M347" s="158"/>
      <c r="N347" s="158"/>
      <c r="O347" s="158"/>
      <c r="P347" s="158"/>
      <c r="Q347" s="34"/>
      <c r="R347" s="158"/>
      <c r="S347" s="161"/>
      <c r="T347" s="158"/>
      <c r="U347" s="158"/>
      <c r="V347" s="158"/>
      <c r="W347" s="158"/>
      <c r="X347" s="158"/>
      <c r="Y347" s="158"/>
      <c r="Z347" s="158"/>
      <c r="AA347" s="158"/>
      <c r="AB347" s="158"/>
      <c r="AC347" s="158"/>
      <c r="AD347" s="158"/>
      <c r="AE347" s="158"/>
      <c r="AF347" s="158"/>
      <c r="AG347" s="158"/>
      <c r="AH347" s="158"/>
      <c r="AI347" s="158"/>
      <c r="AJ347" s="159"/>
      <c r="AK347" s="159"/>
      <c r="AL347" s="159"/>
      <c r="AM347" s="159"/>
      <c r="AN347" s="159"/>
      <c r="AO347" s="159"/>
      <c r="AP347" s="159"/>
      <c r="AQ347" s="159"/>
      <c r="AR347" s="159"/>
      <c r="AS347" s="159"/>
      <c r="AT347" s="159"/>
      <c r="AU347" s="159"/>
      <c r="AV347" s="159"/>
      <c r="AW347" s="159"/>
      <c r="AX347" s="159"/>
      <c r="AY347" s="159"/>
    </row>
    <row r="348" spans="1:51" s="31" customFormat="1" ht="23.25" x14ac:dyDescent="0.35">
      <c r="A348" s="32"/>
      <c r="B348" s="32"/>
      <c r="C348" s="32"/>
      <c r="D348" s="32"/>
      <c r="E348" s="32"/>
      <c r="F348" s="32"/>
      <c r="G348" s="33"/>
      <c r="H348" s="32"/>
      <c r="I348" s="161"/>
      <c r="J348" s="161"/>
      <c r="K348" s="158"/>
      <c r="L348" s="158"/>
      <c r="M348" s="158"/>
      <c r="N348" s="158"/>
      <c r="O348" s="158"/>
      <c r="P348" s="158"/>
      <c r="Q348" s="34"/>
      <c r="R348" s="158"/>
      <c r="S348" s="161"/>
      <c r="T348" s="158"/>
      <c r="U348" s="158"/>
      <c r="V348" s="158"/>
      <c r="W348" s="158"/>
      <c r="X348" s="158"/>
      <c r="Y348" s="158"/>
      <c r="Z348" s="158"/>
      <c r="AA348" s="158"/>
      <c r="AB348" s="158"/>
      <c r="AC348" s="158"/>
      <c r="AD348" s="158"/>
      <c r="AE348" s="158"/>
      <c r="AF348" s="158"/>
      <c r="AG348" s="158"/>
      <c r="AH348" s="158"/>
      <c r="AI348" s="158"/>
      <c r="AJ348" s="159"/>
      <c r="AK348" s="159"/>
      <c r="AL348" s="159"/>
      <c r="AM348" s="159"/>
      <c r="AN348" s="159"/>
      <c r="AO348" s="159"/>
      <c r="AP348" s="159"/>
      <c r="AQ348" s="159"/>
      <c r="AR348" s="159"/>
      <c r="AS348" s="159"/>
      <c r="AT348" s="159"/>
      <c r="AU348" s="159"/>
      <c r="AV348" s="159"/>
      <c r="AW348" s="159"/>
      <c r="AX348" s="159"/>
      <c r="AY348" s="159"/>
    </row>
    <row r="349" spans="1:51" s="31" customFormat="1" ht="23.25" x14ac:dyDescent="0.35">
      <c r="A349" s="32"/>
      <c r="B349" s="32"/>
      <c r="C349" s="32"/>
      <c r="D349" s="32"/>
      <c r="E349" s="32"/>
      <c r="F349" s="32"/>
      <c r="G349" s="33"/>
      <c r="H349" s="32"/>
      <c r="I349" s="161"/>
      <c r="J349" s="161"/>
      <c r="K349" s="158"/>
      <c r="L349" s="158"/>
      <c r="M349" s="158"/>
      <c r="N349" s="158"/>
      <c r="O349" s="158"/>
      <c r="P349" s="158"/>
      <c r="Q349" s="34"/>
      <c r="R349" s="158"/>
      <c r="S349" s="161"/>
      <c r="T349" s="158"/>
      <c r="U349" s="158"/>
      <c r="V349" s="158"/>
      <c r="W349" s="158"/>
      <c r="X349" s="158"/>
      <c r="Y349" s="158"/>
      <c r="Z349" s="158"/>
      <c r="AA349" s="158"/>
      <c r="AB349" s="158"/>
      <c r="AC349" s="158"/>
      <c r="AD349" s="158"/>
      <c r="AE349" s="158"/>
      <c r="AF349" s="158"/>
      <c r="AG349" s="158"/>
      <c r="AH349" s="158"/>
      <c r="AI349" s="158"/>
      <c r="AJ349" s="159"/>
      <c r="AK349" s="159"/>
      <c r="AL349" s="159"/>
      <c r="AM349" s="159"/>
      <c r="AN349" s="159"/>
      <c r="AO349" s="159"/>
      <c r="AP349" s="159"/>
      <c r="AQ349" s="159"/>
      <c r="AR349" s="159"/>
      <c r="AS349" s="159"/>
      <c r="AT349" s="159"/>
      <c r="AU349" s="159"/>
      <c r="AV349" s="159"/>
      <c r="AW349" s="159"/>
      <c r="AX349" s="159"/>
      <c r="AY349" s="159"/>
    </row>
    <row r="350" spans="1:51" s="31" customFormat="1" ht="23.25" x14ac:dyDescent="0.35">
      <c r="A350" s="32"/>
      <c r="B350" s="32"/>
      <c r="C350" s="32"/>
      <c r="D350" s="32"/>
      <c r="E350" s="32"/>
      <c r="F350" s="32"/>
      <c r="G350" s="33"/>
      <c r="H350" s="32"/>
      <c r="I350" s="161"/>
      <c r="J350" s="161"/>
      <c r="K350" s="158"/>
      <c r="L350" s="158"/>
      <c r="M350" s="158"/>
      <c r="N350" s="158"/>
      <c r="O350" s="158"/>
      <c r="P350" s="158"/>
      <c r="Q350" s="34"/>
      <c r="R350" s="158"/>
      <c r="S350" s="161"/>
      <c r="T350" s="158"/>
      <c r="U350" s="158"/>
      <c r="V350" s="158"/>
      <c r="W350" s="158"/>
      <c r="X350" s="158"/>
      <c r="Y350" s="158"/>
      <c r="Z350" s="158"/>
      <c r="AA350" s="158"/>
      <c r="AB350" s="158"/>
      <c r="AC350" s="158"/>
      <c r="AD350" s="158"/>
      <c r="AE350" s="158"/>
      <c r="AF350" s="158"/>
      <c r="AG350" s="158"/>
      <c r="AH350" s="158"/>
      <c r="AI350" s="158"/>
      <c r="AJ350" s="159"/>
      <c r="AK350" s="159"/>
      <c r="AL350" s="159"/>
      <c r="AM350" s="159"/>
      <c r="AN350" s="159"/>
      <c r="AO350" s="159"/>
      <c r="AP350" s="159"/>
      <c r="AQ350" s="159"/>
      <c r="AR350" s="159"/>
      <c r="AS350" s="159"/>
      <c r="AT350" s="159"/>
      <c r="AU350" s="159"/>
      <c r="AV350" s="159"/>
      <c r="AW350" s="159"/>
      <c r="AX350" s="159"/>
      <c r="AY350" s="159"/>
    </row>
    <row r="351" spans="1:51" s="31" customFormat="1" ht="23.25" x14ac:dyDescent="0.35">
      <c r="A351" s="32"/>
      <c r="B351" s="32"/>
      <c r="C351" s="32"/>
      <c r="D351" s="32"/>
      <c r="E351" s="32"/>
      <c r="F351" s="32"/>
      <c r="G351" s="33"/>
      <c r="H351" s="32"/>
      <c r="I351" s="161"/>
      <c r="J351" s="161"/>
      <c r="K351" s="158"/>
      <c r="L351" s="158"/>
      <c r="M351" s="158"/>
      <c r="N351" s="158"/>
      <c r="O351" s="158"/>
      <c r="P351" s="158"/>
      <c r="Q351" s="34"/>
      <c r="R351" s="158"/>
      <c r="S351" s="161"/>
      <c r="T351" s="158"/>
      <c r="U351" s="158"/>
      <c r="V351" s="158"/>
      <c r="W351" s="158"/>
      <c r="X351" s="158"/>
      <c r="Y351" s="158"/>
      <c r="Z351" s="158"/>
      <c r="AA351" s="158"/>
      <c r="AB351" s="158"/>
      <c r="AC351" s="158"/>
      <c r="AD351" s="158"/>
      <c r="AE351" s="158"/>
      <c r="AF351" s="158"/>
      <c r="AG351" s="158"/>
      <c r="AH351" s="158"/>
      <c r="AI351" s="158"/>
      <c r="AJ351" s="159"/>
      <c r="AK351" s="159"/>
      <c r="AL351" s="159"/>
      <c r="AM351" s="159"/>
      <c r="AN351" s="159"/>
      <c r="AO351" s="159"/>
      <c r="AP351" s="159"/>
      <c r="AQ351" s="159"/>
      <c r="AR351" s="159"/>
      <c r="AS351" s="159"/>
      <c r="AT351" s="159"/>
      <c r="AU351" s="159"/>
      <c r="AV351" s="159"/>
      <c r="AW351" s="159"/>
      <c r="AX351" s="159"/>
      <c r="AY351" s="159"/>
    </row>
    <row r="352" spans="1:51" s="31" customFormat="1" ht="23.25" x14ac:dyDescent="0.35">
      <c r="A352" s="32"/>
      <c r="B352" s="32"/>
      <c r="C352" s="32"/>
      <c r="D352" s="32"/>
      <c r="E352" s="32"/>
      <c r="F352" s="32"/>
      <c r="G352" s="33"/>
      <c r="H352" s="32"/>
      <c r="I352" s="161"/>
      <c r="J352" s="161"/>
      <c r="K352" s="158"/>
      <c r="L352" s="158"/>
      <c r="M352" s="158"/>
      <c r="N352" s="158"/>
      <c r="O352" s="158"/>
      <c r="P352" s="158"/>
      <c r="Q352" s="34"/>
      <c r="R352" s="158"/>
      <c r="S352" s="161"/>
      <c r="T352" s="158"/>
      <c r="U352" s="158"/>
      <c r="V352" s="158"/>
      <c r="W352" s="158"/>
      <c r="X352" s="158"/>
      <c r="Y352" s="158"/>
      <c r="Z352" s="158"/>
      <c r="AA352" s="158"/>
      <c r="AB352" s="158"/>
      <c r="AC352" s="158"/>
      <c r="AD352" s="158"/>
      <c r="AE352" s="158"/>
      <c r="AF352" s="158"/>
      <c r="AG352" s="158"/>
      <c r="AH352" s="158"/>
      <c r="AI352" s="158"/>
      <c r="AJ352" s="159"/>
      <c r="AK352" s="159"/>
      <c r="AL352" s="159"/>
      <c r="AM352" s="159"/>
      <c r="AN352" s="159"/>
      <c r="AO352" s="159"/>
      <c r="AP352" s="159"/>
      <c r="AQ352" s="159"/>
      <c r="AR352" s="159"/>
      <c r="AS352" s="159"/>
      <c r="AT352" s="159"/>
      <c r="AU352" s="159"/>
      <c r="AV352" s="159"/>
      <c r="AW352" s="159"/>
      <c r="AX352" s="159"/>
      <c r="AY352" s="159"/>
    </row>
    <row r="353" spans="1:51" s="31" customFormat="1" ht="23.25" x14ac:dyDescent="0.35">
      <c r="A353" s="32"/>
      <c r="B353" s="32"/>
      <c r="C353" s="32"/>
      <c r="D353" s="32"/>
      <c r="E353" s="32"/>
      <c r="F353" s="32"/>
      <c r="G353" s="33"/>
      <c r="H353" s="32"/>
      <c r="I353" s="161"/>
      <c r="J353" s="161"/>
      <c r="K353" s="158"/>
      <c r="L353" s="158"/>
      <c r="M353" s="158"/>
      <c r="N353" s="158"/>
      <c r="O353" s="158"/>
      <c r="P353" s="158"/>
      <c r="Q353" s="34"/>
      <c r="R353" s="158"/>
      <c r="S353" s="161"/>
      <c r="T353" s="158"/>
      <c r="U353" s="158"/>
      <c r="V353" s="158"/>
      <c r="W353" s="158"/>
      <c r="X353" s="158"/>
      <c r="Y353" s="158"/>
      <c r="Z353" s="158"/>
      <c r="AA353" s="158"/>
      <c r="AB353" s="158"/>
      <c r="AC353" s="158"/>
      <c r="AD353" s="158"/>
      <c r="AE353" s="158"/>
      <c r="AF353" s="158"/>
      <c r="AG353" s="158"/>
      <c r="AH353" s="158"/>
      <c r="AI353" s="158"/>
      <c r="AJ353" s="159"/>
      <c r="AK353" s="159"/>
      <c r="AL353" s="159"/>
      <c r="AM353" s="159"/>
      <c r="AN353" s="159"/>
      <c r="AO353" s="159"/>
      <c r="AP353" s="159"/>
      <c r="AQ353" s="159"/>
      <c r="AR353" s="159"/>
      <c r="AS353" s="159"/>
      <c r="AT353" s="159"/>
      <c r="AU353" s="159"/>
      <c r="AV353" s="159"/>
      <c r="AW353" s="159"/>
      <c r="AX353" s="159"/>
      <c r="AY353" s="159"/>
    </row>
    <row r="354" spans="1:51" s="31" customFormat="1" ht="23.25" x14ac:dyDescent="0.35">
      <c r="A354" s="32"/>
      <c r="B354" s="32"/>
      <c r="C354" s="32"/>
      <c r="D354" s="32"/>
      <c r="E354" s="32"/>
      <c r="F354" s="32"/>
      <c r="G354" s="33"/>
      <c r="H354" s="32"/>
      <c r="I354" s="161"/>
      <c r="J354" s="161"/>
      <c r="K354" s="158"/>
      <c r="L354" s="158"/>
      <c r="M354" s="158"/>
      <c r="N354" s="158"/>
      <c r="O354" s="158"/>
      <c r="P354" s="158"/>
      <c r="Q354" s="34"/>
      <c r="R354" s="158"/>
      <c r="S354" s="161"/>
      <c r="T354" s="158"/>
      <c r="U354" s="158"/>
      <c r="V354" s="158"/>
      <c r="W354" s="158"/>
      <c r="X354" s="158"/>
      <c r="Y354" s="158"/>
      <c r="Z354" s="158"/>
      <c r="AA354" s="158"/>
      <c r="AB354" s="158"/>
      <c r="AC354" s="158"/>
      <c r="AD354" s="158"/>
      <c r="AE354" s="158"/>
      <c r="AF354" s="158"/>
      <c r="AG354" s="158"/>
      <c r="AH354" s="158"/>
      <c r="AI354" s="158"/>
      <c r="AJ354" s="159"/>
      <c r="AK354" s="159"/>
      <c r="AL354" s="159"/>
      <c r="AM354" s="159"/>
      <c r="AN354" s="159"/>
      <c r="AO354" s="159"/>
      <c r="AP354" s="159"/>
      <c r="AQ354" s="159"/>
      <c r="AR354" s="159"/>
      <c r="AS354" s="159"/>
      <c r="AT354" s="159"/>
      <c r="AU354" s="159"/>
      <c r="AV354" s="159"/>
      <c r="AW354" s="159"/>
      <c r="AX354" s="159"/>
      <c r="AY354" s="159"/>
    </row>
    <row r="355" spans="1:51" s="31" customFormat="1" ht="23.25" x14ac:dyDescent="0.35">
      <c r="A355" s="32"/>
      <c r="B355" s="32"/>
      <c r="C355" s="32"/>
      <c r="D355" s="32"/>
      <c r="E355" s="32"/>
      <c r="F355" s="32"/>
      <c r="G355" s="33"/>
      <c r="H355" s="32"/>
      <c r="I355" s="161"/>
      <c r="J355" s="161"/>
      <c r="K355" s="158"/>
      <c r="L355" s="158"/>
      <c r="M355" s="158"/>
      <c r="N355" s="158"/>
      <c r="O355" s="158"/>
      <c r="P355" s="158"/>
      <c r="Q355" s="34"/>
      <c r="R355" s="158"/>
      <c r="S355" s="161"/>
      <c r="T355" s="158"/>
      <c r="U355" s="158"/>
      <c r="V355" s="158"/>
      <c r="W355" s="158"/>
      <c r="X355" s="158"/>
      <c r="Y355" s="158"/>
      <c r="Z355" s="158"/>
      <c r="AA355" s="158"/>
      <c r="AB355" s="158"/>
      <c r="AC355" s="158"/>
      <c r="AD355" s="158"/>
      <c r="AE355" s="158"/>
      <c r="AF355" s="158"/>
      <c r="AG355" s="158"/>
      <c r="AH355" s="158"/>
      <c r="AI355" s="158"/>
      <c r="AJ355" s="159"/>
      <c r="AK355" s="159"/>
      <c r="AL355" s="159"/>
      <c r="AM355" s="159"/>
      <c r="AN355" s="159"/>
      <c r="AO355" s="159"/>
      <c r="AP355" s="159"/>
      <c r="AQ355" s="159"/>
      <c r="AR355" s="159"/>
      <c r="AS355" s="159"/>
      <c r="AT355" s="159"/>
      <c r="AU355" s="159"/>
      <c r="AV355" s="159"/>
      <c r="AW355" s="159"/>
      <c r="AX355" s="159"/>
      <c r="AY355" s="159"/>
    </row>
    <row r="356" spans="1:51" s="31" customFormat="1" ht="23.25" x14ac:dyDescent="0.35">
      <c r="A356" s="32"/>
      <c r="B356" s="32"/>
      <c r="C356" s="32"/>
      <c r="D356" s="32"/>
      <c r="E356" s="32"/>
      <c r="F356" s="32"/>
      <c r="G356" s="33"/>
      <c r="H356" s="32"/>
      <c r="I356" s="161"/>
      <c r="J356" s="161"/>
      <c r="K356" s="158"/>
      <c r="L356" s="158"/>
      <c r="M356" s="158"/>
      <c r="N356" s="158"/>
      <c r="O356" s="158"/>
      <c r="P356" s="158"/>
      <c r="Q356" s="34"/>
      <c r="R356" s="158"/>
      <c r="S356" s="161"/>
      <c r="T356" s="158"/>
      <c r="U356" s="158"/>
      <c r="V356" s="158"/>
      <c r="W356" s="158"/>
      <c r="X356" s="158"/>
      <c r="Y356" s="158"/>
      <c r="Z356" s="158"/>
      <c r="AA356" s="158"/>
      <c r="AB356" s="158"/>
      <c r="AC356" s="158"/>
      <c r="AD356" s="158"/>
      <c r="AE356" s="158"/>
      <c r="AF356" s="158"/>
      <c r="AG356" s="158"/>
      <c r="AH356" s="158"/>
      <c r="AI356" s="158"/>
      <c r="AJ356" s="159"/>
      <c r="AK356" s="159"/>
      <c r="AL356" s="159"/>
      <c r="AM356" s="159"/>
      <c r="AN356" s="159"/>
      <c r="AO356" s="159"/>
      <c r="AP356" s="159"/>
      <c r="AQ356" s="159"/>
      <c r="AR356" s="159"/>
      <c r="AS356" s="159"/>
      <c r="AT356" s="159"/>
      <c r="AU356" s="159"/>
      <c r="AV356" s="159"/>
      <c r="AW356" s="159"/>
      <c r="AX356" s="159"/>
      <c r="AY356" s="159"/>
    </row>
    <row r="357" spans="1:51" s="31" customFormat="1" ht="23.25" x14ac:dyDescent="0.35">
      <c r="A357" s="32"/>
      <c r="B357" s="32"/>
      <c r="C357" s="32"/>
      <c r="D357" s="32"/>
      <c r="E357" s="32"/>
      <c r="F357" s="32"/>
      <c r="G357" s="33"/>
      <c r="H357" s="32"/>
      <c r="I357" s="161"/>
      <c r="J357" s="161"/>
      <c r="K357" s="158"/>
      <c r="L357" s="158"/>
      <c r="M357" s="158"/>
      <c r="N357" s="158"/>
      <c r="O357" s="158"/>
      <c r="P357" s="158"/>
      <c r="Q357" s="34"/>
      <c r="R357" s="158"/>
      <c r="S357" s="161"/>
      <c r="T357" s="158"/>
      <c r="U357" s="158"/>
      <c r="V357" s="158"/>
      <c r="W357" s="158"/>
      <c r="X357" s="158"/>
      <c r="Y357" s="158"/>
      <c r="Z357" s="158"/>
      <c r="AA357" s="158"/>
      <c r="AB357" s="158"/>
      <c r="AC357" s="158"/>
      <c r="AD357" s="158"/>
      <c r="AE357" s="158"/>
      <c r="AF357" s="158"/>
      <c r="AG357" s="158"/>
      <c r="AH357" s="158"/>
      <c r="AI357" s="158"/>
      <c r="AJ357" s="159"/>
      <c r="AK357" s="159"/>
      <c r="AL357" s="159"/>
      <c r="AM357" s="159"/>
      <c r="AN357" s="159"/>
      <c r="AO357" s="159"/>
      <c r="AP357" s="159"/>
      <c r="AQ357" s="159"/>
      <c r="AR357" s="159"/>
      <c r="AS357" s="159"/>
      <c r="AT357" s="159"/>
      <c r="AU357" s="159"/>
      <c r="AV357" s="159"/>
      <c r="AW357" s="159"/>
      <c r="AX357" s="159"/>
      <c r="AY357" s="159"/>
    </row>
    <row r="358" spans="1:51" s="31" customFormat="1" ht="23.25" x14ac:dyDescent="0.35">
      <c r="A358" s="32"/>
      <c r="B358" s="32"/>
      <c r="C358" s="32"/>
      <c r="D358" s="32"/>
      <c r="E358" s="32"/>
      <c r="F358" s="32"/>
      <c r="G358" s="33"/>
      <c r="H358" s="32"/>
      <c r="I358" s="161"/>
      <c r="J358" s="161"/>
      <c r="K358" s="158"/>
      <c r="L358" s="158"/>
      <c r="M358" s="158"/>
      <c r="N358" s="158"/>
      <c r="O358" s="158"/>
      <c r="P358" s="158"/>
      <c r="Q358" s="34"/>
      <c r="R358" s="158"/>
      <c r="S358" s="161"/>
      <c r="T358" s="158"/>
      <c r="U358" s="158"/>
      <c r="V358" s="158"/>
      <c r="W358" s="158"/>
      <c r="X358" s="158"/>
      <c r="Y358" s="158"/>
      <c r="Z358" s="158"/>
      <c r="AA358" s="158"/>
      <c r="AB358" s="158"/>
      <c r="AC358" s="158"/>
      <c r="AD358" s="158"/>
      <c r="AE358" s="158"/>
      <c r="AF358" s="158"/>
      <c r="AG358" s="158"/>
      <c r="AH358" s="158"/>
      <c r="AI358" s="158"/>
      <c r="AJ358" s="159"/>
      <c r="AK358" s="159"/>
      <c r="AL358" s="159"/>
      <c r="AM358" s="159"/>
      <c r="AN358" s="159"/>
      <c r="AO358" s="159"/>
      <c r="AP358" s="159"/>
      <c r="AQ358" s="159"/>
      <c r="AR358" s="159"/>
      <c r="AS358" s="159"/>
      <c r="AT358" s="159"/>
      <c r="AU358" s="159"/>
      <c r="AV358" s="159"/>
      <c r="AW358" s="159"/>
      <c r="AX358" s="159"/>
      <c r="AY358" s="159"/>
    </row>
    <row r="359" spans="1:51" s="31" customFormat="1" ht="23.25" x14ac:dyDescent="0.35">
      <c r="A359" s="32"/>
      <c r="B359" s="32"/>
      <c r="C359" s="32"/>
      <c r="D359" s="32"/>
      <c r="E359" s="32"/>
      <c r="F359" s="32"/>
      <c r="G359" s="33"/>
      <c r="H359" s="32"/>
      <c r="I359" s="161"/>
      <c r="J359" s="161"/>
      <c r="K359" s="158"/>
      <c r="L359" s="158"/>
      <c r="M359" s="158"/>
      <c r="N359" s="158"/>
      <c r="O359" s="158"/>
      <c r="P359" s="158"/>
      <c r="Q359" s="34"/>
      <c r="R359" s="158"/>
      <c r="S359" s="161"/>
      <c r="T359" s="158"/>
      <c r="U359" s="158"/>
      <c r="V359" s="158"/>
      <c r="W359" s="158"/>
      <c r="X359" s="158"/>
      <c r="Y359" s="158"/>
      <c r="Z359" s="158"/>
      <c r="AA359" s="158"/>
      <c r="AB359" s="158"/>
      <c r="AC359" s="158"/>
      <c r="AD359" s="158"/>
      <c r="AE359" s="158"/>
      <c r="AF359" s="158"/>
      <c r="AG359" s="158"/>
      <c r="AH359" s="158"/>
      <c r="AI359" s="158"/>
      <c r="AJ359" s="159"/>
      <c r="AK359" s="159"/>
      <c r="AL359" s="159"/>
      <c r="AM359" s="159"/>
      <c r="AN359" s="159"/>
      <c r="AO359" s="159"/>
      <c r="AP359" s="159"/>
      <c r="AQ359" s="159"/>
      <c r="AR359" s="159"/>
      <c r="AS359" s="159"/>
      <c r="AT359" s="159"/>
      <c r="AU359" s="159"/>
      <c r="AV359" s="159"/>
      <c r="AW359" s="159"/>
      <c r="AX359" s="159"/>
      <c r="AY359" s="159"/>
    </row>
    <row r="360" spans="1:51" s="31" customFormat="1" ht="23.25" x14ac:dyDescent="0.35">
      <c r="A360" s="32"/>
      <c r="B360" s="32"/>
      <c r="C360" s="32"/>
      <c r="D360" s="32"/>
      <c r="E360" s="32"/>
      <c r="F360" s="32"/>
      <c r="G360" s="33"/>
      <c r="H360" s="32"/>
      <c r="I360" s="161"/>
      <c r="J360" s="161"/>
      <c r="K360" s="158"/>
      <c r="L360" s="158"/>
      <c r="M360" s="158"/>
      <c r="N360" s="158"/>
      <c r="O360" s="158"/>
      <c r="P360" s="158"/>
      <c r="Q360" s="34"/>
      <c r="R360" s="158"/>
      <c r="S360" s="161"/>
      <c r="T360" s="158"/>
      <c r="U360" s="158"/>
      <c r="V360" s="158"/>
      <c r="W360" s="158"/>
      <c r="X360" s="158"/>
      <c r="Y360" s="158"/>
      <c r="Z360" s="158"/>
      <c r="AA360" s="158"/>
      <c r="AB360" s="158"/>
      <c r="AC360" s="158"/>
      <c r="AD360" s="158"/>
      <c r="AE360" s="158"/>
      <c r="AF360" s="158"/>
      <c r="AG360" s="158"/>
      <c r="AH360" s="158"/>
      <c r="AI360" s="158"/>
      <c r="AJ360" s="159"/>
      <c r="AK360" s="159"/>
      <c r="AL360" s="159"/>
      <c r="AM360" s="159"/>
      <c r="AN360" s="159"/>
      <c r="AO360" s="159"/>
      <c r="AP360" s="159"/>
      <c r="AQ360" s="159"/>
      <c r="AR360" s="159"/>
      <c r="AS360" s="159"/>
      <c r="AT360" s="159"/>
      <c r="AU360" s="159"/>
      <c r="AV360" s="159"/>
      <c r="AW360" s="159"/>
      <c r="AX360" s="159"/>
      <c r="AY360" s="159"/>
    </row>
    <row r="361" spans="1:51" s="31" customFormat="1" ht="23.25" x14ac:dyDescent="0.35">
      <c r="A361" s="32"/>
      <c r="B361" s="32"/>
      <c r="C361" s="32"/>
      <c r="D361" s="32"/>
      <c r="E361" s="32"/>
      <c r="F361" s="32"/>
      <c r="G361" s="33"/>
      <c r="H361" s="32"/>
      <c r="I361" s="161"/>
      <c r="J361" s="161"/>
      <c r="K361" s="158"/>
      <c r="L361" s="158"/>
      <c r="M361" s="158"/>
      <c r="N361" s="158"/>
      <c r="O361" s="158"/>
      <c r="P361" s="158"/>
      <c r="Q361" s="34"/>
      <c r="R361" s="158"/>
      <c r="S361" s="161"/>
      <c r="T361" s="158"/>
      <c r="U361" s="158"/>
      <c r="V361" s="158"/>
      <c r="W361" s="158"/>
      <c r="X361" s="158"/>
      <c r="Y361" s="158"/>
      <c r="Z361" s="158"/>
      <c r="AA361" s="158"/>
      <c r="AB361" s="158"/>
      <c r="AC361" s="158"/>
      <c r="AD361" s="158"/>
      <c r="AE361" s="158"/>
      <c r="AF361" s="158"/>
      <c r="AG361" s="158"/>
      <c r="AH361" s="158"/>
      <c r="AI361" s="158"/>
      <c r="AJ361" s="159"/>
      <c r="AK361" s="159"/>
      <c r="AL361" s="159"/>
      <c r="AM361" s="159"/>
      <c r="AN361" s="159"/>
      <c r="AO361" s="159"/>
      <c r="AP361" s="159"/>
      <c r="AQ361" s="159"/>
      <c r="AR361" s="159"/>
      <c r="AS361" s="159"/>
      <c r="AT361" s="159"/>
      <c r="AU361" s="159"/>
      <c r="AV361" s="159"/>
      <c r="AW361" s="159"/>
      <c r="AX361" s="159"/>
      <c r="AY361" s="159"/>
    </row>
    <row r="362" spans="1:51" s="31" customFormat="1" ht="23.25" x14ac:dyDescent="0.35">
      <c r="A362" s="32"/>
      <c r="B362" s="32"/>
      <c r="C362" s="32"/>
      <c r="D362" s="32"/>
      <c r="E362" s="32"/>
      <c r="F362" s="32"/>
      <c r="G362" s="33"/>
      <c r="H362" s="32"/>
      <c r="I362" s="161"/>
      <c r="J362" s="161"/>
      <c r="K362" s="158"/>
      <c r="L362" s="158"/>
      <c r="M362" s="158"/>
      <c r="N362" s="158"/>
      <c r="O362" s="158"/>
      <c r="P362" s="158"/>
      <c r="Q362" s="34"/>
      <c r="R362" s="158"/>
      <c r="S362" s="161"/>
      <c r="T362" s="158"/>
      <c r="U362" s="158"/>
      <c r="V362" s="158"/>
      <c r="W362" s="158"/>
      <c r="X362" s="158"/>
      <c r="Y362" s="158"/>
      <c r="Z362" s="158"/>
      <c r="AA362" s="158"/>
      <c r="AB362" s="158"/>
      <c r="AC362" s="158"/>
      <c r="AD362" s="158"/>
      <c r="AE362" s="158"/>
      <c r="AF362" s="158"/>
      <c r="AG362" s="158"/>
      <c r="AH362" s="158"/>
      <c r="AI362" s="158"/>
      <c r="AJ362" s="159"/>
      <c r="AK362" s="159"/>
      <c r="AL362" s="159"/>
      <c r="AM362" s="159"/>
      <c r="AN362" s="159"/>
      <c r="AO362" s="159"/>
      <c r="AP362" s="159"/>
      <c r="AQ362" s="159"/>
      <c r="AR362" s="159"/>
      <c r="AS362" s="159"/>
      <c r="AT362" s="159"/>
      <c r="AU362" s="159"/>
      <c r="AV362" s="159"/>
      <c r="AW362" s="159"/>
      <c r="AX362" s="159"/>
      <c r="AY362" s="159"/>
    </row>
    <row r="363" spans="1:51" s="31" customFormat="1" ht="23.25" x14ac:dyDescent="0.35">
      <c r="A363" s="32"/>
      <c r="B363" s="32"/>
      <c r="C363" s="32"/>
      <c r="D363" s="32"/>
      <c r="E363" s="32"/>
      <c r="F363" s="32"/>
      <c r="G363" s="33"/>
      <c r="H363" s="32"/>
      <c r="I363" s="161"/>
      <c r="J363" s="161"/>
      <c r="K363" s="158"/>
      <c r="L363" s="158"/>
      <c r="M363" s="158"/>
      <c r="N363" s="158"/>
      <c r="O363" s="158"/>
      <c r="P363" s="158"/>
      <c r="Q363" s="34"/>
      <c r="R363" s="158"/>
      <c r="S363" s="161"/>
      <c r="T363" s="158"/>
      <c r="U363" s="158"/>
      <c r="V363" s="158"/>
      <c r="W363" s="158"/>
      <c r="X363" s="158"/>
      <c r="Y363" s="158"/>
      <c r="Z363" s="158"/>
      <c r="AA363" s="158"/>
      <c r="AB363" s="158"/>
      <c r="AC363" s="158"/>
      <c r="AD363" s="158"/>
      <c r="AE363" s="158"/>
      <c r="AF363" s="158"/>
      <c r="AG363" s="158"/>
      <c r="AH363" s="158"/>
      <c r="AI363" s="158"/>
      <c r="AJ363" s="159"/>
      <c r="AK363" s="159"/>
      <c r="AL363" s="159"/>
      <c r="AM363" s="159"/>
      <c r="AN363" s="159"/>
      <c r="AO363" s="159"/>
      <c r="AP363" s="159"/>
      <c r="AQ363" s="159"/>
      <c r="AR363" s="159"/>
      <c r="AS363" s="159"/>
      <c r="AT363" s="159"/>
      <c r="AU363" s="159"/>
      <c r="AV363" s="159"/>
      <c r="AW363" s="159"/>
      <c r="AX363" s="159"/>
      <c r="AY363" s="159"/>
    </row>
    <row r="364" spans="1:51" s="31" customFormat="1" ht="23.25" x14ac:dyDescent="0.35">
      <c r="A364" s="32"/>
      <c r="B364" s="32"/>
      <c r="C364" s="32"/>
      <c r="D364" s="32"/>
      <c r="E364" s="32"/>
      <c r="F364" s="32"/>
      <c r="G364" s="33"/>
      <c r="H364" s="32"/>
      <c r="I364" s="161"/>
      <c r="J364" s="161"/>
      <c r="K364" s="158"/>
      <c r="L364" s="158"/>
      <c r="M364" s="158"/>
      <c r="N364" s="158"/>
      <c r="O364" s="158"/>
      <c r="P364" s="158"/>
      <c r="Q364" s="34"/>
      <c r="R364" s="158"/>
      <c r="S364" s="161"/>
      <c r="T364" s="158"/>
      <c r="U364" s="158"/>
      <c r="V364" s="158"/>
      <c r="W364" s="158"/>
      <c r="X364" s="158"/>
      <c r="Y364" s="158"/>
      <c r="Z364" s="158"/>
      <c r="AA364" s="158"/>
      <c r="AB364" s="158"/>
      <c r="AC364" s="158"/>
      <c r="AD364" s="158"/>
      <c r="AE364" s="158"/>
      <c r="AF364" s="158"/>
      <c r="AG364" s="158"/>
      <c r="AH364" s="158"/>
      <c r="AI364" s="158"/>
      <c r="AJ364" s="159"/>
      <c r="AK364" s="159"/>
      <c r="AL364" s="159"/>
      <c r="AM364" s="159"/>
      <c r="AN364" s="159"/>
      <c r="AO364" s="159"/>
      <c r="AP364" s="159"/>
      <c r="AQ364" s="159"/>
      <c r="AR364" s="159"/>
      <c r="AS364" s="159"/>
      <c r="AT364" s="159"/>
      <c r="AU364" s="159"/>
      <c r="AV364" s="159"/>
      <c r="AW364" s="159"/>
      <c r="AX364" s="159"/>
      <c r="AY364" s="159"/>
    </row>
    <row r="365" spans="1:51" s="31" customFormat="1" ht="23.25" x14ac:dyDescent="0.35">
      <c r="A365" s="32"/>
      <c r="B365" s="32"/>
      <c r="C365" s="32"/>
      <c r="D365" s="32"/>
      <c r="E365" s="32"/>
      <c r="F365" s="32"/>
      <c r="G365" s="33"/>
      <c r="H365" s="32"/>
      <c r="I365" s="161"/>
      <c r="J365" s="161"/>
      <c r="K365" s="158"/>
      <c r="L365" s="158"/>
      <c r="M365" s="158"/>
      <c r="N365" s="158"/>
      <c r="O365" s="158"/>
      <c r="P365" s="158"/>
      <c r="Q365" s="34"/>
      <c r="R365" s="158"/>
      <c r="S365" s="161"/>
      <c r="T365" s="158"/>
      <c r="U365" s="158"/>
      <c r="V365" s="158"/>
      <c r="W365" s="158"/>
      <c r="X365" s="158"/>
      <c r="Y365" s="158"/>
      <c r="Z365" s="158"/>
      <c r="AA365" s="158"/>
      <c r="AB365" s="158"/>
      <c r="AC365" s="158"/>
      <c r="AD365" s="158"/>
      <c r="AE365" s="158"/>
      <c r="AF365" s="158"/>
      <c r="AG365" s="158"/>
      <c r="AH365" s="158"/>
      <c r="AI365" s="158"/>
      <c r="AJ365" s="159"/>
      <c r="AK365" s="159"/>
      <c r="AL365" s="159"/>
      <c r="AM365" s="159"/>
      <c r="AN365" s="159"/>
      <c r="AO365" s="159"/>
      <c r="AP365" s="159"/>
      <c r="AQ365" s="159"/>
      <c r="AR365" s="159"/>
      <c r="AS365" s="159"/>
      <c r="AT365" s="159"/>
      <c r="AU365" s="159"/>
      <c r="AV365" s="159"/>
      <c r="AW365" s="159"/>
      <c r="AX365" s="159"/>
      <c r="AY365" s="159"/>
    </row>
    <row r="366" spans="1:51" s="31" customFormat="1" ht="23.25" x14ac:dyDescent="0.35">
      <c r="A366" s="32"/>
      <c r="B366" s="32"/>
      <c r="C366" s="32"/>
      <c r="D366" s="32"/>
      <c r="E366" s="32"/>
      <c r="F366" s="32"/>
      <c r="G366" s="33"/>
      <c r="H366" s="32"/>
      <c r="I366" s="161"/>
      <c r="J366" s="161"/>
      <c r="K366" s="158"/>
      <c r="L366" s="158"/>
      <c r="M366" s="158"/>
      <c r="N366" s="158"/>
      <c r="O366" s="158"/>
      <c r="P366" s="158"/>
      <c r="Q366" s="34"/>
      <c r="R366" s="158"/>
      <c r="S366" s="161"/>
      <c r="T366" s="158"/>
      <c r="U366" s="158"/>
      <c r="V366" s="158"/>
      <c r="W366" s="158"/>
      <c r="X366" s="158"/>
      <c r="Y366" s="158"/>
      <c r="Z366" s="158"/>
      <c r="AA366" s="158"/>
      <c r="AB366" s="158"/>
      <c r="AC366" s="158"/>
      <c r="AD366" s="158"/>
      <c r="AE366" s="158"/>
      <c r="AF366" s="158"/>
      <c r="AG366" s="158"/>
      <c r="AH366" s="158"/>
      <c r="AI366" s="158"/>
      <c r="AJ366" s="159"/>
      <c r="AK366" s="159"/>
      <c r="AL366" s="159"/>
      <c r="AM366" s="159"/>
      <c r="AN366" s="159"/>
      <c r="AO366" s="159"/>
      <c r="AP366" s="159"/>
      <c r="AQ366" s="159"/>
      <c r="AR366" s="159"/>
      <c r="AS366" s="159"/>
      <c r="AT366" s="159"/>
      <c r="AU366" s="159"/>
      <c r="AV366" s="159"/>
      <c r="AW366" s="159"/>
      <c r="AX366" s="159"/>
      <c r="AY366" s="159"/>
    </row>
    <row r="367" spans="1:51" s="31" customFormat="1" ht="23.25" x14ac:dyDescent="0.35">
      <c r="A367" s="32"/>
      <c r="B367" s="32"/>
      <c r="C367" s="32"/>
      <c r="D367" s="32"/>
      <c r="E367" s="32"/>
      <c r="F367" s="32"/>
      <c r="G367" s="33"/>
      <c r="H367" s="32"/>
      <c r="I367" s="161"/>
      <c r="J367" s="161"/>
      <c r="K367" s="158"/>
      <c r="L367" s="158"/>
      <c r="M367" s="158"/>
      <c r="N367" s="158"/>
      <c r="O367" s="158"/>
      <c r="P367" s="158"/>
      <c r="Q367" s="34"/>
      <c r="R367" s="158"/>
      <c r="S367" s="161"/>
      <c r="T367" s="158"/>
      <c r="U367" s="158"/>
      <c r="V367" s="158"/>
      <c r="W367" s="158"/>
      <c r="X367" s="158"/>
      <c r="Y367" s="158"/>
      <c r="Z367" s="158"/>
      <c r="AA367" s="158"/>
      <c r="AB367" s="158"/>
      <c r="AC367" s="158"/>
      <c r="AD367" s="158"/>
      <c r="AE367" s="158"/>
      <c r="AF367" s="158"/>
      <c r="AG367" s="158"/>
      <c r="AH367" s="158"/>
      <c r="AI367" s="158"/>
      <c r="AJ367" s="159"/>
      <c r="AK367" s="159"/>
      <c r="AL367" s="159"/>
      <c r="AM367" s="159"/>
      <c r="AN367" s="159"/>
      <c r="AO367" s="159"/>
      <c r="AP367" s="159"/>
      <c r="AQ367" s="159"/>
      <c r="AR367" s="159"/>
      <c r="AS367" s="159"/>
      <c r="AT367" s="159"/>
      <c r="AU367" s="159"/>
      <c r="AV367" s="159"/>
      <c r="AW367" s="159"/>
      <c r="AX367" s="159"/>
      <c r="AY367" s="159"/>
    </row>
    <row r="368" spans="1:51" s="31" customFormat="1" ht="23.25" x14ac:dyDescent="0.35">
      <c r="A368" s="32"/>
      <c r="B368" s="32"/>
      <c r="C368" s="32"/>
      <c r="D368" s="32"/>
      <c r="E368" s="32"/>
      <c r="F368" s="32"/>
      <c r="G368" s="33"/>
      <c r="H368" s="32"/>
      <c r="I368" s="161"/>
      <c r="J368" s="161"/>
      <c r="K368" s="158"/>
      <c r="L368" s="158"/>
      <c r="M368" s="158"/>
      <c r="N368" s="158"/>
      <c r="O368" s="158"/>
      <c r="P368" s="158"/>
      <c r="Q368" s="34"/>
      <c r="R368" s="158"/>
      <c r="S368" s="161"/>
      <c r="T368" s="158"/>
      <c r="U368" s="158"/>
      <c r="V368" s="158"/>
      <c r="W368" s="158"/>
      <c r="X368" s="158"/>
      <c r="Y368" s="158"/>
      <c r="Z368" s="158"/>
      <c r="AA368" s="158"/>
      <c r="AB368" s="158"/>
      <c r="AC368" s="158"/>
      <c r="AD368" s="158"/>
      <c r="AE368" s="158"/>
      <c r="AF368" s="158"/>
      <c r="AG368" s="158"/>
      <c r="AH368" s="158"/>
      <c r="AI368" s="158"/>
      <c r="AJ368" s="159"/>
      <c r="AK368" s="159"/>
      <c r="AL368" s="159"/>
      <c r="AM368" s="159"/>
      <c r="AN368" s="159"/>
      <c r="AO368" s="159"/>
      <c r="AP368" s="159"/>
      <c r="AQ368" s="159"/>
      <c r="AR368" s="159"/>
      <c r="AS368" s="159"/>
      <c r="AT368" s="159"/>
      <c r="AU368" s="159"/>
      <c r="AV368" s="159"/>
      <c r="AW368" s="159"/>
      <c r="AX368" s="159"/>
      <c r="AY368" s="159"/>
    </row>
    <row r="369" spans="1:51" s="31" customFormat="1" ht="23.25" x14ac:dyDescent="0.35">
      <c r="A369" s="32"/>
      <c r="B369" s="32"/>
      <c r="C369" s="32"/>
      <c r="D369" s="32"/>
      <c r="E369" s="32"/>
      <c r="F369" s="32"/>
      <c r="G369" s="33"/>
      <c r="H369" s="32"/>
      <c r="I369" s="161"/>
      <c r="J369" s="161"/>
      <c r="K369" s="158"/>
      <c r="L369" s="158"/>
      <c r="M369" s="158"/>
      <c r="N369" s="158"/>
      <c r="O369" s="158"/>
      <c r="P369" s="158"/>
      <c r="Q369" s="34"/>
      <c r="R369" s="158"/>
      <c r="S369" s="161"/>
      <c r="T369" s="158"/>
      <c r="U369" s="158"/>
      <c r="V369" s="158"/>
      <c r="W369" s="158"/>
      <c r="X369" s="158"/>
      <c r="Y369" s="158"/>
      <c r="Z369" s="158"/>
      <c r="AA369" s="158"/>
      <c r="AB369" s="158"/>
      <c r="AC369" s="158"/>
      <c r="AD369" s="158"/>
      <c r="AE369" s="158"/>
      <c r="AF369" s="158"/>
      <c r="AG369" s="158"/>
      <c r="AH369" s="158"/>
      <c r="AI369" s="158"/>
      <c r="AJ369" s="159"/>
      <c r="AK369" s="159"/>
      <c r="AL369" s="159"/>
      <c r="AM369" s="159"/>
      <c r="AN369" s="159"/>
      <c r="AO369" s="159"/>
      <c r="AP369" s="159"/>
      <c r="AQ369" s="159"/>
      <c r="AR369" s="159"/>
      <c r="AS369" s="159"/>
      <c r="AT369" s="159"/>
      <c r="AU369" s="159"/>
      <c r="AV369" s="159"/>
      <c r="AW369" s="159"/>
      <c r="AX369" s="159"/>
      <c r="AY369" s="159"/>
    </row>
    <row r="370" spans="1:51" s="31" customFormat="1" ht="23.25" x14ac:dyDescent="0.35">
      <c r="A370" s="32"/>
      <c r="B370" s="32"/>
      <c r="C370" s="32"/>
      <c r="D370" s="32"/>
      <c r="E370" s="32"/>
      <c r="F370" s="32"/>
      <c r="G370" s="33"/>
      <c r="H370" s="32"/>
      <c r="I370" s="161"/>
      <c r="J370" s="161"/>
      <c r="K370" s="158"/>
      <c r="L370" s="158"/>
      <c r="M370" s="158"/>
      <c r="N370" s="158"/>
      <c r="O370" s="158"/>
      <c r="P370" s="158"/>
      <c r="Q370" s="34"/>
      <c r="R370" s="158"/>
      <c r="S370" s="161"/>
      <c r="T370" s="158"/>
      <c r="U370" s="158"/>
      <c r="V370" s="158"/>
      <c r="W370" s="158"/>
      <c r="X370" s="158"/>
      <c r="Y370" s="158"/>
      <c r="Z370" s="158"/>
      <c r="AA370" s="158"/>
      <c r="AB370" s="158"/>
      <c r="AC370" s="158"/>
      <c r="AD370" s="158"/>
      <c r="AE370" s="158"/>
      <c r="AF370" s="158"/>
      <c r="AG370" s="158"/>
      <c r="AH370" s="158"/>
      <c r="AI370" s="158"/>
      <c r="AJ370" s="159"/>
      <c r="AK370" s="159"/>
      <c r="AL370" s="159"/>
      <c r="AM370" s="159"/>
      <c r="AN370" s="159"/>
      <c r="AO370" s="159"/>
      <c r="AP370" s="159"/>
      <c r="AQ370" s="159"/>
      <c r="AR370" s="159"/>
      <c r="AS370" s="159"/>
      <c r="AT370" s="159"/>
      <c r="AU370" s="159"/>
      <c r="AV370" s="159"/>
      <c r="AW370" s="159"/>
      <c r="AX370" s="159"/>
      <c r="AY370" s="159"/>
    </row>
    <row r="371" spans="1:51" s="31" customFormat="1" ht="23.25" x14ac:dyDescent="0.35">
      <c r="A371" s="32"/>
      <c r="B371" s="32"/>
      <c r="C371" s="32"/>
      <c r="D371" s="32"/>
      <c r="E371" s="32"/>
      <c r="F371" s="32"/>
      <c r="G371" s="33"/>
      <c r="H371" s="32"/>
      <c r="I371" s="161"/>
      <c r="J371" s="161"/>
      <c r="K371" s="158"/>
      <c r="L371" s="158"/>
      <c r="M371" s="158"/>
      <c r="N371" s="158"/>
      <c r="O371" s="158"/>
      <c r="P371" s="158"/>
      <c r="Q371" s="34"/>
      <c r="R371" s="158"/>
      <c r="S371" s="161"/>
      <c r="T371" s="158"/>
      <c r="U371" s="158"/>
      <c r="V371" s="158"/>
      <c r="W371" s="158"/>
      <c r="X371" s="158"/>
      <c r="Y371" s="158"/>
      <c r="Z371" s="158"/>
      <c r="AA371" s="158"/>
      <c r="AB371" s="158"/>
      <c r="AC371" s="158"/>
      <c r="AD371" s="158"/>
      <c r="AE371" s="158"/>
      <c r="AF371" s="158"/>
      <c r="AG371" s="158"/>
      <c r="AH371" s="158"/>
      <c r="AI371" s="158"/>
      <c r="AJ371" s="159"/>
      <c r="AK371" s="159"/>
      <c r="AL371" s="159"/>
      <c r="AM371" s="159"/>
      <c r="AN371" s="159"/>
      <c r="AO371" s="159"/>
      <c r="AP371" s="159"/>
      <c r="AQ371" s="159"/>
      <c r="AR371" s="159"/>
      <c r="AS371" s="159"/>
      <c r="AT371" s="159"/>
      <c r="AU371" s="159"/>
      <c r="AV371" s="159"/>
      <c r="AW371" s="159"/>
      <c r="AX371" s="159"/>
      <c r="AY371" s="159"/>
    </row>
    <row r="372" spans="1:51" s="31" customFormat="1" ht="23.25" x14ac:dyDescent="0.35">
      <c r="A372" s="32"/>
      <c r="B372" s="32"/>
      <c r="C372" s="32"/>
      <c r="D372" s="32"/>
      <c r="E372" s="32"/>
      <c r="F372" s="32"/>
      <c r="G372" s="33"/>
      <c r="H372" s="32"/>
      <c r="I372" s="161"/>
      <c r="J372" s="161"/>
      <c r="K372" s="158"/>
      <c r="L372" s="158"/>
      <c r="M372" s="158"/>
      <c r="N372" s="158"/>
      <c r="O372" s="158"/>
      <c r="P372" s="158"/>
      <c r="Q372" s="34"/>
      <c r="R372" s="158"/>
      <c r="S372" s="161"/>
      <c r="T372" s="158"/>
      <c r="U372" s="158"/>
      <c r="V372" s="158"/>
      <c r="W372" s="158"/>
      <c r="X372" s="158"/>
      <c r="Y372" s="158"/>
      <c r="Z372" s="158"/>
      <c r="AA372" s="158"/>
      <c r="AB372" s="158"/>
      <c r="AC372" s="158"/>
      <c r="AD372" s="158"/>
      <c r="AE372" s="158"/>
      <c r="AF372" s="158"/>
      <c r="AG372" s="158"/>
      <c r="AH372" s="158"/>
      <c r="AI372" s="158"/>
      <c r="AJ372" s="159"/>
      <c r="AK372" s="159"/>
      <c r="AL372" s="159"/>
      <c r="AM372" s="159"/>
      <c r="AN372" s="159"/>
      <c r="AO372" s="159"/>
      <c r="AP372" s="159"/>
      <c r="AQ372" s="159"/>
      <c r="AR372" s="159"/>
      <c r="AS372" s="159"/>
      <c r="AT372" s="159"/>
      <c r="AU372" s="159"/>
      <c r="AV372" s="159"/>
      <c r="AW372" s="159"/>
      <c r="AX372" s="159"/>
      <c r="AY372" s="159"/>
    </row>
    <row r="373" spans="1:51" s="31" customFormat="1" ht="23.25" x14ac:dyDescent="0.35">
      <c r="A373" s="32"/>
      <c r="B373" s="32"/>
      <c r="C373" s="32"/>
      <c r="D373" s="32"/>
      <c r="E373" s="32"/>
      <c r="F373" s="32"/>
      <c r="G373" s="33"/>
      <c r="H373" s="32"/>
      <c r="I373" s="161"/>
      <c r="J373" s="161"/>
      <c r="K373" s="158"/>
      <c r="L373" s="158"/>
      <c r="M373" s="158"/>
      <c r="N373" s="158"/>
      <c r="O373" s="158"/>
      <c r="P373" s="158"/>
      <c r="Q373" s="34"/>
      <c r="R373" s="158"/>
      <c r="S373" s="161"/>
      <c r="T373" s="158"/>
      <c r="U373" s="158"/>
      <c r="V373" s="158"/>
      <c r="W373" s="158"/>
      <c r="X373" s="158"/>
      <c r="Y373" s="158"/>
      <c r="Z373" s="158"/>
      <c r="AA373" s="158"/>
      <c r="AB373" s="158"/>
      <c r="AC373" s="158"/>
      <c r="AD373" s="158"/>
      <c r="AE373" s="158"/>
      <c r="AF373" s="158"/>
      <c r="AG373" s="158"/>
      <c r="AH373" s="158"/>
      <c r="AI373" s="158"/>
      <c r="AJ373" s="159"/>
      <c r="AK373" s="159"/>
      <c r="AL373" s="159"/>
      <c r="AM373" s="159"/>
      <c r="AN373" s="159"/>
      <c r="AO373" s="159"/>
      <c r="AP373" s="159"/>
      <c r="AQ373" s="159"/>
      <c r="AR373" s="159"/>
      <c r="AS373" s="159"/>
      <c r="AT373" s="159"/>
      <c r="AU373" s="159"/>
      <c r="AV373" s="159"/>
      <c r="AW373" s="159"/>
      <c r="AX373" s="159"/>
      <c r="AY373" s="159"/>
    </row>
    <row r="374" spans="1:51" s="31" customFormat="1" ht="23.25" x14ac:dyDescent="0.35">
      <c r="A374" s="32"/>
      <c r="B374" s="32"/>
      <c r="C374" s="32"/>
      <c r="D374" s="32"/>
      <c r="E374" s="32"/>
      <c r="F374" s="32"/>
      <c r="G374" s="33"/>
      <c r="H374" s="32"/>
      <c r="I374" s="161"/>
      <c r="J374" s="161"/>
      <c r="K374" s="158"/>
      <c r="L374" s="158"/>
      <c r="M374" s="158"/>
      <c r="N374" s="158"/>
      <c r="O374" s="158"/>
      <c r="P374" s="158"/>
      <c r="Q374" s="34"/>
      <c r="R374" s="158"/>
      <c r="S374" s="161"/>
      <c r="T374" s="158"/>
      <c r="U374" s="158"/>
      <c r="V374" s="158"/>
      <c r="W374" s="158"/>
      <c r="X374" s="158"/>
      <c r="Y374" s="158"/>
      <c r="Z374" s="158"/>
      <c r="AA374" s="158"/>
      <c r="AB374" s="158"/>
      <c r="AC374" s="158"/>
      <c r="AD374" s="158"/>
      <c r="AE374" s="158"/>
      <c r="AF374" s="158"/>
      <c r="AG374" s="158"/>
      <c r="AH374" s="158"/>
      <c r="AI374" s="158"/>
      <c r="AJ374" s="159"/>
      <c r="AK374" s="159"/>
      <c r="AL374" s="159"/>
      <c r="AM374" s="159"/>
      <c r="AN374" s="159"/>
      <c r="AO374" s="159"/>
      <c r="AP374" s="159"/>
      <c r="AQ374" s="159"/>
      <c r="AR374" s="159"/>
      <c r="AS374" s="159"/>
      <c r="AT374" s="159"/>
      <c r="AU374" s="159"/>
      <c r="AV374" s="159"/>
      <c r="AW374" s="159"/>
      <c r="AX374" s="159"/>
      <c r="AY374" s="159"/>
    </row>
    <row r="375" spans="1:51" s="31" customFormat="1" ht="23.25" x14ac:dyDescent="0.35">
      <c r="A375" s="32"/>
      <c r="B375" s="32"/>
      <c r="C375" s="32"/>
      <c r="D375" s="32"/>
      <c r="E375" s="32"/>
      <c r="F375" s="32"/>
      <c r="G375" s="33"/>
      <c r="H375" s="32"/>
      <c r="I375" s="161"/>
      <c r="J375" s="161"/>
      <c r="K375" s="158"/>
      <c r="L375" s="158"/>
      <c r="M375" s="158"/>
      <c r="N375" s="158"/>
      <c r="O375" s="158"/>
      <c r="P375" s="158"/>
      <c r="Q375" s="34"/>
      <c r="R375" s="158"/>
      <c r="S375" s="161"/>
      <c r="T375" s="158"/>
      <c r="U375" s="158"/>
      <c r="V375" s="158"/>
      <c r="W375" s="158"/>
      <c r="X375" s="158"/>
      <c r="Y375" s="158"/>
      <c r="Z375" s="158"/>
      <c r="AA375" s="158"/>
      <c r="AB375" s="158"/>
      <c r="AC375" s="158"/>
      <c r="AD375" s="158"/>
      <c r="AE375" s="158"/>
      <c r="AF375" s="158"/>
      <c r="AG375" s="158"/>
      <c r="AH375" s="158"/>
      <c r="AI375" s="158"/>
      <c r="AJ375" s="159"/>
      <c r="AK375" s="159"/>
      <c r="AL375" s="159"/>
      <c r="AM375" s="159"/>
      <c r="AN375" s="159"/>
      <c r="AO375" s="159"/>
      <c r="AP375" s="159"/>
      <c r="AQ375" s="159"/>
      <c r="AR375" s="159"/>
      <c r="AS375" s="159"/>
      <c r="AT375" s="159"/>
      <c r="AU375" s="159"/>
      <c r="AV375" s="159"/>
      <c r="AW375" s="159"/>
      <c r="AX375" s="159"/>
      <c r="AY375" s="159"/>
    </row>
    <row r="376" spans="1:51" s="31" customFormat="1" ht="23.25" x14ac:dyDescent="0.35">
      <c r="A376" s="32"/>
      <c r="B376" s="32"/>
      <c r="C376" s="32"/>
      <c r="D376" s="32"/>
      <c r="E376" s="32"/>
      <c r="F376" s="32"/>
      <c r="G376" s="33"/>
      <c r="H376" s="32"/>
      <c r="I376" s="161"/>
      <c r="J376" s="161"/>
      <c r="K376" s="158"/>
      <c r="L376" s="158"/>
      <c r="M376" s="158"/>
      <c r="N376" s="158"/>
      <c r="O376" s="158"/>
      <c r="P376" s="158"/>
      <c r="Q376" s="34"/>
      <c r="R376" s="158"/>
      <c r="S376" s="161"/>
      <c r="T376" s="158"/>
      <c r="U376" s="158"/>
      <c r="V376" s="158"/>
      <c r="W376" s="158"/>
      <c r="X376" s="158"/>
      <c r="Y376" s="158"/>
      <c r="Z376" s="158"/>
      <c r="AA376" s="158"/>
      <c r="AB376" s="158"/>
      <c r="AC376" s="158"/>
      <c r="AD376" s="158"/>
      <c r="AE376" s="158"/>
      <c r="AF376" s="158"/>
      <c r="AG376" s="158"/>
      <c r="AH376" s="158"/>
      <c r="AI376" s="158"/>
      <c r="AJ376" s="159"/>
      <c r="AK376" s="159"/>
      <c r="AL376" s="159"/>
      <c r="AM376" s="159"/>
      <c r="AN376" s="159"/>
      <c r="AO376" s="159"/>
      <c r="AP376" s="159"/>
      <c r="AQ376" s="159"/>
      <c r="AR376" s="159"/>
      <c r="AS376" s="159"/>
      <c r="AT376" s="159"/>
      <c r="AU376" s="159"/>
      <c r="AV376" s="159"/>
      <c r="AW376" s="159"/>
      <c r="AX376" s="159"/>
      <c r="AY376" s="159"/>
    </row>
    <row r="377" spans="1:51" s="31" customFormat="1" ht="23.25" x14ac:dyDescent="0.35">
      <c r="A377" s="32"/>
      <c r="B377" s="32"/>
      <c r="C377" s="32"/>
      <c r="D377" s="32"/>
      <c r="E377" s="32"/>
      <c r="F377" s="32"/>
      <c r="G377" s="33"/>
      <c r="H377" s="32"/>
      <c r="I377" s="161"/>
      <c r="J377" s="161"/>
      <c r="K377" s="158"/>
      <c r="L377" s="158"/>
      <c r="M377" s="158"/>
      <c r="N377" s="158"/>
      <c r="O377" s="158"/>
      <c r="P377" s="158"/>
      <c r="Q377" s="34"/>
      <c r="R377" s="158"/>
      <c r="S377" s="161"/>
      <c r="T377" s="158"/>
      <c r="U377" s="158"/>
      <c r="V377" s="158"/>
      <c r="W377" s="158"/>
      <c r="X377" s="158"/>
      <c r="Y377" s="158"/>
      <c r="Z377" s="158"/>
      <c r="AA377" s="158"/>
      <c r="AB377" s="158"/>
      <c r="AC377" s="158"/>
      <c r="AD377" s="158"/>
      <c r="AE377" s="158"/>
      <c r="AF377" s="158"/>
      <c r="AG377" s="158"/>
      <c r="AH377" s="158"/>
      <c r="AI377" s="158"/>
      <c r="AJ377" s="159"/>
      <c r="AK377" s="159"/>
      <c r="AL377" s="159"/>
      <c r="AM377" s="159"/>
      <c r="AN377" s="159"/>
      <c r="AO377" s="159"/>
      <c r="AP377" s="159"/>
      <c r="AQ377" s="159"/>
      <c r="AR377" s="159"/>
      <c r="AS377" s="159"/>
      <c r="AT377" s="159"/>
      <c r="AU377" s="159"/>
      <c r="AV377" s="159"/>
      <c r="AW377" s="159"/>
      <c r="AX377" s="159"/>
      <c r="AY377" s="159"/>
    </row>
    <row r="378" spans="1:51" s="31" customFormat="1" ht="23.25" x14ac:dyDescent="0.35">
      <c r="A378" s="32"/>
      <c r="B378" s="32"/>
      <c r="C378" s="32"/>
      <c r="D378" s="32"/>
      <c r="E378" s="32"/>
      <c r="F378" s="32"/>
      <c r="G378" s="33"/>
      <c r="H378" s="32"/>
      <c r="I378" s="161"/>
      <c r="J378" s="161"/>
      <c r="K378" s="158"/>
      <c r="L378" s="158"/>
      <c r="M378" s="158"/>
      <c r="N378" s="158"/>
      <c r="O378" s="158"/>
      <c r="P378" s="158"/>
      <c r="Q378" s="34"/>
      <c r="R378" s="158"/>
      <c r="S378" s="161"/>
      <c r="T378" s="158"/>
      <c r="U378" s="158"/>
      <c r="V378" s="158"/>
      <c r="W378" s="158"/>
      <c r="X378" s="158"/>
      <c r="Y378" s="158"/>
      <c r="Z378" s="158"/>
      <c r="AA378" s="158"/>
      <c r="AB378" s="158"/>
      <c r="AC378" s="158"/>
      <c r="AD378" s="158"/>
      <c r="AE378" s="158"/>
      <c r="AF378" s="158"/>
      <c r="AG378" s="158"/>
      <c r="AH378" s="158"/>
      <c r="AI378" s="158"/>
      <c r="AJ378" s="159"/>
      <c r="AK378" s="159"/>
      <c r="AL378" s="159"/>
      <c r="AM378" s="159"/>
      <c r="AN378" s="159"/>
      <c r="AO378" s="159"/>
      <c r="AP378" s="159"/>
      <c r="AQ378" s="159"/>
      <c r="AR378" s="159"/>
      <c r="AS378" s="159"/>
      <c r="AT378" s="159"/>
      <c r="AU378" s="159"/>
      <c r="AV378" s="159"/>
      <c r="AW378" s="159"/>
      <c r="AX378" s="159"/>
      <c r="AY378" s="159"/>
    </row>
    <row r="379" spans="1:51" s="31" customFormat="1" ht="23.25" x14ac:dyDescent="0.35">
      <c r="A379" s="32"/>
      <c r="B379" s="32"/>
      <c r="C379" s="32"/>
      <c r="D379" s="32"/>
      <c r="E379" s="32"/>
      <c r="F379" s="32"/>
      <c r="G379" s="33"/>
      <c r="H379" s="32"/>
      <c r="I379" s="161"/>
      <c r="J379" s="161"/>
      <c r="K379" s="158"/>
      <c r="L379" s="158"/>
      <c r="M379" s="158"/>
      <c r="N379" s="158"/>
      <c r="O379" s="158"/>
      <c r="P379" s="158"/>
      <c r="Q379" s="34"/>
      <c r="R379" s="158"/>
      <c r="S379" s="161"/>
      <c r="T379" s="158"/>
      <c r="U379" s="158"/>
      <c r="V379" s="158"/>
      <c r="W379" s="158"/>
      <c r="X379" s="158"/>
      <c r="Y379" s="158"/>
      <c r="Z379" s="158"/>
      <c r="AA379" s="158"/>
      <c r="AB379" s="158"/>
      <c r="AC379" s="158"/>
      <c r="AD379" s="158"/>
      <c r="AE379" s="158"/>
      <c r="AF379" s="158"/>
      <c r="AG379" s="158"/>
      <c r="AH379" s="158"/>
      <c r="AI379" s="158"/>
      <c r="AJ379" s="159"/>
      <c r="AK379" s="159"/>
      <c r="AL379" s="159"/>
      <c r="AM379" s="159"/>
      <c r="AN379" s="159"/>
      <c r="AO379" s="159"/>
      <c r="AP379" s="159"/>
      <c r="AQ379" s="159"/>
      <c r="AR379" s="159"/>
      <c r="AS379" s="159"/>
      <c r="AT379" s="159"/>
      <c r="AU379" s="159"/>
      <c r="AV379" s="159"/>
      <c r="AW379" s="159"/>
      <c r="AX379" s="159"/>
      <c r="AY379" s="159"/>
    </row>
    <row r="380" spans="1:51" s="31" customFormat="1" ht="23.25" x14ac:dyDescent="0.35">
      <c r="A380" s="32"/>
      <c r="B380" s="32"/>
      <c r="C380" s="32"/>
      <c r="D380" s="32"/>
      <c r="E380" s="32"/>
      <c r="F380" s="32"/>
      <c r="G380" s="33"/>
      <c r="H380" s="32"/>
      <c r="I380" s="161"/>
      <c r="J380" s="161"/>
      <c r="K380" s="158"/>
      <c r="L380" s="158"/>
      <c r="M380" s="158"/>
      <c r="N380" s="158"/>
      <c r="O380" s="158"/>
      <c r="P380" s="158"/>
      <c r="Q380" s="34"/>
      <c r="R380" s="158"/>
      <c r="S380" s="161"/>
      <c r="T380" s="158"/>
      <c r="U380" s="158"/>
      <c r="V380" s="158"/>
      <c r="W380" s="158"/>
      <c r="X380" s="158"/>
      <c r="Y380" s="158"/>
      <c r="Z380" s="158"/>
      <c r="AA380" s="158"/>
      <c r="AB380" s="158"/>
      <c r="AC380" s="158"/>
      <c r="AD380" s="158"/>
      <c r="AE380" s="158"/>
      <c r="AF380" s="158"/>
      <c r="AG380" s="158"/>
      <c r="AH380" s="158"/>
      <c r="AI380" s="158"/>
      <c r="AJ380" s="159"/>
      <c r="AK380" s="159"/>
      <c r="AL380" s="159"/>
      <c r="AM380" s="159"/>
      <c r="AN380" s="159"/>
      <c r="AO380" s="159"/>
      <c r="AP380" s="159"/>
      <c r="AQ380" s="159"/>
      <c r="AR380" s="159"/>
      <c r="AS380" s="159"/>
      <c r="AT380" s="159"/>
      <c r="AU380" s="159"/>
      <c r="AV380" s="159"/>
      <c r="AW380" s="159"/>
      <c r="AX380" s="159"/>
      <c r="AY380" s="159"/>
    </row>
    <row r="381" spans="1:51" s="31" customFormat="1" ht="23.25" x14ac:dyDescent="0.35">
      <c r="A381" s="32"/>
      <c r="B381" s="32"/>
      <c r="C381" s="32"/>
      <c r="D381" s="32"/>
      <c r="E381" s="32"/>
      <c r="F381" s="32"/>
      <c r="G381" s="33"/>
      <c r="H381" s="32"/>
      <c r="I381" s="161"/>
      <c r="J381" s="161"/>
      <c r="K381" s="158"/>
      <c r="L381" s="158"/>
      <c r="M381" s="158"/>
      <c r="N381" s="158"/>
      <c r="O381" s="158"/>
      <c r="P381" s="158"/>
      <c r="Q381" s="34"/>
      <c r="R381" s="158"/>
      <c r="S381" s="161"/>
      <c r="T381" s="158"/>
      <c r="U381" s="158"/>
      <c r="V381" s="158"/>
      <c r="W381" s="158"/>
      <c r="X381" s="158"/>
      <c r="Y381" s="158"/>
      <c r="Z381" s="158"/>
      <c r="AA381" s="158"/>
      <c r="AB381" s="158"/>
      <c r="AC381" s="158"/>
      <c r="AD381" s="158"/>
      <c r="AE381" s="158"/>
      <c r="AF381" s="158"/>
      <c r="AG381" s="158"/>
      <c r="AH381" s="158"/>
      <c r="AI381" s="158"/>
      <c r="AJ381" s="159"/>
      <c r="AK381" s="159"/>
      <c r="AL381" s="159"/>
      <c r="AM381" s="159"/>
      <c r="AN381" s="159"/>
      <c r="AO381" s="159"/>
      <c r="AP381" s="159"/>
      <c r="AQ381" s="159"/>
      <c r="AR381" s="159"/>
      <c r="AS381" s="159"/>
      <c r="AT381" s="159"/>
      <c r="AU381" s="159"/>
      <c r="AV381" s="159"/>
      <c r="AW381" s="159"/>
      <c r="AX381" s="159"/>
      <c r="AY381" s="159"/>
    </row>
    <row r="382" spans="1:51" s="31" customFormat="1" ht="23.25" x14ac:dyDescent="0.35">
      <c r="A382" s="32"/>
      <c r="B382" s="32"/>
      <c r="C382" s="32"/>
      <c r="D382" s="32"/>
      <c r="E382" s="32"/>
      <c r="F382" s="32"/>
      <c r="G382" s="33"/>
      <c r="H382" s="32"/>
      <c r="I382" s="161"/>
      <c r="J382" s="161"/>
      <c r="K382" s="158"/>
      <c r="L382" s="158"/>
      <c r="M382" s="158"/>
      <c r="N382" s="158"/>
      <c r="O382" s="158"/>
      <c r="P382" s="158"/>
      <c r="Q382" s="34"/>
      <c r="R382" s="158"/>
      <c r="S382" s="161"/>
      <c r="T382" s="158"/>
      <c r="U382" s="158"/>
      <c r="V382" s="158"/>
      <c r="W382" s="158"/>
      <c r="X382" s="158"/>
      <c r="Y382" s="158"/>
      <c r="Z382" s="158"/>
      <c r="AA382" s="158"/>
      <c r="AB382" s="158"/>
      <c r="AC382" s="158"/>
      <c r="AD382" s="158"/>
      <c r="AE382" s="158"/>
      <c r="AF382" s="158"/>
      <c r="AG382" s="158"/>
      <c r="AH382" s="158"/>
      <c r="AI382" s="158"/>
      <c r="AJ382" s="159"/>
      <c r="AK382" s="159"/>
      <c r="AL382" s="159"/>
      <c r="AM382" s="159"/>
      <c r="AN382" s="159"/>
      <c r="AO382" s="159"/>
      <c r="AP382" s="159"/>
      <c r="AQ382" s="159"/>
      <c r="AR382" s="159"/>
      <c r="AS382" s="159"/>
      <c r="AT382" s="159"/>
      <c r="AU382" s="159"/>
      <c r="AV382" s="159"/>
      <c r="AW382" s="159"/>
      <c r="AX382" s="159"/>
      <c r="AY382" s="159"/>
    </row>
    <row r="383" spans="1:51" s="31" customFormat="1" ht="23.25" x14ac:dyDescent="0.35">
      <c r="A383" s="32"/>
      <c r="B383" s="32"/>
      <c r="C383" s="32"/>
      <c r="D383" s="32"/>
      <c r="E383" s="32"/>
      <c r="F383" s="32"/>
      <c r="G383" s="33"/>
      <c r="H383" s="32"/>
      <c r="I383" s="161"/>
      <c r="J383" s="161"/>
      <c r="K383" s="158"/>
      <c r="L383" s="158"/>
      <c r="M383" s="158"/>
      <c r="N383" s="158"/>
      <c r="O383" s="158"/>
      <c r="P383" s="158"/>
      <c r="Q383" s="34"/>
      <c r="R383" s="158"/>
      <c r="S383" s="161"/>
      <c r="T383" s="158"/>
      <c r="U383" s="158"/>
      <c r="V383" s="158"/>
      <c r="W383" s="158"/>
      <c r="X383" s="158"/>
      <c r="Y383" s="158"/>
      <c r="Z383" s="158"/>
      <c r="AA383" s="158"/>
      <c r="AB383" s="158"/>
      <c r="AC383" s="158"/>
      <c r="AD383" s="158"/>
      <c r="AE383" s="158"/>
      <c r="AF383" s="158"/>
      <c r="AG383" s="158"/>
      <c r="AH383" s="158"/>
      <c r="AI383" s="158"/>
      <c r="AJ383" s="159"/>
      <c r="AK383" s="159"/>
      <c r="AL383" s="159"/>
      <c r="AM383" s="159"/>
      <c r="AN383" s="159"/>
      <c r="AO383" s="159"/>
      <c r="AP383" s="159"/>
      <c r="AQ383" s="159"/>
      <c r="AR383" s="159"/>
      <c r="AS383" s="159"/>
      <c r="AT383" s="159"/>
      <c r="AU383" s="159"/>
      <c r="AV383" s="159"/>
      <c r="AW383" s="159"/>
      <c r="AX383" s="159"/>
      <c r="AY383" s="159"/>
    </row>
    <row r="384" spans="1:51" s="31" customFormat="1" ht="23.25" x14ac:dyDescent="0.35">
      <c r="A384" s="32"/>
      <c r="B384" s="32"/>
      <c r="C384" s="32"/>
      <c r="D384" s="32"/>
      <c r="E384" s="32"/>
      <c r="F384" s="32"/>
      <c r="G384" s="33"/>
      <c r="H384" s="32"/>
      <c r="I384" s="161"/>
      <c r="J384" s="161"/>
      <c r="K384" s="158"/>
      <c r="L384" s="158"/>
      <c r="M384" s="158"/>
      <c r="N384" s="158"/>
      <c r="O384" s="158"/>
      <c r="P384" s="158"/>
      <c r="Q384" s="34"/>
      <c r="R384" s="158"/>
      <c r="S384" s="161"/>
      <c r="T384" s="158"/>
      <c r="U384" s="158"/>
      <c r="V384" s="158"/>
      <c r="W384" s="158"/>
      <c r="X384" s="158"/>
      <c r="Y384" s="158"/>
      <c r="Z384" s="158"/>
      <c r="AA384" s="158"/>
      <c r="AB384" s="158"/>
      <c r="AC384" s="158"/>
      <c r="AD384" s="158"/>
      <c r="AE384" s="158"/>
      <c r="AF384" s="158"/>
      <c r="AG384" s="158"/>
      <c r="AH384" s="158"/>
      <c r="AI384" s="158"/>
      <c r="AJ384" s="159"/>
      <c r="AK384" s="159"/>
      <c r="AL384" s="159"/>
      <c r="AM384" s="159"/>
      <c r="AN384" s="159"/>
      <c r="AO384" s="159"/>
      <c r="AP384" s="159"/>
      <c r="AQ384" s="159"/>
      <c r="AR384" s="159"/>
      <c r="AS384" s="159"/>
      <c r="AT384" s="159"/>
      <c r="AU384" s="159"/>
      <c r="AV384" s="159"/>
      <c r="AW384" s="159"/>
      <c r="AX384" s="159"/>
      <c r="AY384" s="159"/>
    </row>
    <row r="385" spans="1:51" s="31" customFormat="1" ht="23.25" x14ac:dyDescent="0.35">
      <c r="A385" s="32"/>
      <c r="B385" s="32"/>
      <c r="C385" s="32"/>
      <c r="D385" s="32"/>
      <c r="E385" s="32"/>
      <c r="F385" s="32"/>
      <c r="G385" s="33"/>
      <c r="H385" s="32"/>
      <c r="I385" s="161"/>
      <c r="J385" s="161"/>
      <c r="K385" s="158"/>
      <c r="L385" s="158"/>
      <c r="M385" s="158"/>
      <c r="N385" s="158"/>
      <c r="O385" s="158"/>
      <c r="P385" s="158"/>
      <c r="Q385" s="34"/>
      <c r="R385" s="158"/>
      <c r="S385" s="161"/>
      <c r="T385" s="158"/>
      <c r="U385" s="158"/>
      <c r="V385" s="158"/>
      <c r="W385" s="158"/>
      <c r="X385" s="158"/>
      <c r="Y385" s="158"/>
      <c r="Z385" s="158"/>
      <c r="AA385" s="158"/>
      <c r="AB385" s="158"/>
      <c r="AC385" s="158"/>
      <c r="AD385" s="158"/>
      <c r="AE385" s="158"/>
      <c r="AF385" s="158"/>
      <c r="AG385" s="158"/>
      <c r="AH385" s="158"/>
      <c r="AI385" s="158"/>
      <c r="AJ385" s="159"/>
      <c r="AK385" s="159"/>
      <c r="AL385" s="159"/>
      <c r="AM385" s="159"/>
      <c r="AN385" s="159"/>
      <c r="AO385" s="159"/>
      <c r="AP385" s="159"/>
      <c r="AQ385" s="159"/>
      <c r="AR385" s="159"/>
      <c r="AS385" s="159"/>
      <c r="AT385" s="159"/>
      <c r="AU385" s="159"/>
      <c r="AV385" s="159"/>
      <c r="AW385" s="159"/>
      <c r="AX385" s="159"/>
      <c r="AY385" s="159"/>
    </row>
    <row r="386" spans="1:51" s="31" customFormat="1" ht="23.25" x14ac:dyDescent="0.35">
      <c r="A386" s="32"/>
      <c r="B386" s="32"/>
      <c r="C386" s="32"/>
      <c r="D386" s="32"/>
      <c r="E386" s="32"/>
      <c r="F386" s="32"/>
      <c r="G386" s="33"/>
      <c r="H386" s="32"/>
      <c r="I386" s="161"/>
      <c r="J386" s="161"/>
      <c r="K386" s="158"/>
      <c r="L386" s="158"/>
      <c r="M386" s="158"/>
      <c r="N386" s="158"/>
      <c r="O386" s="158"/>
      <c r="P386" s="158"/>
      <c r="Q386" s="34"/>
      <c r="R386" s="158"/>
      <c r="S386" s="161"/>
      <c r="T386" s="158"/>
      <c r="U386" s="158"/>
      <c r="V386" s="158"/>
      <c r="W386" s="158"/>
      <c r="X386" s="158"/>
      <c r="Y386" s="158"/>
      <c r="Z386" s="158"/>
      <c r="AA386" s="158"/>
      <c r="AB386" s="158"/>
      <c r="AC386" s="158"/>
      <c r="AD386" s="158"/>
      <c r="AE386" s="158"/>
      <c r="AF386" s="158"/>
      <c r="AG386" s="158"/>
      <c r="AH386" s="158"/>
      <c r="AI386" s="158"/>
      <c r="AJ386" s="159"/>
      <c r="AK386" s="159"/>
      <c r="AL386" s="159"/>
      <c r="AM386" s="159"/>
      <c r="AN386" s="159"/>
      <c r="AO386" s="159"/>
      <c r="AP386" s="159"/>
      <c r="AQ386" s="159"/>
      <c r="AR386" s="159"/>
      <c r="AS386" s="159"/>
      <c r="AT386" s="159"/>
      <c r="AU386" s="159"/>
      <c r="AV386" s="159"/>
      <c r="AW386" s="159"/>
      <c r="AX386" s="159"/>
      <c r="AY386" s="159"/>
    </row>
    <row r="387" spans="1:51" s="31" customFormat="1" ht="23.25" x14ac:dyDescent="0.35">
      <c r="A387" s="32"/>
      <c r="B387" s="32"/>
      <c r="C387" s="32"/>
      <c r="D387" s="32"/>
      <c r="E387" s="32"/>
      <c r="F387" s="32"/>
      <c r="G387" s="33"/>
      <c r="H387" s="32"/>
      <c r="I387" s="161"/>
      <c r="J387" s="161"/>
      <c r="K387" s="158"/>
      <c r="L387" s="158"/>
      <c r="M387" s="158"/>
      <c r="N387" s="158"/>
      <c r="O387" s="158"/>
      <c r="P387" s="158"/>
      <c r="Q387" s="34"/>
      <c r="R387" s="158"/>
      <c r="S387" s="161"/>
      <c r="T387" s="158"/>
      <c r="U387" s="158"/>
      <c r="V387" s="158"/>
      <c r="W387" s="158"/>
      <c r="X387" s="158"/>
      <c r="Y387" s="158"/>
      <c r="Z387" s="158"/>
      <c r="AA387" s="158"/>
      <c r="AB387" s="158"/>
      <c r="AC387" s="158"/>
      <c r="AD387" s="158"/>
      <c r="AE387" s="158"/>
      <c r="AF387" s="158"/>
      <c r="AG387" s="158"/>
      <c r="AH387" s="158"/>
      <c r="AI387" s="158"/>
      <c r="AJ387" s="159"/>
      <c r="AK387" s="159"/>
      <c r="AL387" s="159"/>
      <c r="AM387" s="159"/>
      <c r="AN387" s="159"/>
      <c r="AO387" s="159"/>
      <c r="AP387" s="159"/>
      <c r="AQ387" s="159"/>
      <c r="AR387" s="159"/>
      <c r="AS387" s="159"/>
      <c r="AT387" s="159"/>
      <c r="AU387" s="159"/>
      <c r="AV387" s="159"/>
      <c r="AW387" s="159"/>
      <c r="AX387" s="159"/>
      <c r="AY387" s="159"/>
    </row>
    <row r="388" spans="1:51" s="31" customFormat="1" ht="23.25" x14ac:dyDescent="0.35">
      <c r="A388" s="32"/>
      <c r="B388" s="32"/>
      <c r="C388" s="32"/>
      <c r="D388" s="32"/>
      <c r="E388" s="32"/>
      <c r="F388" s="32"/>
      <c r="G388" s="33"/>
      <c r="H388" s="32"/>
      <c r="I388" s="161"/>
      <c r="J388" s="161"/>
      <c r="K388" s="158"/>
      <c r="L388" s="158"/>
      <c r="M388" s="158"/>
      <c r="N388" s="158"/>
      <c r="O388" s="158"/>
      <c r="P388" s="158"/>
      <c r="Q388" s="34"/>
      <c r="R388" s="158"/>
      <c r="S388" s="161"/>
      <c r="T388" s="158"/>
      <c r="U388" s="158"/>
      <c r="V388" s="158"/>
      <c r="W388" s="158"/>
      <c r="X388" s="158"/>
      <c r="Y388" s="158"/>
      <c r="Z388" s="158"/>
      <c r="AA388" s="158"/>
      <c r="AB388" s="158"/>
      <c r="AC388" s="158"/>
      <c r="AD388" s="158"/>
      <c r="AE388" s="158"/>
      <c r="AF388" s="158"/>
      <c r="AG388" s="158"/>
      <c r="AH388" s="158"/>
      <c r="AI388" s="158"/>
      <c r="AJ388" s="159"/>
      <c r="AK388" s="159"/>
      <c r="AL388" s="159"/>
      <c r="AM388" s="159"/>
      <c r="AN388" s="159"/>
      <c r="AO388" s="159"/>
      <c r="AP388" s="159"/>
      <c r="AQ388" s="159"/>
      <c r="AR388" s="159"/>
      <c r="AS388" s="159"/>
      <c r="AT388" s="159"/>
      <c r="AU388" s="159"/>
      <c r="AV388" s="159"/>
      <c r="AW388" s="159"/>
      <c r="AX388" s="159"/>
      <c r="AY388" s="159"/>
    </row>
    <row r="389" spans="1:51" s="31" customFormat="1" ht="23.25" x14ac:dyDescent="0.35">
      <c r="A389" s="32"/>
      <c r="B389" s="32"/>
      <c r="C389" s="32"/>
      <c r="D389" s="32"/>
      <c r="E389" s="32"/>
      <c r="F389" s="32"/>
      <c r="G389" s="33"/>
      <c r="H389" s="32"/>
      <c r="I389" s="161"/>
      <c r="J389" s="161"/>
      <c r="K389" s="158"/>
      <c r="L389" s="158"/>
      <c r="M389" s="158"/>
      <c r="N389" s="158"/>
      <c r="O389" s="158"/>
      <c r="P389" s="158"/>
      <c r="Q389" s="34"/>
      <c r="R389" s="158"/>
      <c r="S389" s="161"/>
      <c r="T389" s="158"/>
      <c r="U389" s="158"/>
      <c r="V389" s="158"/>
      <c r="W389" s="158"/>
      <c r="X389" s="158"/>
      <c r="Y389" s="158"/>
      <c r="Z389" s="158"/>
      <c r="AA389" s="158"/>
      <c r="AB389" s="158"/>
      <c r="AC389" s="158"/>
      <c r="AD389" s="158"/>
      <c r="AE389" s="158"/>
      <c r="AF389" s="158"/>
      <c r="AG389" s="158"/>
      <c r="AH389" s="158"/>
      <c r="AI389" s="158"/>
      <c r="AJ389" s="159"/>
      <c r="AK389" s="159"/>
      <c r="AL389" s="159"/>
      <c r="AM389" s="159"/>
      <c r="AN389" s="159"/>
      <c r="AO389" s="159"/>
      <c r="AP389" s="159"/>
      <c r="AQ389" s="159"/>
      <c r="AR389" s="159"/>
      <c r="AS389" s="159"/>
      <c r="AT389" s="159"/>
      <c r="AU389" s="159"/>
      <c r="AV389" s="159"/>
      <c r="AW389" s="159"/>
      <c r="AX389" s="159"/>
      <c r="AY389" s="159"/>
    </row>
    <row r="390" spans="1:51" s="31" customFormat="1" ht="23.25" x14ac:dyDescent="0.35">
      <c r="A390" s="32"/>
      <c r="B390" s="32"/>
      <c r="C390" s="32"/>
      <c r="D390" s="32"/>
      <c r="E390" s="32"/>
      <c r="F390" s="32"/>
      <c r="G390" s="33"/>
      <c r="H390" s="32"/>
      <c r="I390" s="161"/>
      <c r="J390" s="161"/>
      <c r="K390" s="158"/>
      <c r="L390" s="158"/>
      <c r="M390" s="158"/>
      <c r="N390" s="158"/>
      <c r="O390" s="158"/>
      <c r="P390" s="158"/>
      <c r="Q390" s="34"/>
      <c r="R390" s="158"/>
      <c r="S390" s="161"/>
      <c r="T390" s="158"/>
      <c r="U390" s="158"/>
      <c r="V390" s="158"/>
      <c r="W390" s="158"/>
      <c r="X390" s="158"/>
      <c r="Y390" s="158"/>
      <c r="Z390" s="158"/>
      <c r="AA390" s="158"/>
      <c r="AB390" s="158"/>
      <c r="AC390" s="158"/>
      <c r="AD390" s="158"/>
      <c r="AE390" s="158"/>
      <c r="AF390" s="158"/>
      <c r="AG390" s="158"/>
      <c r="AH390" s="158"/>
      <c r="AI390" s="158"/>
      <c r="AJ390" s="159"/>
      <c r="AK390" s="159"/>
      <c r="AL390" s="159"/>
      <c r="AM390" s="159"/>
      <c r="AN390" s="159"/>
      <c r="AO390" s="159"/>
      <c r="AP390" s="159"/>
      <c r="AQ390" s="159"/>
      <c r="AR390" s="159"/>
      <c r="AS390" s="159"/>
      <c r="AT390" s="159"/>
      <c r="AU390" s="159"/>
      <c r="AV390" s="159"/>
      <c r="AW390" s="159"/>
      <c r="AX390" s="159"/>
      <c r="AY390" s="159"/>
    </row>
    <row r="391" spans="1:51" s="31" customFormat="1" ht="23.25" x14ac:dyDescent="0.35">
      <c r="A391" s="32"/>
      <c r="B391" s="32"/>
      <c r="C391" s="32"/>
      <c r="D391" s="32"/>
      <c r="E391" s="32"/>
      <c r="F391" s="32"/>
      <c r="G391" s="33"/>
      <c r="H391" s="32"/>
      <c r="I391" s="161"/>
      <c r="J391" s="161"/>
      <c r="K391" s="158"/>
      <c r="L391" s="158"/>
      <c r="M391" s="158"/>
      <c r="N391" s="158"/>
      <c r="O391" s="158"/>
      <c r="P391" s="158"/>
      <c r="Q391" s="34"/>
      <c r="R391" s="158"/>
      <c r="S391" s="161"/>
      <c r="T391" s="158"/>
      <c r="U391" s="158"/>
      <c r="V391" s="158"/>
      <c r="W391" s="158"/>
      <c r="X391" s="158"/>
      <c r="Y391" s="158"/>
      <c r="Z391" s="158"/>
      <c r="AA391" s="158"/>
      <c r="AB391" s="158"/>
      <c r="AC391" s="158"/>
      <c r="AD391" s="158"/>
      <c r="AE391" s="158"/>
      <c r="AF391" s="158"/>
      <c r="AG391" s="158"/>
      <c r="AH391" s="158"/>
      <c r="AI391" s="158"/>
      <c r="AJ391" s="159"/>
      <c r="AK391" s="159"/>
      <c r="AL391" s="159"/>
      <c r="AM391" s="159"/>
      <c r="AN391" s="159"/>
      <c r="AO391" s="159"/>
      <c r="AP391" s="159"/>
      <c r="AQ391" s="159"/>
      <c r="AR391" s="159"/>
      <c r="AS391" s="159"/>
      <c r="AT391" s="159"/>
      <c r="AU391" s="159"/>
      <c r="AV391" s="159"/>
      <c r="AW391" s="159"/>
      <c r="AX391" s="159"/>
      <c r="AY391" s="159"/>
    </row>
    <row r="392" spans="1:51" s="31" customFormat="1" ht="23.25" x14ac:dyDescent="0.35">
      <c r="A392" s="32"/>
      <c r="B392" s="32"/>
      <c r="C392" s="32"/>
      <c r="D392" s="32"/>
      <c r="E392" s="32"/>
      <c r="F392" s="32"/>
      <c r="G392" s="33"/>
      <c r="H392" s="32"/>
      <c r="I392" s="161"/>
      <c r="J392" s="161"/>
      <c r="K392" s="158"/>
      <c r="L392" s="158"/>
      <c r="M392" s="158"/>
      <c r="N392" s="158"/>
      <c r="O392" s="158"/>
      <c r="P392" s="158"/>
      <c r="Q392" s="34"/>
      <c r="R392" s="158"/>
      <c r="S392" s="161"/>
      <c r="T392" s="158"/>
      <c r="U392" s="158"/>
      <c r="V392" s="158"/>
      <c r="W392" s="158"/>
      <c r="X392" s="158"/>
      <c r="Y392" s="158"/>
      <c r="Z392" s="158"/>
      <c r="AA392" s="158"/>
      <c r="AB392" s="158"/>
      <c r="AC392" s="158"/>
      <c r="AD392" s="158"/>
      <c r="AE392" s="158"/>
      <c r="AF392" s="158"/>
      <c r="AG392" s="158"/>
      <c r="AH392" s="158"/>
      <c r="AI392" s="158"/>
      <c r="AJ392" s="159"/>
      <c r="AK392" s="159"/>
      <c r="AL392" s="159"/>
      <c r="AM392" s="159"/>
      <c r="AN392" s="159"/>
      <c r="AO392" s="159"/>
      <c r="AP392" s="159"/>
      <c r="AQ392" s="159"/>
      <c r="AR392" s="159"/>
      <c r="AS392" s="159"/>
      <c r="AT392" s="159"/>
      <c r="AU392" s="159"/>
      <c r="AV392" s="159"/>
      <c r="AW392" s="159"/>
      <c r="AX392" s="159"/>
      <c r="AY392" s="159"/>
    </row>
    <row r="393" spans="1:51" s="31" customFormat="1" ht="23.25" x14ac:dyDescent="0.35">
      <c r="A393" s="32"/>
      <c r="B393" s="32"/>
      <c r="C393" s="32"/>
      <c r="D393" s="32"/>
      <c r="E393" s="32"/>
      <c r="F393" s="32"/>
      <c r="G393" s="33"/>
      <c r="H393" s="32"/>
      <c r="I393" s="161"/>
      <c r="J393" s="161"/>
      <c r="K393" s="158"/>
      <c r="L393" s="158"/>
      <c r="M393" s="158"/>
      <c r="N393" s="158"/>
      <c r="O393" s="158"/>
      <c r="P393" s="158"/>
      <c r="Q393" s="34"/>
      <c r="R393" s="158"/>
      <c r="S393" s="161"/>
      <c r="T393" s="158"/>
      <c r="U393" s="158"/>
      <c r="V393" s="158"/>
      <c r="W393" s="158"/>
      <c r="X393" s="158"/>
      <c r="Y393" s="158"/>
      <c r="Z393" s="158"/>
      <c r="AA393" s="158"/>
      <c r="AB393" s="158"/>
      <c r="AC393" s="158"/>
      <c r="AD393" s="158"/>
      <c r="AE393" s="158"/>
      <c r="AF393" s="158"/>
      <c r="AG393" s="158"/>
      <c r="AH393" s="158"/>
      <c r="AI393" s="158"/>
      <c r="AJ393" s="159"/>
      <c r="AK393" s="159"/>
      <c r="AL393" s="159"/>
      <c r="AM393" s="159"/>
      <c r="AN393" s="159"/>
      <c r="AO393" s="159"/>
      <c r="AP393" s="159"/>
      <c r="AQ393" s="159"/>
      <c r="AR393" s="159"/>
      <c r="AS393" s="159"/>
      <c r="AT393" s="159"/>
      <c r="AU393" s="159"/>
      <c r="AV393" s="159"/>
      <c r="AW393" s="159"/>
      <c r="AX393" s="159"/>
      <c r="AY393" s="159"/>
    </row>
    <row r="394" spans="1:51" s="31" customFormat="1" ht="23.25" x14ac:dyDescent="0.35">
      <c r="A394" s="32"/>
      <c r="B394" s="32"/>
      <c r="C394" s="32"/>
      <c r="D394" s="32"/>
      <c r="E394" s="32"/>
      <c r="F394" s="32"/>
      <c r="G394" s="33"/>
      <c r="H394" s="32"/>
      <c r="I394" s="161"/>
      <c r="J394" s="161"/>
      <c r="K394" s="158"/>
      <c r="L394" s="158"/>
      <c r="M394" s="158"/>
      <c r="N394" s="158"/>
      <c r="O394" s="158"/>
      <c r="P394" s="158"/>
      <c r="Q394" s="34"/>
      <c r="R394" s="158"/>
      <c r="S394" s="161"/>
      <c r="T394" s="158"/>
      <c r="U394" s="158"/>
      <c r="V394" s="158"/>
      <c r="W394" s="158"/>
      <c r="X394" s="158"/>
      <c r="Y394" s="158"/>
      <c r="Z394" s="158"/>
      <c r="AA394" s="158"/>
      <c r="AB394" s="158"/>
      <c r="AC394" s="158"/>
      <c r="AD394" s="158"/>
      <c r="AE394" s="158"/>
      <c r="AF394" s="158"/>
      <c r="AG394" s="158"/>
      <c r="AH394" s="158"/>
      <c r="AI394" s="158"/>
      <c r="AJ394" s="159"/>
      <c r="AK394" s="159"/>
      <c r="AL394" s="159"/>
      <c r="AM394" s="159"/>
      <c r="AN394" s="159"/>
      <c r="AO394" s="159"/>
      <c r="AP394" s="159"/>
      <c r="AQ394" s="159"/>
      <c r="AR394" s="159"/>
      <c r="AS394" s="159"/>
      <c r="AT394" s="159"/>
      <c r="AU394" s="159"/>
      <c r="AV394" s="159"/>
      <c r="AW394" s="159"/>
      <c r="AX394" s="159"/>
      <c r="AY394" s="159"/>
    </row>
    <row r="395" spans="1:51" s="31" customFormat="1" ht="23.25" x14ac:dyDescent="0.35">
      <c r="A395" s="32"/>
      <c r="B395" s="32"/>
      <c r="C395" s="32"/>
      <c r="D395" s="32"/>
      <c r="E395" s="32"/>
      <c r="F395" s="32"/>
      <c r="G395" s="33"/>
      <c r="H395" s="32"/>
      <c r="I395" s="161"/>
      <c r="J395" s="161"/>
      <c r="K395" s="158"/>
      <c r="L395" s="158"/>
      <c r="M395" s="158"/>
      <c r="N395" s="158"/>
      <c r="O395" s="158"/>
      <c r="P395" s="158"/>
      <c r="Q395" s="34"/>
      <c r="R395" s="158"/>
      <c r="S395" s="161"/>
      <c r="T395" s="158"/>
      <c r="U395" s="158"/>
      <c r="V395" s="158"/>
      <c r="W395" s="158"/>
      <c r="X395" s="158"/>
      <c r="Y395" s="158"/>
      <c r="Z395" s="158"/>
      <c r="AA395" s="158"/>
      <c r="AB395" s="158"/>
      <c r="AC395" s="158"/>
      <c r="AD395" s="158"/>
      <c r="AE395" s="158"/>
      <c r="AF395" s="158"/>
      <c r="AG395" s="158"/>
      <c r="AH395" s="158"/>
      <c r="AI395" s="158"/>
      <c r="AJ395" s="159"/>
      <c r="AK395" s="159"/>
      <c r="AL395" s="159"/>
      <c r="AM395" s="159"/>
      <c r="AN395" s="159"/>
      <c r="AO395" s="159"/>
      <c r="AP395" s="159"/>
      <c r="AQ395" s="159"/>
      <c r="AR395" s="159"/>
      <c r="AS395" s="159"/>
      <c r="AT395" s="159"/>
      <c r="AU395" s="159"/>
      <c r="AV395" s="159"/>
      <c r="AW395" s="159"/>
      <c r="AX395" s="159"/>
      <c r="AY395" s="159"/>
    </row>
    <row r="396" spans="1:51" s="31" customFormat="1" ht="23.25" x14ac:dyDescent="0.35">
      <c r="A396" s="32"/>
      <c r="B396" s="32"/>
      <c r="C396" s="32"/>
      <c r="D396" s="32"/>
      <c r="E396" s="32"/>
      <c r="F396" s="32"/>
      <c r="G396" s="33"/>
      <c r="H396" s="32"/>
      <c r="I396" s="161"/>
      <c r="J396" s="161"/>
      <c r="K396" s="158"/>
      <c r="L396" s="158"/>
      <c r="M396" s="158"/>
      <c r="N396" s="158"/>
      <c r="O396" s="158"/>
      <c r="P396" s="158"/>
      <c r="Q396" s="34"/>
      <c r="R396" s="158"/>
      <c r="S396" s="161"/>
      <c r="T396" s="158"/>
      <c r="U396" s="158"/>
      <c r="V396" s="158"/>
      <c r="W396" s="158"/>
      <c r="X396" s="158"/>
      <c r="Y396" s="158"/>
      <c r="Z396" s="158"/>
      <c r="AA396" s="158"/>
      <c r="AB396" s="158"/>
      <c r="AC396" s="158"/>
      <c r="AD396" s="158"/>
      <c r="AE396" s="158"/>
      <c r="AF396" s="158"/>
      <c r="AG396" s="158"/>
      <c r="AH396" s="158"/>
      <c r="AI396" s="158"/>
      <c r="AJ396" s="159"/>
      <c r="AK396" s="159"/>
      <c r="AL396" s="159"/>
      <c r="AM396" s="159"/>
      <c r="AN396" s="159"/>
      <c r="AO396" s="159"/>
      <c r="AP396" s="159"/>
      <c r="AQ396" s="159"/>
      <c r="AR396" s="159"/>
      <c r="AS396" s="159"/>
      <c r="AT396" s="159"/>
      <c r="AU396" s="159"/>
      <c r="AV396" s="159"/>
      <c r="AW396" s="159"/>
      <c r="AX396" s="159"/>
      <c r="AY396" s="159"/>
    </row>
    <row r="397" spans="1:51" s="31" customFormat="1" ht="23.25" x14ac:dyDescent="0.35">
      <c r="A397" s="32"/>
      <c r="B397" s="32"/>
      <c r="C397" s="32"/>
      <c r="D397" s="32"/>
      <c r="E397" s="32"/>
      <c r="F397" s="32"/>
      <c r="G397" s="33"/>
      <c r="H397" s="32"/>
      <c r="I397" s="161"/>
      <c r="J397" s="161"/>
      <c r="K397" s="158"/>
      <c r="L397" s="158"/>
      <c r="M397" s="158"/>
      <c r="N397" s="158"/>
      <c r="O397" s="158"/>
      <c r="P397" s="158"/>
      <c r="Q397" s="34"/>
      <c r="R397" s="158"/>
      <c r="S397" s="161"/>
      <c r="T397" s="158"/>
      <c r="U397" s="158"/>
      <c r="V397" s="158"/>
      <c r="W397" s="158"/>
      <c r="X397" s="158"/>
      <c r="Y397" s="158"/>
      <c r="Z397" s="158"/>
      <c r="AA397" s="158"/>
      <c r="AB397" s="158"/>
      <c r="AC397" s="158"/>
      <c r="AD397" s="158"/>
      <c r="AE397" s="158"/>
      <c r="AF397" s="158"/>
      <c r="AG397" s="158"/>
      <c r="AH397" s="158"/>
      <c r="AI397" s="158"/>
      <c r="AJ397" s="159"/>
      <c r="AK397" s="159"/>
      <c r="AL397" s="159"/>
      <c r="AM397" s="159"/>
      <c r="AN397" s="159"/>
      <c r="AO397" s="159"/>
      <c r="AP397" s="159"/>
      <c r="AQ397" s="159"/>
      <c r="AR397" s="159"/>
      <c r="AS397" s="159"/>
      <c r="AT397" s="159"/>
      <c r="AU397" s="159"/>
      <c r="AV397" s="159"/>
      <c r="AW397" s="159"/>
      <c r="AX397" s="159"/>
      <c r="AY397" s="159"/>
    </row>
    <row r="398" spans="1:51" s="31" customFormat="1" ht="23.25" x14ac:dyDescent="0.35">
      <c r="A398" s="32"/>
      <c r="B398" s="32"/>
      <c r="C398" s="32"/>
      <c r="D398" s="32"/>
      <c r="E398" s="32"/>
      <c r="F398" s="32"/>
      <c r="G398" s="33"/>
      <c r="H398" s="32"/>
      <c r="I398" s="161"/>
      <c r="J398" s="161"/>
      <c r="K398" s="158"/>
      <c r="L398" s="158"/>
      <c r="M398" s="158"/>
      <c r="N398" s="158"/>
      <c r="O398" s="158"/>
      <c r="P398" s="158"/>
      <c r="Q398" s="34"/>
      <c r="R398" s="158"/>
      <c r="S398" s="161"/>
      <c r="T398" s="158"/>
      <c r="U398" s="158"/>
      <c r="V398" s="158"/>
      <c r="W398" s="158"/>
      <c r="X398" s="158"/>
      <c r="Y398" s="158"/>
      <c r="Z398" s="158"/>
      <c r="AA398" s="158"/>
      <c r="AB398" s="158"/>
      <c r="AC398" s="158"/>
      <c r="AD398" s="158"/>
      <c r="AE398" s="158"/>
      <c r="AF398" s="158"/>
      <c r="AG398" s="158"/>
      <c r="AH398" s="158"/>
      <c r="AI398" s="158"/>
      <c r="AJ398" s="159"/>
      <c r="AK398" s="159"/>
      <c r="AL398" s="159"/>
      <c r="AM398" s="159"/>
      <c r="AN398" s="159"/>
      <c r="AO398" s="159"/>
      <c r="AP398" s="159"/>
      <c r="AQ398" s="159"/>
      <c r="AR398" s="159"/>
      <c r="AS398" s="159"/>
      <c r="AT398" s="159"/>
      <c r="AU398" s="159"/>
      <c r="AV398" s="159"/>
      <c r="AW398" s="159"/>
      <c r="AX398" s="159"/>
      <c r="AY398" s="159"/>
    </row>
    <row r="399" spans="1:51" s="31" customFormat="1" ht="23.25" x14ac:dyDescent="0.35">
      <c r="A399" s="32"/>
      <c r="B399" s="32"/>
      <c r="C399" s="32"/>
      <c r="D399" s="32"/>
      <c r="E399" s="32"/>
      <c r="F399" s="32"/>
      <c r="G399" s="33"/>
      <c r="H399" s="32"/>
      <c r="I399" s="161"/>
      <c r="J399" s="161"/>
      <c r="K399" s="158"/>
      <c r="L399" s="158"/>
      <c r="M399" s="158"/>
      <c r="N399" s="158"/>
      <c r="O399" s="158"/>
      <c r="P399" s="158"/>
      <c r="Q399" s="34"/>
      <c r="R399" s="158"/>
      <c r="S399" s="161"/>
      <c r="T399" s="158"/>
      <c r="U399" s="158"/>
      <c r="V399" s="158"/>
      <c r="W399" s="158"/>
      <c r="X399" s="158"/>
      <c r="Y399" s="158"/>
      <c r="Z399" s="158"/>
      <c r="AA399" s="158"/>
      <c r="AB399" s="158"/>
      <c r="AC399" s="158"/>
      <c r="AD399" s="158"/>
      <c r="AE399" s="158"/>
      <c r="AF399" s="158"/>
      <c r="AG399" s="158"/>
      <c r="AH399" s="158"/>
      <c r="AI399" s="158"/>
      <c r="AJ399" s="159"/>
      <c r="AK399" s="159"/>
      <c r="AL399" s="159"/>
      <c r="AM399" s="159"/>
      <c r="AN399" s="159"/>
      <c r="AO399" s="159"/>
      <c r="AP399" s="159"/>
      <c r="AQ399" s="159"/>
      <c r="AR399" s="159"/>
      <c r="AS399" s="159"/>
      <c r="AT399" s="159"/>
      <c r="AU399" s="159"/>
      <c r="AV399" s="159"/>
      <c r="AW399" s="159"/>
      <c r="AX399" s="159"/>
      <c r="AY399" s="159"/>
    </row>
    <row r="400" spans="1:51" s="31" customFormat="1" ht="23.25" x14ac:dyDescent="0.35">
      <c r="A400" s="32"/>
      <c r="B400" s="32"/>
      <c r="C400" s="32"/>
      <c r="D400" s="32"/>
      <c r="E400" s="32"/>
      <c r="F400" s="32"/>
      <c r="G400" s="33"/>
      <c r="H400" s="32"/>
      <c r="I400" s="161"/>
      <c r="J400" s="161"/>
      <c r="K400" s="158"/>
      <c r="L400" s="158"/>
      <c r="M400" s="158"/>
      <c r="N400" s="158"/>
      <c r="O400" s="158"/>
      <c r="P400" s="158"/>
      <c r="Q400" s="34"/>
      <c r="R400" s="158"/>
      <c r="S400" s="161"/>
      <c r="T400" s="158"/>
      <c r="U400" s="158"/>
      <c r="V400" s="158"/>
      <c r="W400" s="158"/>
      <c r="X400" s="158"/>
      <c r="Y400" s="158"/>
      <c r="Z400" s="158"/>
      <c r="AA400" s="158"/>
      <c r="AB400" s="158"/>
      <c r="AC400" s="158"/>
      <c r="AD400" s="158"/>
      <c r="AE400" s="158"/>
      <c r="AF400" s="158"/>
      <c r="AG400" s="158"/>
      <c r="AH400" s="158"/>
      <c r="AI400" s="158"/>
      <c r="AJ400" s="159"/>
      <c r="AK400" s="159"/>
      <c r="AL400" s="159"/>
      <c r="AM400" s="159"/>
      <c r="AN400" s="159"/>
      <c r="AO400" s="159"/>
      <c r="AP400" s="159"/>
      <c r="AQ400" s="159"/>
      <c r="AR400" s="159"/>
      <c r="AS400" s="159"/>
      <c r="AT400" s="159"/>
      <c r="AU400" s="159"/>
      <c r="AV400" s="159"/>
      <c r="AW400" s="159"/>
      <c r="AX400" s="159"/>
      <c r="AY400" s="159"/>
    </row>
    <row r="401" spans="1:51" s="31" customFormat="1" ht="23.25" x14ac:dyDescent="0.35">
      <c r="A401" s="32"/>
      <c r="B401" s="32"/>
      <c r="C401" s="32"/>
      <c r="D401" s="32"/>
      <c r="E401" s="32"/>
      <c r="F401" s="32"/>
      <c r="G401" s="33"/>
      <c r="H401" s="32"/>
      <c r="I401" s="161"/>
      <c r="J401" s="161"/>
      <c r="K401" s="158"/>
      <c r="L401" s="158"/>
      <c r="M401" s="158"/>
      <c r="N401" s="158"/>
      <c r="O401" s="158"/>
      <c r="P401" s="158"/>
      <c r="Q401" s="34"/>
      <c r="R401" s="158"/>
      <c r="S401" s="161"/>
      <c r="T401" s="158"/>
      <c r="U401" s="158"/>
      <c r="V401" s="158"/>
      <c r="W401" s="158"/>
      <c r="X401" s="158"/>
      <c r="Y401" s="158"/>
      <c r="Z401" s="158"/>
      <c r="AA401" s="158"/>
      <c r="AB401" s="158"/>
      <c r="AC401" s="158"/>
      <c r="AD401" s="158"/>
      <c r="AE401" s="158"/>
      <c r="AF401" s="158"/>
      <c r="AG401" s="158"/>
      <c r="AH401" s="158"/>
      <c r="AI401" s="158"/>
      <c r="AJ401" s="159"/>
      <c r="AK401" s="159"/>
      <c r="AL401" s="159"/>
      <c r="AM401" s="159"/>
      <c r="AN401" s="159"/>
      <c r="AO401" s="159"/>
      <c r="AP401" s="159"/>
      <c r="AQ401" s="159"/>
      <c r="AR401" s="159"/>
      <c r="AS401" s="159"/>
      <c r="AT401" s="159"/>
      <c r="AU401" s="159"/>
      <c r="AV401" s="159"/>
      <c r="AW401" s="159"/>
      <c r="AX401" s="159"/>
      <c r="AY401" s="159"/>
    </row>
    <row r="402" spans="1:51" s="31" customFormat="1" ht="23.25" x14ac:dyDescent="0.35">
      <c r="A402" s="32"/>
      <c r="B402" s="32"/>
      <c r="C402" s="32"/>
      <c r="D402" s="32"/>
      <c r="E402" s="32"/>
      <c r="F402" s="32"/>
      <c r="G402" s="33"/>
      <c r="H402" s="32"/>
      <c r="I402" s="161"/>
      <c r="J402" s="161"/>
      <c r="K402" s="158"/>
      <c r="L402" s="158"/>
      <c r="M402" s="158"/>
      <c r="N402" s="158"/>
      <c r="O402" s="158"/>
      <c r="P402" s="158"/>
      <c r="Q402" s="34"/>
      <c r="R402" s="158"/>
      <c r="S402" s="161"/>
      <c r="T402" s="158"/>
      <c r="U402" s="158"/>
      <c r="V402" s="158"/>
      <c r="W402" s="158"/>
      <c r="X402" s="158"/>
      <c r="Y402" s="158"/>
      <c r="Z402" s="158"/>
      <c r="AA402" s="158"/>
      <c r="AB402" s="158"/>
      <c r="AC402" s="158"/>
      <c r="AD402" s="158"/>
      <c r="AE402" s="158"/>
      <c r="AF402" s="158"/>
      <c r="AG402" s="158"/>
      <c r="AH402" s="158"/>
      <c r="AI402" s="158"/>
      <c r="AJ402" s="159"/>
      <c r="AK402" s="159"/>
      <c r="AL402" s="159"/>
      <c r="AM402" s="159"/>
      <c r="AN402" s="159"/>
      <c r="AO402" s="159"/>
      <c r="AP402" s="159"/>
      <c r="AQ402" s="159"/>
      <c r="AR402" s="159"/>
      <c r="AS402" s="159"/>
      <c r="AT402" s="159"/>
      <c r="AU402" s="159"/>
      <c r="AV402" s="159"/>
      <c r="AW402" s="159"/>
      <c r="AX402" s="159"/>
      <c r="AY402" s="159"/>
    </row>
    <row r="403" spans="1:51" s="31" customFormat="1" ht="23.25" x14ac:dyDescent="0.35">
      <c r="A403" s="32"/>
      <c r="B403" s="32"/>
      <c r="C403" s="32"/>
      <c r="D403" s="32"/>
      <c r="E403" s="32"/>
      <c r="F403" s="32"/>
      <c r="G403" s="33"/>
      <c r="H403" s="32"/>
      <c r="I403" s="161"/>
      <c r="J403" s="161"/>
      <c r="K403" s="158"/>
      <c r="L403" s="158"/>
      <c r="M403" s="158"/>
      <c r="N403" s="158"/>
      <c r="O403" s="158"/>
      <c r="P403" s="158"/>
      <c r="Q403" s="34"/>
      <c r="R403" s="158"/>
      <c r="S403" s="161"/>
      <c r="T403" s="158"/>
      <c r="U403" s="158"/>
      <c r="V403" s="158"/>
      <c r="W403" s="158"/>
      <c r="X403" s="158"/>
      <c r="Y403" s="158"/>
      <c r="Z403" s="158"/>
      <c r="AA403" s="158"/>
      <c r="AB403" s="158"/>
      <c r="AC403" s="158"/>
      <c r="AD403" s="158"/>
      <c r="AE403" s="158"/>
      <c r="AF403" s="158"/>
      <c r="AG403" s="158"/>
      <c r="AH403" s="158"/>
      <c r="AI403" s="158"/>
      <c r="AJ403" s="159"/>
      <c r="AK403" s="159"/>
      <c r="AL403" s="159"/>
      <c r="AM403" s="159"/>
      <c r="AN403" s="159"/>
      <c r="AO403" s="159"/>
      <c r="AP403" s="159"/>
      <c r="AQ403" s="159"/>
      <c r="AR403" s="159"/>
      <c r="AS403" s="159"/>
      <c r="AT403" s="159"/>
      <c r="AU403" s="159"/>
      <c r="AV403" s="159"/>
      <c r="AW403" s="159"/>
      <c r="AX403" s="159"/>
      <c r="AY403" s="159"/>
    </row>
    <row r="404" spans="1:51" s="31" customFormat="1" ht="23.25" x14ac:dyDescent="0.35">
      <c r="A404" s="32"/>
      <c r="B404" s="32"/>
      <c r="C404" s="32"/>
      <c r="D404" s="32"/>
      <c r="E404" s="32"/>
      <c r="F404" s="32"/>
      <c r="G404" s="33"/>
      <c r="H404" s="32"/>
      <c r="I404" s="161"/>
      <c r="J404" s="161"/>
      <c r="K404" s="158"/>
      <c r="L404" s="158"/>
      <c r="M404" s="158"/>
      <c r="N404" s="158"/>
      <c r="O404" s="158"/>
      <c r="P404" s="158"/>
      <c r="Q404" s="34"/>
      <c r="R404" s="158"/>
      <c r="S404" s="161"/>
      <c r="T404" s="158"/>
      <c r="U404" s="158"/>
      <c r="V404" s="158"/>
      <c r="W404" s="158"/>
      <c r="X404" s="158"/>
      <c r="Y404" s="158"/>
      <c r="Z404" s="158"/>
      <c r="AA404" s="158"/>
      <c r="AB404" s="158"/>
      <c r="AC404" s="158"/>
      <c r="AD404" s="158"/>
      <c r="AE404" s="158"/>
      <c r="AF404" s="158"/>
      <c r="AG404" s="158"/>
      <c r="AH404" s="158"/>
      <c r="AI404" s="158"/>
      <c r="AJ404" s="159"/>
      <c r="AK404" s="159"/>
      <c r="AL404" s="159"/>
      <c r="AM404" s="159"/>
      <c r="AN404" s="159"/>
      <c r="AO404" s="159"/>
      <c r="AP404" s="159"/>
      <c r="AQ404" s="159"/>
      <c r="AR404" s="159"/>
      <c r="AS404" s="159"/>
      <c r="AT404" s="159"/>
      <c r="AU404" s="159"/>
      <c r="AV404" s="159"/>
      <c r="AW404" s="159"/>
      <c r="AX404" s="159"/>
      <c r="AY404" s="159"/>
    </row>
    <row r="405" spans="1:51" s="31" customFormat="1" ht="23.25" x14ac:dyDescent="0.35">
      <c r="A405" s="32"/>
      <c r="B405" s="32"/>
      <c r="C405" s="32"/>
      <c r="D405" s="32"/>
      <c r="E405" s="32"/>
      <c r="F405" s="32"/>
      <c r="G405" s="33"/>
      <c r="H405" s="32"/>
      <c r="I405" s="161"/>
      <c r="J405" s="161"/>
      <c r="K405" s="158"/>
      <c r="L405" s="158"/>
      <c r="M405" s="158"/>
      <c r="N405" s="158"/>
      <c r="O405" s="158"/>
      <c r="P405" s="158"/>
      <c r="Q405" s="34"/>
      <c r="R405" s="158"/>
      <c r="S405" s="161"/>
      <c r="T405" s="158"/>
      <c r="U405" s="158"/>
      <c r="V405" s="158"/>
      <c r="W405" s="158"/>
      <c r="X405" s="158"/>
      <c r="Y405" s="158"/>
      <c r="Z405" s="158"/>
      <c r="AA405" s="158"/>
      <c r="AB405" s="158"/>
      <c r="AC405" s="158"/>
      <c r="AD405" s="158"/>
      <c r="AE405" s="158"/>
      <c r="AF405" s="158"/>
      <c r="AG405" s="158"/>
      <c r="AH405" s="158"/>
      <c r="AI405" s="158"/>
      <c r="AJ405" s="159"/>
      <c r="AK405" s="159"/>
      <c r="AL405" s="159"/>
      <c r="AM405" s="159"/>
      <c r="AN405" s="159"/>
      <c r="AO405" s="159"/>
      <c r="AP405" s="159"/>
      <c r="AQ405" s="159"/>
      <c r="AR405" s="159"/>
      <c r="AS405" s="159"/>
      <c r="AT405" s="159"/>
      <c r="AU405" s="159"/>
      <c r="AV405" s="159"/>
      <c r="AW405" s="159"/>
      <c r="AX405" s="159"/>
      <c r="AY405" s="159"/>
    </row>
    <row r="406" spans="1:51" s="31" customFormat="1" ht="23.25" x14ac:dyDescent="0.35">
      <c r="A406" s="32"/>
      <c r="B406" s="32"/>
      <c r="C406" s="32"/>
      <c r="D406" s="32"/>
      <c r="E406" s="32"/>
      <c r="F406" s="32"/>
      <c r="G406" s="33"/>
      <c r="H406" s="32"/>
      <c r="I406" s="161"/>
      <c r="J406" s="161"/>
      <c r="K406" s="158"/>
      <c r="L406" s="158"/>
      <c r="M406" s="158"/>
      <c r="N406" s="158"/>
      <c r="O406" s="158"/>
      <c r="P406" s="158"/>
      <c r="Q406" s="34"/>
      <c r="R406" s="158"/>
      <c r="S406" s="161"/>
      <c r="T406" s="158"/>
      <c r="U406" s="158"/>
      <c r="V406" s="158"/>
      <c r="W406" s="158"/>
      <c r="X406" s="158"/>
      <c r="Y406" s="158"/>
      <c r="Z406" s="158"/>
      <c r="AA406" s="158"/>
      <c r="AB406" s="158"/>
      <c r="AC406" s="158"/>
      <c r="AD406" s="158"/>
      <c r="AE406" s="158"/>
      <c r="AF406" s="158"/>
      <c r="AG406" s="158"/>
      <c r="AH406" s="158"/>
      <c r="AI406" s="158"/>
      <c r="AJ406" s="159"/>
      <c r="AK406" s="159"/>
      <c r="AL406" s="159"/>
      <c r="AM406" s="159"/>
      <c r="AN406" s="159"/>
      <c r="AO406" s="159"/>
      <c r="AP406" s="159"/>
      <c r="AQ406" s="159"/>
      <c r="AR406" s="159"/>
      <c r="AS406" s="159"/>
      <c r="AT406" s="159"/>
      <c r="AU406" s="159"/>
      <c r="AV406" s="159"/>
      <c r="AW406" s="159"/>
      <c r="AX406" s="159"/>
      <c r="AY406" s="159"/>
    </row>
    <row r="407" spans="1:51" s="31" customFormat="1" ht="23.25" x14ac:dyDescent="0.35">
      <c r="A407" s="32"/>
      <c r="B407" s="32"/>
      <c r="C407" s="32"/>
      <c r="D407" s="32"/>
      <c r="E407" s="32"/>
      <c r="F407" s="32"/>
      <c r="G407" s="33"/>
      <c r="H407" s="32"/>
      <c r="I407" s="161"/>
      <c r="J407" s="161"/>
      <c r="K407" s="158"/>
      <c r="L407" s="158"/>
      <c r="M407" s="158"/>
      <c r="N407" s="158"/>
      <c r="O407" s="158"/>
      <c r="P407" s="158"/>
      <c r="Q407" s="34"/>
      <c r="R407" s="158"/>
      <c r="S407" s="161"/>
      <c r="T407" s="158"/>
      <c r="U407" s="158"/>
      <c r="V407" s="158"/>
      <c r="W407" s="158"/>
      <c r="X407" s="158"/>
      <c r="Y407" s="158"/>
      <c r="Z407" s="158"/>
      <c r="AA407" s="158"/>
      <c r="AB407" s="158"/>
      <c r="AC407" s="158"/>
      <c r="AD407" s="158"/>
      <c r="AE407" s="158"/>
      <c r="AF407" s="158"/>
      <c r="AG407" s="158"/>
      <c r="AH407" s="158"/>
      <c r="AI407" s="158"/>
      <c r="AJ407" s="159"/>
      <c r="AK407" s="159"/>
      <c r="AL407" s="159"/>
      <c r="AM407" s="159"/>
      <c r="AN407" s="159"/>
      <c r="AO407" s="159"/>
      <c r="AP407" s="159"/>
      <c r="AQ407" s="159"/>
      <c r="AR407" s="159"/>
      <c r="AS407" s="159"/>
      <c r="AT407" s="159"/>
      <c r="AU407" s="159"/>
      <c r="AV407" s="159"/>
      <c r="AW407" s="159"/>
      <c r="AX407" s="159"/>
      <c r="AY407" s="159"/>
    </row>
    <row r="408" spans="1:51" s="31" customFormat="1" ht="23.25" x14ac:dyDescent="0.35">
      <c r="A408" s="32"/>
      <c r="B408" s="32"/>
      <c r="C408" s="32"/>
      <c r="D408" s="32"/>
      <c r="E408" s="32"/>
      <c r="F408" s="32"/>
      <c r="G408" s="33"/>
      <c r="H408" s="32"/>
      <c r="I408" s="161"/>
      <c r="J408" s="161"/>
      <c r="K408" s="158"/>
      <c r="L408" s="158"/>
      <c r="M408" s="158"/>
      <c r="N408" s="158"/>
      <c r="O408" s="158"/>
      <c r="P408" s="158"/>
      <c r="Q408" s="34"/>
      <c r="R408" s="158"/>
      <c r="S408" s="161"/>
      <c r="T408" s="158"/>
      <c r="U408" s="158"/>
      <c r="V408" s="158"/>
      <c r="W408" s="158"/>
      <c r="X408" s="158"/>
      <c r="Y408" s="158"/>
      <c r="Z408" s="158"/>
      <c r="AA408" s="158"/>
      <c r="AB408" s="158"/>
      <c r="AC408" s="158"/>
      <c r="AD408" s="158"/>
      <c r="AE408" s="158"/>
      <c r="AF408" s="158"/>
      <c r="AG408" s="158"/>
      <c r="AH408" s="158"/>
      <c r="AI408" s="158"/>
      <c r="AJ408" s="159"/>
      <c r="AK408" s="159"/>
      <c r="AL408" s="159"/>
      <c r="AM408" s="159"/>
      <c r="AN408" s="159"/>
      <c r="AO408" s="159"/>
      <c r="AP408" s="159"/>
      <c r="AQ408" s="159"/>
      <c r="AR408" s="159"/>
      <c r="AS408" s="159"/>
      <c r="AT408" s="159"/>
      <c r="AU408" s="159"/>
      <c r="AV408" s="159"/>
      <c r="AW408" s="159"/>
      <c r="AX408" s="159"/>
      <c r="AY408" s="159"/>
    </row>
    <row r="409" spans="1:51" s="31" customFormat="1" ht="23.25" x14ac:dyDescent="0.35">
      <c r="A409" s="32"/>
      <c r="B409" s="32"/>
      <c r="C409" s="32"/>
      <c r="D409" s="32"/>
      <c r="E409" s="32"/>
      <c r="F409" s="32"/>
      <c r="G409" s="33"/>
      <c r="H409" s="32"/>
      <c r="I409" s="161"/>
      <c r="J409" s="161"/>
      <c r="K409" s="158"/>
      <c r="L409" s="158"/>
      <c r="M409" s="158"/>
      <c r="N409" s="158"/>
      <c r="O409" s="158"/>
      <c r="P409" s="158"/>
      <c r="Q409" s="34"/>
      <c r="R409" s="158"/>
      <c r="S409" s="161"/>
      <c r="T409" s="158"/>
      <c r="U409" s="158"/>
      <c r="V409" s="158"/>
      <c r="W409" s="158"/>
      <c r="X409" s="158"/>
      <c r="Y409" s="158"/>
      <c r="Z409" s="158"/>
      <c r="AA409" s="158"/>
      <c r="AB409" s="158"/>
      <c r="AC409" s="158"/>
      <c r="AD409" s="158"/>
      <c r="AE409" s="158"/>
      <c r="AF409" s="158"/>
      <c r="AG409" s="158"/>
      <c r="AH409" s="158"/>
      <c r="AI409" s="158"/>
      <c r="AJ409" s="159"/>
      <c r="AK409" s="159"/>
      <c r="AL409" s="159"/>
      <c r="AM409" s="159"/>
      <c r="AN409" s="159"/>
      <c r="AO409" s="159"/>
      <c r="AP409" s="159"/>
      <c r="AQ409" s="159"/>
      <c r="AR409" s="159"/>
      <c r="AS409" s="159"/>
      <c r="AT409" s="159"/>
      <c r="AU409" s="159"/>
      <c r="AV409" s="159"/>
      <c r="AW409" s="159"/>
      <c r="AX409" s="159"/>
      <c r="AY409" s="159"/>
    </row>
    <row r="410" spans="1:51" s="31" customFormat="1" ht="23.25" x14ac:dyDescent="0.35">
      <c r="A410" s="32"/>
      <c r="B410" s="32"/>
      <c r="C410" s="32"/>
      <c r="D410" s="32"/>
      <c r="E410" s="32"/>
      <c r="F410" s="32"/>
      <c r="G410" s="33"/>
      <c r="H410" s="32"/>
      <c r="I410" s="161"/>
      <c r="J410" s="161"/>
      <c r="K410" s="158"/>
      <c r="L410" s="158"/>
      <c r="M410" s="158"/>
      <c r="N410" s="158"/>
      <c r="O410" s="158"/>
      <c r="P410" s="158"/>
      <c r="Q410" s="34"/>
      <c r="R410" s="158"/>
      <c r="S410" s="161"/>
      <c r="T410" s="158"/>
      <c r="U410" s="158"/>
      <c r="V410" s="158"/>
      <c r="W410" s="158"/>
      <c r="X410" s="158"/>
      <c r="Y410" s="158"/>
      <c r="Z410" s="158"/>
      <c r="AA410" s="158"/>
      <c r="AB410" s="158"/>
      <c r="AC410" s="158"/>
      <c r="AD410" s="158"/>
      <c r="AE410" s="158"/>
      <c r="AF410" s="158"/>
      <c r="AG410" s="158"/>
      <c r="AH410" s="158"/>
      <c r="AI410" s="158"/>
      <c r="AJ410" s="159"/>
      <c r="AK410" s="159"/>
      <c r="AL410" s="159"/>
      <c r="AM410" s="159"/>
      <c r="AN410" s="159"/>
      <c r="AO410" s="159"/>
      <c r="AP410" s="159"/>
      <c r="AQ410" s="159"/>
      <c r="AR410" s="159"/>
      <c r="AS410" s="159"/>
      <c r="AT410" s="159"/>
      <c r="AU410" s="159"/>
      <c r="AV410" s="159"/>
      <c r="AW410" s="159"/>
      <c r="AX410" s="159"/>
      <c r="AY410" s="159"/>
    </row>
    <row r="411" spans="1:51" s="31" customFormat="1" ht="23.25" x14ac:dyDescent="0.35">
      <c r="A411" s="32"/>
      <c r="B411" s="32"/>
      <c r="C411" s="32"/>
      <c r="D411" s="32"/>
      <c r="E411" s="32"/>
      <c r="F411" s="32"/>
      <c r="G411" s="33"/>
      <c r="H411" s="32"/>
      <c r="I411" s="161"/>
      <c r="J411" s="161"/>
      <c r="K411" s="158"/>
      <c r="L411" s="158"/>
      <c r="M411" s="158"/>
      <c r="N411" s="158"/>
      <c r="O411" s="158"/>
      <c r="P411" s="158"/>
      <c r="Q411" s="34"/>
      <c r="R411" s="158"/>
      <c r="S411" s="161"/>
      <c r="T411" s="158"/>
      <c r="U411" s="158"/>
      <c r="V411" s="158"/>
      <c r="W411" s="158"/>
      <c r="X411" s="158"/>
      <c r="Y411" s="158"/>
      <c r="Z411" s="158"/>
      <c r="AA411" s="158"/>
      <c r="AB411" s="158"/>
      <c r="AC411" s="158"/>
      <c r="AD411" s="158"/>
      <c r="AE411" s="158"/>
      <c r="AF411" s="158"/>
      <c r="AG411" s="158"/>
      <c r="AH411" s="158"/>
      <c r="AI411" s="158"/>
      <c r="AJ411" s="159"/>
      <c r="AK411" s="159"/>
      <c r="AL411" s="159"/>
      <c r="AM411" s="159"/>
      <c r="AN411" s="159"/>
      <c r="AO411" s="159"/>
      <c r="AP411" s="159"/>
      <c r="AQ411" s="159"/>
      <c r="AR411" s="159"/>
      <c r="AS411" s="159"/>
      <c r="AT411" s="159"/>
      <c r="AU411" s="159"/>
      <c r="AV411" s="159"/>
      <c r="AW411" s="159"/>
      <c r="AX411" s="159"/>
      <c r="AY411" s="159"/>
    </row>
    <row r="412" spans="1:51" s="31" customFormat="1" ht="23.25" x14ac:dyDescent="0.35">
      <c r="A412" s="32"/>
      <c r="B412" s="32"/>
      <c r="C412" s="32"/>
      <c r="D412" s="32"/>
      <c r="E412" s="32"/>
      <c r="F412" s="32"/>
      <c r="G412" s="33"/>
      <c r="H412" s="32"/>
      <c r="I412" s="161"/>
      <c r="J412" s="161"/>
      <c r="K412" s="158"/>
      <c r="L412" s="158"/>
      <c r="M412" s="158"/>
      <c r="N412" s="158"/>
      <c r="O412" s="158"/>
      <c r="P412" s="158"/>
      <c r="Q412" s="34"/>
      <c r="R412" s="158"/>
      <c r="S412" s="161"/>
      <c r="T412" s="158"/>
      <c r="U412" s="158"/>
      <c r="V412" s="158"/>
      <c r="W412" s="158"/>
      <c r="X412" s="158"/>
      <c r="Y412" s="158"/>
      <c r="Z412" s="158"/>
      <c r="AA412" s="158"/>
      <c r="AB412" s="158"/>
      <c r="AC412" s="158"/>
      <c r="AD412" s="158"/>
      <c r="AE412" s="158"/>
      <c r="AF412" s="158"/>
      <c r="AG412" s="158"/>
      <c r="AH412" s="158"/>
      <c r="AI412" s="158"/>
      <c r="AJ412" s="159"/>
      <c r="AK412" s="159"/>
      <c r="AL412" s="159"/>
      <c r="AM412" s="159"/>
      <c r="AN412" s="159"/>
      <c r="AO412" s="159"/>
      <c r="AP412" s="159"/>
      <c r="AQ412" s="159"/>
      <c r="AR412" s="159"/>
      <c r="AS412" s="159"/>
      <c r="AT412" s="159"/>
      <c r="AU412" s="159"/>
      <c r="AV412" s="159"/>
      <c r="AW412" s="159"/>
      <c r="AX412" s="159"/>
      <c r="AY412" s="159"/>
    </row>
    <row r="413" spans="1:51" s="31" customFormat="1" ht="23.25" x14ac:dyDescent="0.35">
      <c r="A413" s="32"/>
      <c r="B413" s="32"/>
      <c r="C413" s="32"/>
      <c r="D413" s="32"/>
      <c r="E413" s="32"/>
      <c r="F413" s="32"/>
      <c r="G413" s="33"/>
      <c r="H413" s="32"/>
      <c r="I413" s="161"/>
      <c r="J413" s="161"/>
      <c r="K413" s="158"/>
      <c r="L413" s="158"/>
      <c r="M413" s="158"/>
      <c r="N413" s="158"/>
      <c r="O413" s="158"/>
      <c r="P413" s="158"/>
      <c r="Q413" s="34"/>
      <c r="R413" s="158"/>
      <c r="S413" s="161"/>
      <c r="T413" s="158"/>
      <c r="U413" s="158"/>
      <c r="V413" s="158"/>
      <c r="W413" s="158"/>
      <c r="X413" s="158"/>
      <c r="Y413" s="158"/>
      <c r="Z413" s="158"/>
      <c r="AA413" s="158"/>
      <c r="AB413" s="158"/>
      <c r="AC413" s="158"/>
      <c r="AD413" s="158"/>
      <c r="AE413" s="158"/>
      <c r="AF413" s="158"/>
      <c r="AG413" s="158"/>
      <c r="AH413" s="158"/>
      <c r="AI413" s="158"/>
      <c r="AJ413" s="159"/>
      <c r="AK413" s="159"/>
      <c r="AL413" s="159"/>
      <c r="AM413" s="159"/>
      <c r="AN413" s="159"/>
      <c r="AO413" s="159"/>
      <c r="AP413" s="159"/>
      <c r="AQ413" s="159"/>
      <c r="AR413" s="159"/>
      <c r="AS413" s="159"/>
      <c r="AT413" s="159"/>
      <c r="AU413" s="159"/>
      <c r="AV413" s="159"/>
      <c r="AW413" s="159"/>
      <c r="AX413" s="159"/>
      <c r="AY413" s="159"/>
    </row>
    <row r="414" spans="1:51" s="31" customFormat="1" ht="23.25" x14ac:dyDescent="0.35">
      <c r="A414" s="32"/>
      <c r="B414" s="32"/>
      <c r="C414" s="32"/>
      <c r="D414" s="32"/>
      <c r="E414" s="32"/>
      <c r="F414" s="32"/>
      <c r="G414" s="33"/>
      <c r="H414" s="32"/>
      <c r="I414" s="161"/>
      <c r="J414" s="161"/>
      <c r="K414" s="158"/>
      <c r="L414" s="158"/>
      <c r="M414" s="158"/>
      <c r="N414" s="158"/>
      <c r="O414" s="158"/>
      <c r="P414" s="158"/>
      <c r="Q414" s="34"/>
      <c r="R414" s="158"/>
      <c r="S414" s="161"/>
      <c r="T414" s="158"/>
      <c r="U414" s="158"/>
      <c r="V414" s="158"/>
      <c r="W414" s="158"/>
      <c r="X414" s="158"/>
      <c r="Y414" s="158"/>
      <c r="Z414" s="158"/>
      <c r="AA414" s="158"/>
      <c r="AB414" s="158"/>
      <c r="AC414" s="158"/>
      <c r="AD414" s="158"/>
      <c r="AE414" s="158"/>
      <c r="AF414" s="158"/>
      <c r="AG414" s="158"/>
      <c r="AH414" s="158"/>
      <c r="AI414" s="158"/>
      <c r="AJ414" s="159"/>
      <c r="AK414" s="159"/>
      <c r="AL414" s="159"/>
      <c r="AM414" s="159"/>
      <c r="AN414" s="159"/>
      <c r="AO414" s="159"/>
      <c r="AP414" s="159"/>
      <c r="AQ414" s="159"/>
      <c r="AR414" s="159"/>
      <c r="AS414" s="159"/>
      <c r="AT414" s="159"/>
      <c r="AU414" s="159"/>
      <c r="AV414" s="159"/>
      <c r="AW414" s="159"/>
      <c r="AX414" s="159"/>
      <c r="AY414" s="159"/>
    </row>
    <row r="415" spans="1:51" s="31" customFormat="1" ht="23.25" x14ac:dyDescent="0.35">
      <c r="A415" s="32"/>
      <c r="B415" s="32"/>
      <c r="C415" s="32"/>
      <c r="D415" s="32"/>
      <c r="E415" s="32"/>
      <c r="F415" s="32"/>
      <c r="G415" s="33"/>
      <c r="H415" s="32"/>
      <c r="I415" s="161"/>
      <c r="J415" s="161"/>
      <c r="K415" s="158"/>
      <c r="L415" s="158"/>
      <c r="M415" s="158"/>
      <c r="N415" s="158"/>
      <c r="O415" s="158"/>
      <c r="P415" s="158"/>
      <c r="Q415" s="34"/>
      <c r="R415" s="158"/>
      <c r="S415" s="161"/>
      <c r="T415" s="158"/>
      <c r="U415" s="158"/>
      <c r="V415" s="158"/>
      <c r="W415" s="158"/>
      <c r="X415" s="158"/>
      <c r="Y415" s="158"/>
      <c r="Z415" s="158"/>
      <c r="AA415" s="158"/>
      <c r="AB415" s="158"/>
      <c r="AC415" s="158"/>
      <c r="AD415" s="158"/>
      <c r="AE415" s="158"/>
      <c r="AF415" s="158"/>
      <c r="AG415" s="158"/>
      <c r="AH415" s="158"/>
      <c r="AI415" s="158"/>
      <c r="AJ415" s="159"/>
      <c r="AK415" s="159"/>
      <c r="AL415" s="159"/>
      <c r="AM415" s="159"/>
      <c r="AN415" s="159"/>
      <c r="AO415" s="159"/>
      <c r="AP415" s="159"/>
      <c r="AQ415" s="159"/>
      <c r="AR415" s="159"/>
      <c r="AS415" s="159"/>
      <c r="AT415" s="159"/>
      <c r="AU415" s="159"/>
      <c r="AV415" s="159"/>
      <c r="AW415" s="159"/>
      <c r="AX415" s="159"/>
      <c r="AY415" s="159"/>
    </row>
    <row r="416" spans="1:51" s="31" customFormat="1" ht="23.25" x14ac:dyDescent="0.35">
      <c r="A416" s="32"/>
      <c r="B416" s="32"/>
      <c r="C416" s="32"/>
      <c r="D416" s="32"/>
      <c r="E416" s="32"/>
      <c r="F416" s="32"/>
      <c r="G416" s="33"/>
      <c r="H416" s="32"/>
      <c r="I416" s="161"/>
      <c r="J416" s="161"/>
      <c r="K416" s="158"/>
      <c r="L416" s="158"/>
      <c r="M416" s="158"/>
      <c r="N416" s="158"/>
      <c r="O416" s="158"/>
      <c r="P416" s="158"/>
      <c r="Q416" s="34"/>
      <c r="R416" s="158"/>
      <c r="S416" s="161"/>
      <c r="T416" s="158"/>
      <c r="U416" s="158"/>
      <c r="V416" s="158"/>
      <c r="W416" s="158"/>
      <c r="X416" s="158"/>
      <c r="Y416" s="158"/>
      <c r="Z416" s="158"/>
      <c r="AA416" s="158"/>
      <c r="AB416" s="158"/>
      <c r="AC416" s="158"/>
      <c r="AD416" s="158"/>
      <c r="AE416" s="158"/>
      <c r="AF416" s="158"/>
      <c r="AG416" s="158"/>
      <c r="AH416" s="158"/>
      <c r="AI416" s="158"/>
      <c r="AJ416" s="159"/>
      <c r="AK416" s="159"/>
      <c r="AL416" s="159"/>
      <c r="AM416" s="159"/>
      <c r="AN416" s="159"/>
      <c r="AO416" s="159"/>
      <c r="AP416" s="159"/>
      <c r="AQ416" s="159"/>
      <c r="AR416" s="159"/>
      <c r="AS416" s="159"/>
      <c r="AT416" s="159"/>
      <c r="AU416" s="159"/>
      <c r="AV416" s="159"/>
      <c r="AW416" s="159"/>
      <c r="AX416" s="159"/>
      <c r="AY416" s="159"/>
    </row>
    <row r="417" spans="1:51" s="31" customFormat="1" ht="23.25" x14ac:dyDescent="0.35">
      <c r="A417" s="32"/>
      <c r="B417" s="32"/>
      <c r="C417" s="32"/>
      <c r="D417" s="32"/>
      <c r="E417" s="32"/>
      <c r="F417" s="32"/>
      <c r="G417" s="33"/>
      <c r="H417" s="32"/>
      <c r="I417" s="161"/>
      <c r="J417" s="161"/>
      <c r="K417" s="158"/>
      <c r="L417" s="158"/>
      <c r="M417" s="158"/>
      <c r="N417" s="158"/>
      <c r="O417" s="158"/>
      <c r="P417" s="158"/>
      <c r="Q417" s="34"/>
      <c r="R417" s="158"/>
      <c r="S417" s="161"/>
      <c r="T417" s="158"/>
      <c r="U417" s="158"/>
      <c r="V417" s="158"/>
      <c r="W417" s="158"/>
      <c r="X417" s="158"/>
      <c r="Y417" s="158"/>
      <c r="Z417" s="158"/>
      <c r="AA417" s="158"/>
      <c r="AB417" s="158"/>
      <c r="AC417" s="158"/>
      <c r="AD417" s="158"/>
      <c r="AE417" s="158"/>
      <c r="AF417" s="158"/>
      <c r="AG417" s="158"/>
      <c r="AH417" s="158"/>
      <c r="AI417" s="158"/>
      <c r="AJ417" s="159"/>
      <c r="AK417" s="159"/>
      <c r="AL417" s="159"/>
      <c r="AM417" s="159"/>
      <c r="AN417" s="159"/>
      <c r="AO417" s="159"/>
      <c r="AP417" s="159"/>
      <c r="AQ417" s="159"/>
      <c r="AR417" s="159"/>
      <c r="AS417" s="159"/>
      <c r="AT417" s="159"/>
      <c r="AU417" s="159"/>
      <c r="AV417" s="159"/>
      <c r="AW417" s="159"/>
      <c r="AX417" s="159"/>
      <c r="AY417" s="159"/>
    </row>
    <row r="418" spans="1:51" s="31" customFormat="1" ht="23.25" x14ac:dyDescent="0.35">
      <c r="A418" s="32"/>
      <c r="B418" s="32"/>
      <c r="C418" s="32"/>
      <c r="D418" s="32"/>
      <c r="E418" s="32"/>
      <c r="F418" s="32"/>
      <c r="G418" s="33"/>
      <c r="H418" s="32"/>
      <c r="I418" s="161"/>
      <c r="J418" s="161"/>
      <c r="K418" s="158"/>
      <c r="L418" s="158"/>
      <c r="M418" s="158"/>
      <c r="N418" s="158"/>
      <c r="O418" s="158"/>
      <c r="P418" s="158"/>
      <c r="Q418" s="34"/>
      <c r="R418" s="158"/>
      <c r="S418" s="161"/>
      <c r="T418" s="158"/>
      <c r="U418" s="158"/>
      <c r="V418" s="158"/>
      <c r="W418" s="158"/>
      <c r="X418" s="158"/>
      <c r="Y418" s="158"/>
      <c r="Z418" s="158"/>
      <c r="AA418" s="158"/>
      <c r="AB418" s="158"/>
      <c r="AC418" s="158"/>
      <c r="AD418" s="158"/>
      <c r="AE418" s="158"/>
      <c r="AF418" s="158"/>
      <c r="AG418" s="158"/>
      <c r="AH418" s="158"/>
      <c r="AI418" s="158"/>
      <c r="AJ418" s="159"/>
      <c r="AK418" s="159"/>
      <c r="AL418" s="159"/>
      <c r="AM418" s="159"/>
      <c r="AN418" s="159"/>
      <c r="AO418" s="159"/>
      <c r="AP418" s="159"/>
      <c r="AQ418" s="159"/>
      <c r="AR418" s="159"/>
      <c r="AS418" s="159"/>
      <c r="AT418" s="159"/>
      <c r="AU418" s="159"/>
      <c r="AV418" s="159"/>
      <c r="AW418" s="159"/>
      <c r="AX418" s="159"/>
      <c r="AY418" s="159"/>
    </row>
    <row r="419" spans="1:51" s="31" customFormat="1" ht="23.25" x14ac:dyDescent="0.35">
      <c r="A419" s="32"/>
      <c r="B419" s="32"/>
      <c r="C419" s="32"/>
      <c r="D419" s="32"/>
      <c r="E419" s="32"/>
      <c r="F419" s="32"/>
      <c r="G419" s="33"/>
      <c r="H419" s="32"/>
      <c r="I419" s="161"/>
      <c r="J419" s="161"/>
      <c r="K419" s="158"/>
      <c r="L419" s="158"/>
      <c r="M419" s="158"/>
      <c r="N419" s="158"/>
      <c r="O419" s="158"/>
      <c r="P419" s="158"/>
      <c r="Q419" s="34"/>
      <c r="R419" s="158"/>
      <c r="S419" s="161"/>
      <c r="T419" s="158"/>
      <c r="U419" s="158"/>
      <c r="V419" s="158"/>
      <c r="W419" s="158"/>
      <c r="X419" s="158"/>
      <c r="Y419" s="158"/>
      <c r="Z419" s="158"/>
      <c r="AA419" s="158"/>
      <c r="AB419" s="158"/>
      <c r="AC419" s="158"/>
      <c r="AD419" s="158"/>
      <c r="AE419" s="158"/>
      <c r="AF419" s="158"/>
      <c r="AG419" s="158"/>
      <c r="AH419" s="158"/>
      <c r="AI419" s="158"/>
      <c r="AJ419" s="159"/>
      <c r="AK419" s="159"/>
      <c r="AL419" s="159"/>
      <c r="AM419" s="159"/>
      <c r="AN419" s="159"/>
      <c r="AO419" s="159"/>
      <c r="AP419" s="159"/>
      <c r="AQ419" s="159"/>
      <c r="AR419" s="159"/>
      <c r="AS419" s="159"/>
      <c r="AT419" s="159"/>
      <c r="AU419" s="159"/>
      <c r="AV419" s="159"/>
      <c r="AW419" s="159"/>
      <c r="AX419" s="159"/>
      <c r="AY419" s="159"/>
    </row>
    <row r="420" spans="1:51" s="31" customFormat="1" ht="23.25" x14ac:dyDescent="0.35">
      <c r="A420" s="32"/>
      <c r="B420" s="32"/>
      <c r="C420" s="32"/>
      <c r="D420" s="32"/>
      <c r="E420" s="32"/>
      <c r="F420" s="32"/>
      <c r="G420" s="33"/>
      <c r="H420" s="32"/>
      <c r="I420" s="161"/>
      <c r="J420" s="161"/>
      <c r="K420" s="158"/>
      <c r="L420" s="158"/>
      <c r="M420" s="158"/>
      <c r="N420" s="158"/>
      <c r="O420" s="158"/>
      <c r="P420" s="158"/>
      <c r="Q420" s="34"/>
      <c r="R420" s="158"/>
      <c r="S420" s="161"/>
      <c r="T420" s="158"/>
      <c r="U420" s="158"/>
      <c r="V420" s="158"/>
      <c r="W420" s="158"/>
      <c r="X420" s="158"/>
      <c r="Y420" s="158"/>
      <c r="Z420" s="158"/>
      <c r="AA420" s="158"/>
      <c r="AB420" s="158"/>
      <c r="AC420" s="158"/>
      <c r="AD420" s="158"/>
      <c r="AE420" s="158"/>
      <c r="AF420" s="158"/>
      <c r="AG420" s="158"/>
      <c r="AH420" s="158"/>
      <c r="AI420" s="158"/>
      <c r="AJ420" s="159"/>
      <c r="AK420" s="159"/>
      <c r="AL420" s="159"/>
      <c r="AM420" s="159"/>
      <c r="AN420" s="159"/>
      <c r="AO420" s="159"/>
      <c r="AP420" s="159"/>
      <c r="AQ420" s="159"/>
      <c r="AR420" s="159"/>
      <c r="AS420" s="159"/>
      <c r="AT420" s="159"/>
      <c r="AU420" s="159"/>
      <c r="AV420" s="159"/>
      <c r="AW420" s="159"/>
      <c r="AX420" s="159"/>
      <c r="AY420" s="159"/>
    </row>
    <row r="421" spans="1:51" s="31" customFormat="1" ht="23.25" x14ac:dyDescent="0.35">
      <c r="A421" s="32"/>
      <c r="B421" s="32"/>
      <c r="C421" s="32"/>
      <c r="D421" s="32"/>
      <c r="E421" s="32"/>
      <c r="F421" s="32"/>
      <c r="G421" s="33"/>
      <c r="H421" s="32"/>
      <c r="I421" s="161"/>
      <c r="J421" s="161"/>
      <c r="K421" s="158"/>
      <c r="L421" s="158"/>
      <c r="M421" s="158"/>
      <c r="N421" s="158"/>
      <c r="O421" s="158"/>
      <c r="P421" s="158"/>
      <c r="Q421" s="34"/>
      <c r="R421" s="158"/>
      <c r="S421" s="161"/>
      <c r="T421" s="158"/>
      <c r="U421" s="158"/>
      <c r="V421" s="158"/>
      <c r="W421" s="158"/>
      <c r="X421" s="158"/>
      <c r="Y421" s="158"/>
      <c r="Z421" s="158"/>
      <c r="AA421" s="158"/>
      <c r="AB421" s="158"/>
      <c r="AC421" s="158"/>
      <c r="AD421" s="158"/>
      <c r="AE421" s="158"/>
      <c r="AF421" s="158"/>
      <c r="AG421" s="158"/>
      <c r="AH421" s="158"/>
      <c r="AI421" s="158"/>
      <c r="AJ421" s="159"/>
      <c r="AK421" s="159"/>
      <c r="AL421" s="159"/>
      <c r="AM421" s="159"/>
      <c r="AN421" s="159"/>
      <c r="AO421" s="159"/>
      <c r="AP421" s="159"/>
      <c r="AQ421" s="159"/>
      <c r="AR421" s="159"/>
      <c r="AS421" s="159"/>
      <c r="AT421" s="159"/>
      <c r="AU421" s="159"/>
      <c r="AV421" s="159"/>
      <c r="AW421" s="159"/>
      <c r="AX421" s="159"/>
      <c r="AY421" s="159"/>
    </row>
    <row r="422" spans="1:51" s="31" customFormat="1" ht="23.25" x14ac:dyDescent="0.35">
      <c r="A422" s="32"/>
      <c r="B422" s="32"/>
      <c r="C422" s="32"/>
      <c r="D422" s="32"/>
      <c r="E422" s="32"/>
      <c r="F422" s="32"/>
      <c r="G422" s="33"/>
      <c r="H422" s="32"/>
      <c r="I422" s="161"/>
      <c r="J422" s="161"/>
      <c r="K422" s="158"/>
      <c r="L422" s="158"/>
      <c r="M422" s="158"/>
      <c r="N422" s="158"/>
      <c r="O422" s="158"/>
      <c r="P422" s="158"/>
      <c r="Q422" s="34"/>
      <c r="R422" s="158"/>
      <c r="S422" s="161"/>
      <c r="T422" s="158"/>
      <c r="U422" s="158"/>
      <c r="V422" s="158"/>
      <c r="W422" s="158"/>
      <c r="X422" s="158"/>
      <c r="Y422" s="158"/>
      <c r="Z422" s="158"/>
      <c r="AA422" s="158"/>
      <c r="AB422" s="158"/>
      <c r="AC422" s="158"/>
      <c r="AD422" s="158"/>
      <c r="AE422" s="158"/>
      <c r="AF422" s="158"/>
      <c r="AG422" s="158"/>
      <c r="AH422" s="158"/>
      <c r="AI422" s="158"/>
      <c r="AJ422" s="159"/>
      <c r="AK422" s="159"/>
      <c r="AL422" s="159"/>
      <c r="AM422" s="159"/>
      <c r="AN422" s="159"/>
      <c r="AO422" s="159"/>
      <c r="AP422" s="159"/>
      <c r="AQ422" s="159"/>
      <c r="AR422" s="159"/>
      <c r="AS422" s="159"/>
      <c r="AT422" s="159"/>
      <c r="AU422" s="159"/>
      <c r="AV422" s="159"/>
      <c r="AW422" s="159"/>
      <c r="AX422" s="159"/>
      <c r="AY422" s="159"/>
    </row>
    <row r="423" spans="1:51" s="31" customFormat="1" ht="23.25" x14ac:dyDescent="0.35">
      <c r="A423" s="32"/>
      <c r="B423" s="32"/>
      <c r="C423" s="32"/>
      <c r="D423" s="32"/>
      <c r="E423" s="32"/>
      <c r="F423" s="32"/>
      <c r="G423" s="33"/>
      <c r="H423" s="32"/>
      <c r="I423" s="161"/>
      <c r="J423" s="161"/>
      <c r="K423" s="158"/>
      <c r="L423" s="158"/>
      <c r="M423" s="158"/>
      <c r="N423" s="158"/>
      <c r="O423" s="158"/>
      <c r="P423" s="158"/>
      <c r="Q423" s="34"/>
      <c r="R423" s="158"/>
      <c r="S423" s="161"/>
      <c r="T423" s="158"/>
      <c r="U423" s="158"/>
      <c r="V423" s="158"/>
      <c r="W423" s="158"/>
      <c r="X423" s="158"/>
      <c r="Y423" s="158"/>
      <c r="Z423" s="158"/>
      <c r="AA423" s="158"/>
      <c r="AB423" s="158"/>
      <c r="AC423" s="158"/>
      <c r="AD423" s="158"/>
      <c r="AE423" s="158"/>
      <c r="AF423" s="158"/>
      <c r="AG423" s="158"/>
      <c r="AH423" s="158"/>
      <c r="AI423" s="158"/>
      <c r="AJ423" s="159"/>
      <c r="AK423" s="159"/>
      <c r="AL423" s="159"/>
      <c r="AM423" s="159"/>
      <c r="AN423" s="159"/>
      <c r="AO423" s="159"/>
      <c r="AP423" s="159"/>
      <c r="AQ423" s="159"/>
      <c r="AR423" s="159"/>
      <c r="AS423" s="159"/>
      <c r="AT423" s="159"/>
      <c r="AU423" s="159"/>
      <c r="AV423" s="159"/>
      <c r="AW423" s="159"/>
      <c r="AX423" s="159"/>
      <c r="AY423" s="159"/>
    </row>
    <row r="424" spans="1:51" s="31" customFormat="1" ht="23.25" x14ac:dyDescent="0.35">
      <c r="A424" s="32"/>
      <c r="B424" s="32"/>
      <c r="C424" s="32"/>
      <c r="D424" s="32"/>
      <c r="E424" s="32"/>
      <c r="F424" s="32"/>
      <c r="G424" s="33"/>
      <c r="H424" s="32"/>
      <c r="I424" s="161"/>
      <c r="J424" s="161"/>
      <c r="K424" s="158"/>
      <c r="L424" s="158"/>
      <c r="M424" s="158"/>
      <c r="N424" s="158"/>
      <c r="O424" s="158"/>
      <c r="P424" s="158"/>
      <c r="Q424" s="34"/>
      <c r="R424" s="158"/>
      <c r="S424" s="161"/>
      <c r="T424" s="158"/>
      <c r="U424" s="158"/>
      <c r="V424" s="158"/>
      <c r="W424" s="158"/>
      <c r="X424" s="158"/>
      <c r="Y424" s="158"/>
      <c r="Z424" s="158"/>
      <c r="AA424" s="158"/>
      <c r="AB424" s="158"/>
      <c r="AC424" s="158"/>
      <c r="AD424" s="158"/>
      <c r="AE424" s="158"/>
      <c r="AF424" s="158"/>
      <c r="AG424" s="158"/>
      <c r="AH424" s="158"/>
      <c r="AI424" s="158"/>
      <c r="AJ424" s="159"/>
      <c r="AK424" s="159"/>
      <c r="AL424" s="159"/>
      <c r="AM424" s="159"/>
      <c r="AN424" s="159"/>
      <c r="AO424" s="159"/>
      <c r="AP424" s="159"/>
      <c r="AQ424" s="159"/>
      <c r="AR424" s="159"/>
      <c r="AS424" s="159"/>
      <c r="AT424" s="159"/>
      <c r="AU424" s="159"/>
      <c r="AV424" s="159"/>
      <c r="AW424" s="159"/>
      <c r="AX424" s="159"/>
      <c r="AY424" s="159"/>
    </row>
    <row r="425" spans="1:51" s="31" customFormat="1" ht="23.25" x14ac:dyDescent="0.35">
      <c r="A425" s="32"/>
      <c r="B425" s="32"/>
      <c r="C425" s="32"/>
      <c r="D425" s="32"/>
      <c r="E425" s="32"/>
      <c r="F425" s="32"/>
      <c r="G425" s="33"/>
      <c r="H425" s="32"/>
      <c r="I425" s="161"/>
      <c r="J425" s="161"/>
      <c r="K425" s="158"/>
      <c r="L425" s="158"/>
      <c r="M425" s="158"/>
      <c r="N425" s="158"/>
      <c r="O425" s="158"/>
      <c r="P425" s="158"/>
      <c r="Q425" s="34"/>
      <c r="R425" s="158"/>
      <c r="S425" s="161"/>
      <c r="T425" s="158"/>
      <c r="U425" s="158"/>
      <c r="V425" s="158"/>
      <c r="W425" s="158"/>
      <c r="X425" s="158"/>
      <c r="Y425" s="158"/>
      <c r="Z425" s="158"/>
      <c r="AA425" s="158"/>
      <c r="AB425" s="158"/>
      <c r="AC425" s="158"/>
      <c r="AD425" s="158"/>
      <c r="AE425" s="158"/>
      <c r="AF425" s="158"/>
      <c r="AG425" s="158"/>
      <c r="AH425" s="158"/>
      <c r="AI425" s="158"/>
      <c r="AJ425" s="159"/>
      <c r="AK425" s="159"/>
      <c r="AL425" s="159"/>
      <c r="AM425" s="159"/>
      <c r="AN425" s="159"/>
      <c r="AO425" s="159"/>
      <c r="AP425" s="159"/>
      <c r="AQ425" s="159"/>
      <c r="AR425" s="159"/>
      <c r="AS425" s="159"/>
      <c r="AT425" s="159"/>
      <c r="AU425" s="159"/>
      <c r="AV425" s="159"/>
      <c r="AW425" s="159"/>
      <c r="AX425" s="159"/>
      <c r="AY425" s="159"/>
    </row>
    <row r="426" spans="1:51" s="31" customFormat="1" ht="23.25" x14ac:dyDescent="0.35">
      <c r="A426" s="32"/>
      <c r="B426" s="32"/>
      <c r="C426" s="32"/>
      <c r="D426" s="32"/>
      <c r="E426" s="32"/>
      <c r="F426" s="32"/>
      <c r="G426" s="33"/>
      <c r="H426" s="32"/>
      <c r="I426" s="161"/>
      <c r="J426" s="161"/>
      <c r="K426" s="158"/>
      <c r="L426" s="158"/>
      <c r="M426" s="158"/>
      <c r="N426" s="158"/>
      <c r="O426" s="158"/>
      <c r="P426" s="158"/>
      <c r="Q426" s="34"/>
      <c r="R426" s="158"/>
      <c r="S426" s="161"/>
      <c r="T426" s="158"/>
      <c r="U426" s="158"/>
      <c r="V426" s="158"/>
      <c r="W426" s="158"/>
      <c r="X426" s="158"/>
      <c r="Y426" s="158"/>
      <c r="Z426" s="158"/>
      <c r="AA426" s="158"/>
      <c r="AB426" s="158"/>
      <c r="AC426" s="158"/>
      <c r="AD426" s="158"/>
      <c r="AE426" s="158"/>
      <c r="AF426" s="158"/>
      <c r="AG426" s="158"/>
      <c r="AH426" s="158"/>
      <c r="AI426" s="158"/>
      <c r="AJ426" s="159"/>
      <c r="AK426" s="159"/>
      <c r="AL426" s="159"/>
      <c r="AM426" s="159"/>
      <c r="AN426" s="159"/>
      <c r="AO426" s="159"/>
      <c r="AP426" s="159"/>
      <c r="AQ426" s="159"/>
      <c r="AR426" s="159"/>
      <c r="AS426" s="159"/>
      <c r="AT426" s="159"/>
      <c r="AU426" s="159"/>
      <c r="AV426" s="159"/>
      <c r="AW426" s="159"/>
      <c r="AX426" s="159"/>
      <c r="AY426" s="159"/>
    </row>
    <row r="427" spans="1:51" s="31" customFormat="1" ht="23.25" x14ac:dyDescent="0.35">
      <c r="A427" s="32"/>
      <c r="B427" s="32"/>
      <c r="C427" s="32"/>
      <c r="D427" s="32"/>
      <c r="E427" s="32"/>
      <c r="F427" s="32"/>
      <c r="G427" s="33"/>
      <c r="H427" s="32"/>
      <c r="I427" s="161"/>
      <c r="J427" s="161"/>
      <c r="K427" s="158"/>
      <c r="L427" s="158"/>
      <c r="M427" s="158"/>
      <c r="N427" s="158"/>
      <c r="O427" s="158"/>
      <c r="P427" s="158"/>
      <c r="Q427" s="34"/>
      <c r="R427" s="158"/>
      <c r="S427" s="161"/>
      <c r="T427" s="158"/>
      <c r="U427" s="158"/>
      <c r="V427" s="158"/>
      <c r="W427" s="158"/>
      <c r="X427" s="158"/>
      <c r="Y427" s="158"/>
      <c r="Z427" s="158"/>
      <c r="AA427" s="158"/>
      <c r="AB427" s="158"/>
      <c r="AC427" s="158"/>
      <c r="AD427" s="158"/>
      <c r="AE427" s="158"/>
      <c r="AF427" s="158"/>
      <c r="AG427" s="158"/>
      <c r="AH427" s="158"/>
      <c r="AI427" s="158"/>
      <c r="AJ427" s="159"/>
      <c r="AK427" s="159"/>
      <c r="AL427" s="159"/>
      <c r="AM427" s="159"/>
      <c r="AN427" s="159"/>
      <c r="AO427" s="159"/>
      <c r="AP427" s="159"/>
      <c r="AQ427" s="159"/>
      <c r="AR427" s="159"/>
      <c r="AS427" s="159"/>
      <c r="AT427" s="159"/>
      <c r="AU427" s="159"/>
      <c r="AV427" s="159"/>
      <c r="AW427" s="159"/>
      <c r="AX427" s="159"/>
      <c r="AY427" s="159"/>
    </row>
    <row r="428" spans="1:51" s="31" customFormat="1" ht="23.25" x14ac:dyDescent="0.35">
      <c r="A428" s="32"/>
      <c r="B428" s="32"/>
      <c r="C428" s="32"/>
      <c r="D428" s="32"/>
      <c r="E428" s="32"/>
      <c r="F428" s="32"/>
      <c r="G428" s="33"/>
      <c r="H428" s="32"/>
      <c r="I428" s="161"/>
      <c r="J428" s="161"/>
      <c r="K428" s="158"/>
      <c r="L428" s="158"/>
      <c r="M428" s="158"/>
      <c r="N428" s="158"/>
      <c r="O428" s="158"/>
      <c r="P428" s="158"/>
      <c r="Q428" s="34"/>
      <c r="R428" s="158"/>
      <c r="S428" s="161"/>
      <c r="T428" s="158"/>
      <c r="U428" s="158"/>
      <c r="V428" s="158"/>
      <c r="W428" s="158"/>
      <c r="X428" s="158"/>
      <c r="Y428" s="158"/>
      <c r="Z428" s="158"/>
      <c r="AA428" s="158"/>
      <c r="AB428" s="158"/>
      <c r="AC428" s="158"/>
      <c r="AD428" s="158"/>
      <c r="AE428" s="158"/>
      <c r="AF428" s="158"/>
      <c r="AG428" s="158"/>
      <c r="AH428" s="158"/>
      <c r="AI428" s="158"/>
      <c r="AJ428" s="159"/>
      <c r="AK428" s="159"/>
      <c r="AL428" s="159"/>
      <c r="AM428" s="159"/>
      <c r="AN428" s="159"/>
      <c r="AO428" s="159"/>
      <c r="AP428" s="159"/>
      <c r="AQ428" s="159"/>
      <c r="AR428" s="159"/>
      <c r="AS428" s="159"/>
      <c r="AT428" s="159"/>
      <c r="AU428" s="159"/>
      <c r="AV428" s="159"/>
      <c r="AW428" s="159"/>
      <c r="AX428" s="159"/>
      <c r="AY428" s="159"/>
    </row>
    <row r="429" spans="1:51" s="31" customFormat="1" ht="23.25" x14ac:dyDescent="0.35">
      <c r="A429" s="32"/>
      <c r="B429" s="32"/>
      <c r="C429" s="32"/>
      <c r="D429" s="32"/>
      <c r="E429" s="32"/>
      <c r="F429" s="32"/>
      <c r="G429" s="33"/>
      <c r="H429" s="32"/>
      <c r="I429" s="161"/>
      <c r="J429" s="161"/>
      <c r="K429" s="158"/>
      <c r="L429" s="158"/>
      <c r="M429" s="158"/>
      <c r="N429" s="158"/>
      <c r="O429" s="158"/>
      <c r="P429" s="158"/>
      <c r="Q429" s="34"/>
      <c r="R429" s="158"/>
      <c r="S429" s="161"/>
      <c r="T429" s="158"/>
      <c r="U429" s="158"/>
      <c r="V429" s="158"/>
      <c r="W429" s="158"/>
      <c r="X429" s="158"/>
      <c r="Y429" s="158"/>
      <c r="Z429" s="158"/>
      <c r="AA429" s="158"/>
      <c r="AB429" s="158"/>
      <c r="AC429" s="158"/>
      <c r="AD429" s="158"/>
      <c r="AE429" s="158"/>
      <c r="AF429" s="158"/>
      <c r="AG429" s="158"/>
      <c r="AH429" s="158"/>
      <c r="AI429" s="158"/>
      <c r="AJ429" s="159"/>
      <c r="AK429" s="159"/>
      <c r="AL429" s="159"/>
      <c r="AM429" s="159"/>
      <c r="AN429" s="159"/>
      <c r="AO429" s="159"/>
      <c r="AP429" s="159"/>
      <c r="AQ429" s="159"/>
      <c r="AR429" s="159"/>
      <c r="AS429" s="159"/>
      <c r="AT429" s="159"/>
      <c r="AU429" s="159"/>
      <c r="AV429" s="159"/>
      <c r="AW429" s="159"/>
      <c r="AX429" s="159"/>
      <c r="AY429" s="159"/>
    </row>
    <row r="430" spans="1:51" s="31" customFormat="1" ht="23.25" x14ac:dyDescent="0.35">
      <c r="A430" s="32"/>
      <c r="B430" s="32"/>
      <c r="C430" s="32"/>
      <c r="D430" s="32"/>
      <c r="E430" s="32"/>
      <c r="F430" s="32"/>
      <c r="G430" s="33"/>
      <c r="H430" s="32"/>
      <c r="I430" s="161"/>
      <c r="J430" s="161"/>
      <c r="K430" s="158"/>
      <c r="L430" s="158"/>
      <c r="M430" s="158"/>
      <c r="N430" s="158"/>
      <c r="O430" s="158"/>
      <c r="P430" s="158"/>
      <c r="Q430" s="34"/>
      <c r="R430" s="158"/>
      <c r="S430" s="161"/>
      <c r="T430" s="158"/>
      <c r="U430" s="158"/>
      <c r="V430" s="158"/>
      <c r="W430" s="158"/>
      <c r="X430" s="158"/>
      <c r="Y430" s="158"/>
      <c r="Z430" s="158"/>
      <c r="AA430" s="158"/>
      <c r="AB430" s="158"/>
      <c r="AC430" s="158"/>
      <c r="AD430" s="158"/>
      <c r="AE430" s="158"/>
      <c r="AF430" s="158"/>
      <c r="AG430" s="158"/>
      <c r="AH430" s="158"/>
      <c r="AI430" s="158"/>
      <c r="AJ430" s="159"/>
      <c r="AK430" s="159"/>
      <c r="AL430" s="159"/>
      <c r="AM430" s="159"/>
      <c r="AN430" s="159"/>
      <c r="AO430" s="159"/>
      <c r="AP430" s="159"/>
      <c r="AQ430" s="159"/>
      <c r="AR430" s="159"/>
      <c r="AS430" s="159"/>
      <c r="AT430" s="159"/>
      <c r="AU430" s="159"/>
      <c r="AV430" s="159"/>
      <c r="AW430" s="159"/>
      <c r="AX430" s="159"/>
      <c r="AY430" s="159"/>
    </row>
    <row r="431" spans="1:51" s="31" customFormat="1" ht="23.25" x14ac:dyDescent="0.35">
      <c r="A431" s="32"/>
      <c r="B431" s="32"/>
      <c r="C431" s="32"/>
      <c r="D431" s="32"/>
      <c r="E431" s="32"/>
      <c r="F431" s="32"/>
      <c r="G431" s="33"/>
      <c r="H431" s="32"/>
      <c r="I431" s="161"/>
      <c r="J431" s="161"/>
      <c r="K431" s="158"/>
      <c r="L431" s="158"/>
      <c r="M431" s="158"/>
      <c r="N431" s="158"/>
      <c r="O431" s="158"/>
      <c r="P431" s="158"/>
      <c r="Q431" s="34"/>
      <c r="R431" s="158"/>
      <c r="S431" s="161"/>
      <c r="T431" s="158"/>
      <c r="U431" s="158"/>
      <c r="V431" s="158"/>
      <c r="W431" s="158"/>
      <c r="X431" s="158"/>
      <c r="Y431" s="158"/>
      <c r="Z431" s="158"/>
      <c r="AA431" s="158"/>
      <c r="AB431" s="158"/>
      <c r="AC431" s="158"/>
      <c r="AD431" s="158"/>
      <c r="AE431" s="158"/>
      <c r="AF431" s="158"/>
      <c r="AG431" s="158"/>
      <c r="AH431" s="158"/>
      <c r="AI431" s="158"/>
      <c r="AJ431" s="159"/>
      <c r="AK431" s="159"/>
      <c r="AL431" s="159"/>
      <c r="AM431" s="159"/>
      <c r="AN431" s="159"/>
      <c r="AO431" s="159"/>
      <c r="AP431" s="159"/>
      <c r="AQ431" s="159"/>
      <c r="AR431" s="159"/>
      <c r="AS431" s="159"/>
      <c r="AT431" s="159"/>
      <c r="AU431" s="159"/>
      <c r="AV431" s="159"/>
      <c r="AW431" s="159"/>
      <c r="AX431" s="159"/>
      <c r="AY431" s="159"/>
    </row>
    <row r="432" spans="1:51" s="31" customFormat="1" ht="23.25" x14ac:dyDescent="0.35">
      <c r="A432" s="32"/>
      <c r="B432" s="32"/>
      <c r="C432" s="32"/>
      <c r="D432" s="32"/>
      <c r="E432" s="32"/>
      <c r="F432" s="32"/>
      <c r="G432" s="33"/>
      <c r="H432" s="32"/>
      <c r="I432" s="161"/>
      <c r="J432" s="161"/>
      <c r="K432" s="158"/>
      <c r="L432" s="158"/>
      <c r="M432" s="158"/>
      <c r="N432" s="158"/>
      <c r="O432" s="158"/>
      <c r="P432" s="158"/>
      <c r="Q432" s="34"/>
      <c r="R432" s="158"/>
      <c r="S432" s="161"/>
      <c r="T432" s="158"/>
      <c r="U432" s="158"/>
      <c r="V432" s="158"/>
      <c r="W432" s="158"/>
      <c r="X432" s="158"/>
      <c r="Y432" s="158"/>
      <c r="Z432" s="158"/>
      <c r="AA432" s="158"/>
      <c r="AB432" s="158"/>
      <c r="AC432" s="158"/>
      <c r="AD432" s="158"/>
      <c r="AE432" s="158"/>
      <c r="AF432" s="158"/>
      <c r="AG432" s="158"/>
      <c r="AH432" s="158"/>
      <c r="AI432" s="158"/>
      <c r="AJ432" s="159"/>
      <c r="AK432" s="159"/>
      <c r="AL432" s="159"/>
      <c r="AM432" s="159"/>
      <c r="AN432" s="159"/>
      <c r="AO432" s="159"/>
      <c r="AP432" s="159"/>
      <c r="AQ432" s="159"/>
      <c r="AR432" s="159"/>
      <c r="AS432" s="159"/>
      <c r="AT432" s="159"/>
      <c r="AU432" s="159"/>
      <c r="AV432" s="159"/>
      <c r="AW432" s="159"/>
      <c r="AX432" s="159"/>
      <c r="AY432" s="159"/>
    </row>
    <row r="433" spans="1:51" s="31" customFormat="1" ht="23.25" x14ac:dyDescent="0.35">
      <c r="A433" s="32"/>
      <c r="B433" s="32"/>
      <c r="C433" s="32"/>
      <c r="D433" s="32"/>
      <c r="E433" s="32"/>
      <c r="F433" s="32"/>
      <c r="G433" s="33"/>
      <c r="H433" s="32"/>
      <c r="I433" s="161"/>
      <c r="J433" s="161"/>
      <c r="K433" s="158"/>
      <c r="L433" s="158"/>
      <c r="M433" s="158"/>
      <c r="N433" s="158"/>
      <c r="O433" s="158"/>
      <c r="P433" s="158"/>
      <c r="Q433" s="34"/>
      <c r="R433" s="158"/>
      <c r="S433" s="161"/>
      <c r="T433" s="158"/>
      <c r="U433" s="158"/>
      <c r="V433" s="158"/>
      <c r="W433" s="158"/>
      <c r="X433" s="158"/>
      <c r="Y433" s="158"/>
      <c r="Z433" s="158"/>
      <c r="AA433" s="158"/>
      <c r="AB433" s="158"/>
      <c r="AC433" s="158"/>
      <c r="AD433" s="158"/>
      <c r="AE433" s="158"/>
      <c r="AF433" s="158"/>
      <c r="AG433" s="158"/>
      <c r="AH433" s="158"/>
      <c r="AI433" s="158"/>
      <c r="AJ433" s="159"/>
      <c r="AK433" s="159"/>
      <c r="AL433" s="159"/>
      <c r="AM433" s="159"/>
      <c r="AN433" s="159"/>
      <c r="AO433" s="159"/>
      <c r="AP433" s="159"/>
      <c r="AQ433" s="159"/>
      <c r="AR433" s="159"/>
      <c r="AS433" s="159"/>
      <c r="AT433" s="159"/>
      <c r="AU433" s="159"/>
      <c r="AV433" s="159"/>
      <c r="AW433" s="159"/>
      <c r="AX433" s="159"/>
      <c r="AY433" s="159"/>
    </row>
    <row r="434" spans="1:51" s="31" customFormat="1" ht="23.25" x14ac:dyDescent="0.35">
      <c r="A434" s="32"/>
      <c r="B434" s="32"/>
      <c r="C434" s="32"/>
      <c r="D434" s="32"/>
      <c r="E434" s="32"/>
      <c r="F434" s="32"/>
      <c r="G434" s="33"/>
      <c r="H434" s="32"/>
      <c r="I434" s="161"/>
      <c r="J434" s="161"/>
      <c r="K434" s="158"/>
      <c r="L434" s="158"/>
      <c r="M434" s="158"/>
      <c r="N434" s="158"/>
      <c r="O434" s="158"/>
      <c r="P434" s="158"/>
      <c r="Q434" s="34"/>
      <c r="R434" s="158"/>
      <c r="S434" s="161"/>
      <c r="T434" s="158"/>
      <c r="U434" s="158"/>
      <c r="V434" s="158"/>
      <c r="W434" s="158"/>
      <c r="X434" s="158"/>
      <c r="Y434" s="158"/>
      <c r="Z434" s="158"/>
      <c r="AA434" s="158"/>
      <c r="AB434" s="158"/>
      <c r="AC434" s="158"/>
      <c r="AD434" s="158"/>
      <c r="AE434" s="158"/>
      <c r="AF434" s="158"/>
      <c r="AG434" s="158"/>
      <c r="AH434" s="158"/>
      <c r="AI434" s="158"/>
      <c r="AJ434" s="159"/>
      <c r="AK434" s="159"/>
      <c r="AL434" s="159"/>
      <c r="AM434" s="159"/>
      <c r="AN434" s="159"/>
      <c r="AO434" s="159"/>
      <c r="AP434" s="159"/>
      <c r="AQ434" s="159"/>
      <c r="AR434" s="159"/>
      <c r="AS434" s="159"/>
      <c r="AT434" s="159"/>
      <c r="AU434" s="159"/>
      <c r="AV434" s="159"/>
      <c r="AW434" s="159"/>
      <c r="AX434" s="159"/>
      <c r="AY434" s="159"/>
    </row>
    <row r="435" spans="1:51" s="31" customFormat="1" ht="23.25" x14ac:dyDescent="0.35">
      <c r="A435" s="32"/>
      <c r="B435" s="32"/>
      <c r="C435" s="32"/>
      <c r="D435" s="32"/>
      <c r="E435" s="32"/>
      <c r="F435" s="32"/>
      <c r="G435" s="33"/>
      <c r="H435" s="32"/>
      <c r="I435" s="161"/>
      <c r="J435" s="161"/>
      <c r="K435" s="158"/>
      <c r="L435" s="158"/>
      <c r="M435" s="158"/>
      <c r="N435" s="158"/>
      <c r="O435" s="158"/>
      <c r="P435" s="158"/>
      <c r="Q435" s="34"/>
      <c r="R435" s="158"/>
      <c r="S435" s="161"/>
      <c r="T435" s="158"/>
      <c r="U435" s="158"/>
      <c r="V435" s="158"/>
      <c r="W435" s="158"/>
      <c r="X435" s="158"/>
      <c r="Y435" s="158"/>
      <c r="Z435" s="158"/>
      <c r="AA435" s="158"/>
      <c r="AB435" s="158"/>
      <c r="AC435" s="158"/>
      <c r="AD435" s="158"/>
      <c r="AE435" s="158"/>
      <c r="AF435" s="158"/>
      <c r="AG435" s="158"/>
      <c r="AH435" s="158"/>
      <c r="AI435" s="158"/>
      <c r="AJ435" s="159"/>
      <c r="AK435" s="159"/>
      <c r="AL435" s="159"/>
      <c r="AM435" s="159"/>
      <c r="AN435" s="159"/>
      <c r="AO435" s="159"/>
      <c r="AP435" s="159"/>
      <c r="AQ435" s="159"/>
      <c r="AR435" s="159"/>
      <c r="AS435" s="159"/>
      <c r="AT435" s="159"/>
      <c r="AU435" s="159"/>
      <c r="AV435" s="159"/>
      <c r="AW435" s="159"/>
      <c r="AX435" s="159"/>
      <c r="AY435" s="159"/>
    </row>
    <row r="436" spans="1:51" s="31" customFormat="1" ht="23.25" x14ac:dyDescent="0.35">
      <c r="A436" s="32"/>
      <c r="B436" s="32"/>
      <c r="C436" s="32"/>
      <c r="D436" s="32"/>
      <c r="E436" s="32"/>
      <c r="F436" s="32"/>
      <c r="G436" s="33"/>
      <c r="H436" s="32"/>
      <c r="I436" s="161"/>
      <c r="J436" s="161"/>
      <c r="K436" s="158"/>
      <c r="L436" s="158"/>
      <c r="M436" s="158"/>
      <c r="N436" s="158"/>
      <c r="O436" s="158"/>
      <c r="P436" s="158"/>
      <c r="Q436" s="34"/>
      <c r="R436" s="158"/>
      <c r="S436" s="161"/>
      <c r="T436" s="158"/>
      <c r="U436" s="158"/>
      <c r="V436" s="158"/>
      <c r="W436" s="158"/>
      <c r="X436" s="158"/>
      <c r="Y436" s="158"/>
      <c r="Z436" s="158"/>
      <c r="AA436" s="158"/>
      <c r="AB436" s="158"/>
      <c r="AC436" s="158"/>
      <c r="AD436" s="158"/>
      <c r="AE436" s="158"/>
      <c r="AF436" s="158"/>
      <c r="AG436" s="158"/>
      <c r="AH436" s="158"/>
      <c r="AI436" s="158"/>
      <c r="AJ436" s="159"/>
      <c r="AK436" s="159"/>
      <c r="AL436" s="159"/>
      <c r="AM436" s="159"/>
      <c r="AN436" s="159"/>
      <c r="AO436" s="159"/>
      <c r="AP436" s="159"/>
      <c r="AQ436" s="159"/>
      <c r="AR436" s="159"/>
      <c r="AS436" s="159"/>
      <c r="AT436" s="159"/>
      <c r="AU436" s="159"/>
      <c r="AV436" s="159"/>
      <c r="AW436" s="159"/>
      <c r="AX436" s="159"/>
      <c r="AY436" s="159"/>
    </row>
    <row r="437" spans="1:51" s="31" customFormat="1" ht="23.25" x14ac:dyDescent="0.35">
      <c r="A437" s="32"/>
      <c r="B437" s="32"/>
      <c r="C437" s="32"/>
      <c r="D437" s="32"/>
      <c r="E437" s="32"/>
      <c r="F437" s="32"/>
      <c r="G437" s="33"/>
      <c r="H437" s="32"/>
      <c r="I437" s="161"/>
      <c r="J437" s="161"/>
      <c r="K437" s="158"/>
      <c r="L437" s="158"/>
      <c r="M437" s="158"/>
      <c r="N437" s="158"/>
      <c r="O437" s="158"/>
      <c r="P437" s="158"/>
      <c r="Q437" s="34"/>
      <c r="R437" s="158"/>
      <c r="S437" s="161"/>
      <c r="T437" s="158"/>
      <c r="U437" s="158"/>
      <c r="V437" s="158"/>
      <c r="W437" s="158"/>
      <c r="X437" s="158"/>
      <c r="Y437" s="158"/>
      <c r="Z437" s="158"/>
      <c r="AA437" s="158"/>
      <c r="AB437" s="158"/>
      <c r="AC437" s="158"/>
      <c r="AD437" s="158"/>
      <c r="AE437" s="158"/>
      <c r="AF437" s="158"/>
      <c r="AG437" s="158"/>
      <c r="AH437" s="158"/>
      <c r="AI437" s="158"/>
      <c r="AJ437" s="159"/>
      <c r="AK437" s="159"/>
      <c r="AL437" s="159"/>
      <c r="AM437" s="159"/>
      <c r="AN437" s="159"/>
      <c r="AO437" s="159"/>
      <c r="AP437" s="159"/>
      <c r="AQ437" s="159"/>
      <c r="AR437" s="159"/>
      <c r="AS437" s="159"/>
      <c r="AT437" s="159"/>
      <c r="AU437" s="159"/>
      <c r="AV437" s="159"/>
      <c r="AW437" s="159"/>
      <c r="AX437" s="159"/>
      <c r="AY437" s="159"/>
    </row>
    <row r="438" spans="1:51" s="31" customFormat="1" ht="23.25" x14ac:dyDescent="0.35">
      <c r="A438" s="32"/>
      <c r="B438" s="32"/>
      <c r="C438" s="32"/>
      <c r="D438" s="32"/>
      <c r="E438" s="32"/>
      <c r="F438" s="32"/>
      <c r="G438" s="33"/>
      <c r="H438" s="32"/>
      <c r="I438" s="161"/>
      <c r="J438" s="161"/>
      <c r="K438" s="158"/>
      <c r="L438" s="158"/>
      <c r="M438" s="158"/>
      <c r="N438" s="158"/>
      <c r="O438" s="158"/>
      <c r="P438" s="158"/>
      <c r="Q438" s="34"/>
      <c r="R438" s="158"/>
      <c r="S438" s="161"/>
      <c r="T438" s="158"/>
      <c r="U438" s="158"/>
      <c r="V438" s="158"/>
      <c r="W438" s="158"/>
      <c r="X438" s="158"/>
      <c r="Y438" s="158"/>
      <c r="Z438" s="158"/>
      <c r="AA438" s="158"/>
      <c r="AB438" s="158"/>
      <c r="AC438" s="158"/>
      <c r="AD438" s="158"/>
      <c r="AE438" s="158"/>
      <c r="AF438" s="158"/>
      <c r="AG438" s="158"/>
      <c r="AH438" s="158"/>
      <c r="AI438" s="158"/>
      <c r="AJ438" s="159"/>
      <c r="AK438" s="159"/>
      <c r="AL438" s="159"/>
      <c r="AM438" s="159"/>
      <c r="AN438" s="159"/>
      <c r="AO438" s="159"/>
      <c r="AP438" s="159"/>
      <c r="AQ438" s="159"/>
      <c r="AR438" s="159"/>
      <c r="AS438" s="159"/>
      <c r="AT438" s="159"/>
      <c r="AU438" s="159"/>
      <c r="AV438" s="159"/>
      <c r="AW438" s="159"/>
      <c r="AX438" s="159"/>
      <c r="AY438" s="159"/>
    </row>
    <row r="439" spans="1:51" s="31" customFormat="1" ht="23.25" x14ac:dyDescent="0.35">
      <c r="A439" s="32"/>
      <c r="B439" s="32"/>
      <c r="C439" s="32"/>
      <c r="D439" s="32"/>
      <c r="E439" s="32"/>
      <c r="F439" s="32"/>
      <c r="G439" s="33"/>
      <c r="H439" s="32"/>
      <c r="I439" s="161"/>
      <c r="J439" s="161"/>
      <c r="K439" s="158"/>
      <c r="L439" s="158"/>
      <c r="M439" s="158"/>
      <c r="N439" s="158"/>
      <c r="O439" s="158"/>
      <c r="P439" s="158"/>
      <c r="Q439" s="34"/>
      <c r="R439" s="158"/>
      <c r="S439" s="161"/>
      <c r="T439" s="158"/>
      <c r="U439" s="158"/>
      <c r="V439" s="158"/>
      <c r="W439" s="158"/>
      <c r="X439" s="158"/>
      <c r="Y439" s="158"/>
      <c r="Z439" s="158"/>
      <c r="AA439" s="158"/>
      <c r="AB439" s="158"/>
      <c r="AC439" s="158"/>
      <c r="AD439" s="158"/>
      <c r="AE439" s="158"/>
      <c r="AF439" s="158"/>
      <c r="AG439" s="158"/>
      <c r="AH439" s="158"/>
      <c r="AI439" s="158"/>
      <c r="AJ439" s="159"/>
      <c r="AK439" s="159"/>
      <c r="AL439" s="159"/>
      <c r="AM439" s="159"/>
      <c r="AN439" s="159"/>
      <c r="AO439" s="159"/>
      <c r="AP439" s="159"/>
      <c r="AQ439" s="159"/>
      <c r="AR439" s="159"/>
      <c r="AS439" s="159"/>
      <c r="AT439" s="159"/>
      <c r="AU439" s="159"/>
      <c r="AV439" s="159"/>
      <c r="AW439" s="159"/>
      <c r="AX439" s="159"/>
      <c r="AY439" s="159"/>
    </row>
    <row r="440" spans="1:51" s="31" customFormat="1" ht="23.25" x14ac:dyDescent="0.35">
      <c r="A440" s="32"/>
      <c r="B440" s="32"/>
      <c r="C440" s="32"/>
      <c r="D440" s="32"/>
      <c r="E440" s="32"/>
      <c r="F440" s="32"/>
      <c r="G440" s="33"/>
      <c r="H440" s="32"/>
      <c r="I440" s="161"/>
      <c r="J440" s="161"/>
      <c r="K440" s="158"/>
      <c r="L440" s="158"/>
      <c r="M440" s="158"/>
      <c r="N440" s="158"/>
      <c r="O440" s="158"/>
      <c r="P440" s="158"/>
      <c r="Q440" s="34"/>
      <c r="R440" s="158"/>
      <c r="S440" s="161"/>
      <c r="T440" s="158"/>
      <c r="U440" s="158"/>
      <c r="V440" s="158"/>
      <c r="W440" s="158"/>
      <c r="X440" s="158"/>
      <c r="Y440" s="158"/>
      <c r="Z440" s="158"/>
      <c r="AA440" s="158"/>
      <c r="AB440" s="158"/>
      <c r="AC440" s="158"/>
      <c r="AD440" s="158"/>
      <c r="AE440" s="158"/>
      <c r="AF440" s="158"/>
      <c r="AG440" s="158"/>
      <c r="AH440" s="158"/>
      <c r="AI440" s="158"/>
      <c r="AJ440" s="159"/>
      <c r="AK440" s="159"/>
      <c r="AL440" s="159"/>
      <c r="AM440" s="159"/>
      <c r="AN440" s="159"/>
      <c r="AO440" s="159"/>
      <c r="AP440" s="159"/>
      <c r="AQ440" s="159"/>
      <c r="AR440" s="159"/>
      <c r="AS440" s="159"/>
      <c r="AT440" s="159"/>
      <c r="AU440" s="159"/>
      <c r="AV440" s="159"/>
      <c r="AW440" s="159"/>
      <c r="AX440" s="159"/>
      <c r="AY440" s="159"/>
    </row>
    <row r="441" spans="1:51" s="31" customFormat="1" ht="23.25" x14ac:dyDescent="0.35">
      <c r="A441" s="32"/>
      <c r="B441" s="32"/>
      <c r="C441" s="32"/>
      <c r="D441" s="32"/>
      <c r="E441" s="32"/>
      <c r="F441" s="32"/>
      <c r="G441" s="33"/>
      <c r="H441" s="32"/>
      <c r="I441" s="161"/>
      <c r="J441" s="161"/>
      <c r="K441" s="158"/>
      <c r="L441" s="158"/>
      <c r="M441" s="158"/>
      <c r="N441" s="158"/>
      <c r="O441" s="158"/>
      <c r="P441" s="158"/>
      <c r="Q441" s="34"/>
      <c r="R441" s="158"/>
      <c r="S441" s="161"/>
      <c r="T441" s="158"/>
      <c r="U441" s="158"/>
      <c r="V441" s="158"/>
      <c r="W441" s="158"/>
      <c r="X441" s="158"/>
      <c r="Y441" s="158"/>
      <c r="Z441" s="158"/>
      <c r="AA441" s="158"/>
      <c r="AB441" s="158"/>
      <c r="AC441" s="158"/>
      <c r="AD441" s="158"/>
      <c r="AE441" s="158"/>
      <c r="AF441" s="158"/>
      <c r="AG441" s="158"/>
      <c r="AH441" s="158"/>
      <c r="AI441" s="158"/>
      <c r="AJ441" s="159"/>
      <c r="AK441" s="159"/>
      <c r="AL441" s="159"/>
      <c r="AM441" s="159"/>
      <c r="AN441" s="159"/>
      <c r="AO441" s="159"/>
      <c r="AP441" s="159"/>
      <c r="AQ441" s="159"/>
      <c r="AR441" s="159"/>
      <c r="AS441" s="159"/>
      <c r="AT441" s="159"/>
      <c r="AU441" s="159"/>
      <c r="AV441" s="159"/>
      <c r="AW441" s="159"/>
      <c r="AX441" s="159"/>
      <c r="AY441" s="159"/>
    </row>
    <row r="442" spans="1:51" s="31" customFormat="1" ht="23.25" x14ac:dyDescent="0.35">
      <c r="A442" s="32"/>
      <c r="B442" s="32"/>
      <c r="C442" s="32"/>
      <c r="D442" s="32"/>
      <c r="E442" s="32"/>
      <c r="F442" s="32"/>
      <c r="G442" s="33"/>
      <c r="H442" s="32"/>
      <c r="I442" s="161"/>
      <c r="J442" s="161"/>
      <c r="K442" s="158"/>
      <c r="L442" s="158"/>
      <c r="M442" s="158"/>
      <c r="N442" s="158"/>
      <c r="O442" s="158"/>
      <c r="P442" s="158"/>
      <c r="Q442" s="34"/>
      <c r="R442" s="158"/>
      <c r="S442" s="161"/>
      <c r="T442" s="158"/>
      <c r="U442" s="158"/>
      <c r="V442" s="158"/>
      <c r="W442" s="158"/>
      <c r="X442" s="158"/>
      <c r="Y442" s="158"/>
      <c r="Z442" s="158"/>
      <c r="AA442" s="158"/>
      <c r="AB442" s="158"/>
      <c r="AC442" s="158"/>
      <c r="AD442" s="158"/>
      <c r="AE442" s="158"/>
      <c r="AF442" s="158"/>
      <c r="AG442" s="158"/>
      <c r="AH442" s="158"/>
      <c r="AI442" s="158"/>
      <c r="AJ442" s="159"/>
      <c r="AK442" s="159"/>
      <c r="AL442" s="159"/>
      <c r="AM442" s="159"/>
      <c r="AN442" s="159"/>
      <c r="AO442" s="159"/>
      <c r="AP442" s="159"/>
      <c r="AQ442" s="159"/>
      <c r="AR442" s="159"/>
      <c r="AS442" s="159"/>
      <c r="AT442" s="159"/>
      <c r="AU442" s="159"/>
      <c r="AV442" s="159"/>
      <c r="AW442" s="159"/>
      <c r="AX442" s="159"/>
      <c r="AY442" s="159"/>
    </row>
    <row r="443" spans="1:51" s="31" customFormat="1" ht="23.25" x14ac:dyDescent="0.35">
      <c r="A443" s="32"/>
      <c r="B443" s="32"/>
      <c r="C443" s="32"/>
      <c r="D443" s="32"/>
      <c r="E443" s="32"/>
      <c r="F443" s="32"/>
      <c r="G443" s="33"/>
      <c r="H443" s="32"/>
      <c r="I443" s="161"/>
      <c r="J443" s="161"/>
      <c r="K443" s="158"/>
      <c r="L443" s="158"/>
      <c r="M443" s="158"/>
      <c r="N443" s="158"/>
      <c r="O443" s="158"/>
      <c r="P443" s="158"/>
      <c r="Q443" s="34"/>
      <c r="R443" s="158"/>
      <c r="S443" s="161"/>
      <c r="T443" s="158"/>
      <c r="U443" s="158"/>
      <c r="V443" s="158"/>
      <c r="W443" s="158"/>
      <c r="X443" s="158"/>
      <c r="Y443" s="158"/>
      <c r="Z443" s="158"/>
      <c r="AA443" s="158"/>
      <c r="AB443" s="158"/>
      <c r="AC443" s="158"/>
      <c r="AD443" s="158"/>
      <c r="AE443" s="158"/>
      <c r="AF443" s="158"/>
      <c r="AG443" s="158"/>
      <c r="AH443" s="158"/>
      <c r="AI443" s="158"/>
      <c r="AJ443" s="159"/>
      <c r="AK443" s="159"/>
      <c r="AL443" s="159"/>
      <c r="AM443" s="159"/>
      <c r="AN443" s="159"/>
      <c r="AO443" s="159"/>
      <c r="AP443" s="159"/>
      <c r="AQ443" s="159"/>
      <c r="AR443" s="159"/>
      <c r="AS443" s="159"/>
      <c r="AT443" s="159"/>
      <c r="AU443" s="159"/>
      <c r="AV443" s="159"/>
      <c r="AW443" s="159"/>
      <c r="AX443" s="159"/>
      <c r="AY443" s="159"/>
    </row>
    <row r="444" spans="1:51" s="31" customFormat="1" ht="23.25" x14ac:dyDescent="0.35">
      <c r="A444" s="32"/>
      <c r="B444" s="32"/>
      <c r="C444" s="32"/>
      <c r="D444" s="32"/>
      <c r="E444" s="32"/>
      <c r="F444" s="32"/>
      <c r="G444" s="33"/>
      <c r="H444" s="32"/>
      <c r="I444" s="161"/>
      <c r="J444" s="161"/>
      <c r="K444" s="158"/>
      <c r="L444" s="158"/>
      <c r="M444" s="158"/>
      <c r="N444" s="158"/>
      <c r="O444" s="158"/>
      <c r="P444" s="158"/>
      <c r="Q444" s="34"/>
      <c r="R444" s="158"/>
      <c r="S444" s="161"/>
      <c r="T444" s="158"/>
      <c r="U444" s="158"/>
      <c r="V444" s="158"/>
      <c r="W444" s="158"/>
      <c r="X444" s="158"/>
      <c r="Y444" s="158"/>
      <c r="Z444" s="158"/>
      <c r="AA444" s="158"/>
      <c r="AB444" s="158"/>
      <c r="AC444" s="158"/>
      <c r="AD444" s="158"/>
      <c r="AE444" s="158"/>
      <c r="AF444" s="158"/>
      <c r="AG444" s="158"/>
      <c r="AH444" s="158"/>
      <c r="AI444" s="158"/>
      <c r="AJ444" s="159"/>
      <c r="AK444" s="159"/>
      <c r="AL444" s="159"/>
      <c r="AM444" s="159"/>
      <c r="AN444" s="159"/>
      <c r="AO444" s="159"/>
      <c r="AP444" s="159"/>
      <c r="AQ444" s="159"/>
      <c r="AR444" s="159"/>
      <c r="AS444" s="159"/>
      <c r="AT444" s="159"/>
      <c r="AU444" s="159"/>
      <c r="AV444" s="159"/>
      <c r="AW444" s="159"/>
      <c r="AX444" s="159"/>
      <c r="AY444" s="159"/>
    </row>
    <row r="445" spans="1:51" s="31" customFormat="1" ht="23.25" x14ac:dyDescent="0.35">
      <c r="A445" s="32"/>
      <c r="B445" s="32"/>
      <c r="C445" s="32"/>
      <c r="D445" s="32"/>
      <c r="E445" s="32"/>
      <c r="F445" s="32"/>
      <c r="G445" s="33"/>
      <c r="H445" s="32"/>
      <c r="I445" s="161"/>
      <c r="J445" s="161"/>
      <c r="K445" s="158"/>
      <c r="L445" s="158"/>
      <c r="M445" s="158"/>
      <c r="N445" s="158"/>
      <c r="O445" s="158"/>
      <c r="P445" s="158"/>
      <c r="Q445" s="34"/>
      <c r="R445" s="158"/>
      <c r="S445" s="161"/>
      <c r="T445" s="158"/>
      <c r="U445" s="158"/>
      <c r="V445" s="158"/>
      <c r="W445" s="158"/>
      <c r="X445" s="158"/>
      <c r="Y445" s="158"/>
      <c r="Z445" s="158"/>
      <c r="AA445" s="158"/>
      <c r="AB445" s="158"/>
      <c r="AC445" s="158"/>
      <c r="AD445" s="158"/>
      <c r="AE445" s="158"/>
      <c r="AF445" s="158"/>
      <c r="AG445" s="158"/>
      <c r="AH445" s="158"/>
      <c r="AI445" s="158"/>
      <c r="AJ445" s="159"/>
      <c r="AK445" s="159"/>
      <c r="AL445" s="159"/>
      <c r="AM445" s="159"/>
      <c r="AN445" s="159"/>
      <c r="AO445" s="159"/>
      <c r="AP445" s="159"/>
      <c r="AQ445" s="159"/>
      <c r="AR445" s="159"/>
      <c r="AS445" s="159"/>
      <c r="AT445" s="159"/>
      <c r="AU445" s="159"/>
      <c r="AV445" s="159"/>
      <c r="AW445" s="159"/>
      <c r="AX445" s="159"/>
      <c r="AY445" s="159"/>
    </row>
    <row r="446" spans="1:51" s="31" customFormat="1" ht="23.25" x14ac:dyDescent="0.35">
      <c r="A446" s="32"/>
      <c r="B446" s="32"/>
      <c r="C446" s="32"/>
      <c r="D446" s="32"/>
      <c r="E446" s="32"/>
      <c r="F446" s="32"/>
      <c r="G446" s="33"/>
      <c r="H446" s="32"/>
      <c r="I446" s="161"/>
      <c r="J446" s="161"/>
      <c r="K446" s="158"/>
      <c r="L446" s="158"/>
      <c r="M446" s="158"/>
      <c r="N446" s="158"/>
      <c r="O446" s="158"/>
      <c r="P446" s="158"/>
      <c r="Q446" s="34"/>
      <c r="R446" s="158"/>
      <c r="S446" s="161"/>
      <c r="T446" s="158"/>
      <c r="U446" s="158"/>
      <c r="V446" s="158"/>
      <c r="W446" s="158"/>
      <c r="X446" s="158"/>
      <c r="Y446" s="158"/>
      <c r="Z446" s="158"/>
      <c r="AA446" s="158"/>
      <c r="AB446" s="158"/>
      <c r="AC446" s="158"/>
      <c r="AD446" s="158"/>
      <c r="AE446" s="158"/>
      <c r="AF446" s="158"/>
      <c r="AG446" s="158"/>
      <c r="AH446" s="158"/>
      <c r="AI446" s="158"/>
      <c r="AJ446" s="159"/>
      <c r="AK446" s="159"/>
      <c r="AL446" s="159"/>
      <c r="AM446" s="159"/>
      <c r="AN446" s="159"/>
      <c r="AO446" s="159"/>
      <c r="AP446" s="159"/>
      <c r="AQ446" s="159"/>
      <c r="AR446" s="159"/>
      <c r="AS446" s="159"/>
      <c r="AT446" s="159"/>
      <c r="AU446" s="159"/>
      <c r="AV446" s="159"/>
      <c r="AW446" s="159"/>
      <c r="AX446" s="159"/>
      <c r="AY446" s="159"/>
    </row>
    <row r="447" spans="1:51" s="31" customFormat="1" ht="23.25" x14ac:dyDescent="0.35">
      <c r="A447" s="32"/>
      <c r="B447" s="32"/>
      <c r="C447" s="32"/>
      <c r="D447" s="32"/>
      <c r="E447" s="32"/>
      <c r="F447" s="32"/>
      <c r="G447" s="33"/>
      <c r="H447" s="32"/>
      <c r="I447" s="161"/>
      <c r="J447" s="161"/>
      <c r="K447" s="158"/>
      <c r="L447" s="158"/>
      <c r="M447" s="158"/>
      <c r="N447" s="158"/>
      <c r="O447" s="158"/>
      <c r="P447" s="158"/>
      <c r="Q447" s="34"/>
      <c r="R447" s="158"/>
      <c r="S447" s="161"/>
      <c r="T447" s="158"/>
      <c r="U447" s="158"/>
      <c r="V447" s="158"/>
      <c r="W447" s="158"/>
      <c r="X447" s="158"/>
      <c r="Y447" s="158"/>
      <c r="Z447" s="158"/>
      <c r="AA447" s="158"/>
      <c r="AB447" s="158"/>
      <c r="AC447" s="158"/>
      <c r="AD447" s="158"/>
      <c r="AE447" s="158"/>
      <c r="AF447" s="158"/>
      <c r="AG447" s="158"/>
      <c r="AH447" s="158"/>
      <c r="AI447" s="158"/>
      <c r="AJ447" s="159"/>
      <c r="AK447" s="159"/>
      <c r="AL447" s="159"/>
      <c r="AM447" s="159"/>
      <c r="AN447" s="159"/>
      <c r="AO447" s="159"/>
      <c r="AP447" s="159"/>
      <c r="AQ447" s="159"/>
      <c r="AR447" s="159"/>
      <c r="AS447" s="159"/>
      <c r="AT447" s="159"/>
      <c r="AU447" s="159"/>
      <c r="AV447" s="159"/>
      <c r="AW447" s="159"/>
      <c r="AX447" s="159"/>
      <c r="AY447" s="159"/>
    </row>
    <row r="448" spans="1:51" s="31" customFormat="1" ht="23.25" x14ac:dyDescent="0.35">
      <c r="A448" s="32"/>
      <c r="B448" s="32"/>
      <c r="C448" s="32"/>
      <c r="D448" s="32"/>
      <c r="E448" s="32"/>
      <c r="F448" s="32"/>
      <c r="G448" s="33"/>
      <c r="H448" s="32"/>
      <c r="I448" s="161"/>
      <c r="J448" s="161"/>
      <c r="K448" s="158"/>
      <c r="L448" s="158"/>
      <c r="M448" s="158"/>
      <c r="N448" s="158"/>
      <c r="O448" s="158"/>
      <c r="P448" s="158"/>
      <c r="Q448" s="34"/>
      <c r="R448" s="158"/>
      <c r="S448" s="161"/>
      <c r="T448" s="158"/>
      <c r="U448" s="158"/>
      <c r="V448" s="158"/>
      <c r="W448" s="158"/>
      <c r="X448" s="158"/>
      <c r="Y448" s="158"/>
      <c r="Z448" s="158"/>
      <c r="AA448" s="158"/>
      <c r="AB448" s="158"/>
      <c r="AC448" s="158"/>
      <c r="AD448" s="158"/>
      <c r="AE448" s="158"/>
      <c r="AF448" s="158"/>
      <c r="AG448" s="158"/>
      <c r="AH448" s="158"/>
      <c r="AI448" s="158"/>
      <c r="AJ448" s="159"/>
      <c r="AK448" s="159"/>
      <c r="AL448" s="159"/>
      <c r="AM448" s="159"/>
      <c r="AN448" s="159"/>
      <c r="AO448" s="159"/>
      <c r="AP448" s="159"/>
      <c r="AQ448" s="159"/>
      <c r="AR448" s="159"/>
      <c r="AS448" s="159"/>
      <c r="AT448" s="159"/>
      <c r="AU448" s="159"/>
      <c r="AV448" s="159"/>
      <c r="AW448" s="159"/>
      <c r="AX448" s="159"/>
      <c r="AY448" s="159"/>
    </row>
    <row r="449" spans="1:51" s="31" customFormat="1" ht="23.25" x14ac:dyDescent="0.35">
      <c r="A449" s="32"/>
      <c r="B449" s="32"/>
      <c r="C449" s="32"/>
      <c r="D449" s="32"/>
      <c r="E449" s="32"/>
      <c r="F449" s="32"/>
      <c r="G449" s="33"/>
      <c r="H449" s="32"/>
      <c r="I449" s="161"/>
      <c r="J449" s="161"/>
      <c r="K449" s="158"/>
      <c r="L449" s="158"/>
      <c r="M449" s="158"/>
      <c r="N449" s="158"/>
      <c r="O449" s="158"/>
      <c r="P449" s="158"/>
      <c r="Q449" s="34"/>
      <c r="R449" s="158"/>
      <c r="S449" s="161"/>
      <c r="T449" s="158"/>
      <c r="U449" s="158"/>
      <c r="V449" s="158"/>
      <c r="W449" s="158"/>
      <c r="X449" s="158"/>
      <c r="Y449" s="158"/>
      <c r="Z449" s="158"/>
      <c r="AA449" s="158"/>
      <c r="AB449" s="158"/>
      <c r="AC449" s="158"/>
      <c r="AD449" s="158"/>
      <c r="AE449" s="158"/>
      <c r="AF449" s="158"/>
      <c r="AG449" s="158"/>
      <c r="AH449" s="158"/>
      <c r="AI449" s="158"/>
      <c r="AJ449" s="159"/>
      <c r="AK449" s="159"/>
      <c r="AL449" s="159"/>
      <c r="AM449" s="159"/>
      <c r="AN449" s="159"/>
      <c r="AO449" s="159"/>
      <c r="AP449" s="159"/>
      <c r="AQ449" s="159"/>
      <c r="AR449" s="159"/>
      <c r="AS449" s="159"/>
      <c r="AT449" s="159"/>
      <c r="AU449" s="159"/>
      <c r="AV449" s="159"/>
      <c r="AW449" s="159"/>
      <c r="AX449" s="159"/>
      <c r="AY449" s="159"/>
    </row>
    <row r="450" spans="1:51" s="31" customFormat="1" ht="23.25" x14ac:dyDescent="0.35">
      <c r="A450" s="32"/>
      <c r="B450" s="32"/>
      <c r="C450" s="32"/>
      <c r="D450" s="32"/>
      <c r="E450" s="32"/>
      <c r="F450" s="32"/>
      <c r="G450" s="33"/>
      <c r="H450" s="32"/>
      <c r="I450" s="161"/>
      <c r="J450" s="161"/>
      <c r="K450" s="158"/>
      <c r="L450" s="158"/>
      <c r="M450" s="158"/>
      <c r="N450" s="158"/>
      <c r="O450" s="158"/>
      <c r="P450" s="158"/>
      <c r="Q450" s="34"/>
      <c r="R450" s="158"/>
      <c r="S450" s="161"/>
      <c r="T450" s="158"/>
      <c r="U450" s="158"/>
      <c r="V450" s="158"/>
      <c r="W450" s="158"/>
      <c r="X450" s="158"/>
      <c r="Y450" s="158"/>
      <c r="Z450" s="158"/>
      <c r="AA450" s="158"/>
      <c r="AB450" s="158"/>
      <c r="AC450" s="158"/>
      <c r="AD450" s="158"/>
      <c r="AE450" s="158"/>
      <c r="AF450" s="158"/>
      <c r="AG450" s="158"/>
      <c r="AH450" s="158"/>
      <c r="AI450" s="158"/>
      <c r="AJ450" s="159"/>
      <c r="AK450" s="159"/>
      <c r="AL450" s="159"/>
      <c r="AM450" s="159"/>
      <c r="AN450" s="159"/>
      <c r="AO450" s="159"/>
      <c r="AP450" s="159"/>
      <c r="AQ450" s="159"/>
      <c r="AR450" s="159"/>
      <c r="AS450" s="159"/>
      <c r="AT450" s="159"/>
      <c r="AU450" s="159"/>
      <c r="AV450" s="159"/>
      <c r="AW450" s="159"/>
      <c r="AX450" s="159"/>
      <c r="AY450" s="159"/>
    </row>
    <row r="451" spans="1:51" ht="13.5" customHeight="1" x14ac:dyDescent="0.25">
      <c r="A451" s="28"/>
      <c r="B451" s="28"/>
      <c r="C451" s="28"/>
      <c r="D451" s="28"/>
      <c r="E451" s="28"/>
      <c r="F451" s="28"/>
      <c r="G451" s="29"/>
      <c r="H451" s="28"/>
      <c r="I451" s="147"/>
      <c r="J451" s="147"/>
      <c r="K451" s="146"/>
      <c r="L451" s="146"/>
      <c r="M451" s="146"/>
      <c r="N451" s="146"/>
      <c r="O451" s="146"/>
      <c r="P451" s="146"/>
      <c r="Q451" s="30"/>
      <c r="R451" s="146"/>
      <c r="S451" s="147"/>
      <c r="T451" s="146"/>
      <c r="U451" s="146"/>
      <c r="V451" s="146"/>
      <c r="W451" s="146"/>
      <c r="X451" s="146"/>
      <c r="Y451" s="146"/>
      <c r="Z451" s="146"/>
      <c r="AA451" s="146"/>
      <c r="AB451" s="146"/>
      <c r="AC451" s="146"/>
      <c r="AD451" s="146"/>
      <c r="AE451" s="146"/>
      <c r="AF451" s="146"/>
      <c r="AG451" s="146"/>
      <c r="AH451" s="146"/>
      <c r="AI451" s="146"/>
    </row>
    <row r="452" spans="1:51" ht="13.5" customHeight="1" x14ac:dyDescent="0.25">
      <c r="A452" s="28"/>
      <c r="B452" s="28"/>
      <c r="C452" s="28"/>
      <c r="D452" s="28"/>
      <c r="E452" s="28"/>
      <c r="F452" s="28"/>
      <c r="G452" s="29"/>
      <c r="H452" s="28"/>
      <c r="I452" s="147"/>
      <c r="J452" s="147"/>
      <c r="K452" s="146"/>
      <c r="L452" s="146"/>
      <c r="M452" s="146"/>
      <c r="N452" s="146"/>
      <c r="O452" s="146"/>
      <c r="P452" s="146"/>
      <c r="Q452" s="30"/>
      <c r="R452" s="146"/>
      <c r="S452" s="147"/>
      <c r="T452" s="146"/>
      <c r="U452" s="146"/>
      <c r="V452" s="146"/>
      <c r="W452" s="146"/>
      <c r="X452" s="146"/>
      <c r="Y452" s="146"/>
      <c r="Z452" s="146"/>
      <c r="AA452" s="146"/>
      <c r="AB452" s="146"/>
      <c r="AC452" s="146"/>
      <c r="AD452" s="146"/>
      <c r="AE452" s="146"/>
      <c r="AF452" s="146"/>
      <c r="AG452" s="146"/>
      <c r="AH452" s="146"/>
      <c r="AI452" s="146"/>
    </row>
    <row r="453" spans="1:51" ht="13.5" customHeight="1" x14ac:dyDescent="0.25">
      <c r="A453" s="28"/>
      <c r="B453" s="28"/>
      <c r="C453" s="28"/>
      <c r="D453" s="28"/>
      <c r="E453" s="28"/>
      <c r="F453" s="28"/>
      <c r="G453" s="29"/>
      <c r="H453" s="28"/>
      <c r="I453" s="147"/>
      <c r="J453" s="147"/>
      <c r="K453" s="146"/>
      <c r="L453" s="146"/>
      <c r="M453" s="146"/>
      <c r="N453" s="146"/>
      <c r="O453" s="146"/>
      <c r="P453" s="146"/>
      <c r="Q453" s="30"/>
      <c r="R453" s="146"/>
      <c r="S453" s="147"/>
      <c r="T453" s="146"/>
      <c r="U453" s="146"/>
      <c r="V453" s="146"/>
      <c r="W453" s="146"/>
      <c r="X453" s="146"/>
      <c r="Y453" s="146"/>
      <c r="Z453" s="146"/>
      <c r="AA453" s="146"/>
      <c r="AB453" s="146"/>
      <c r="AC453" s="146"/>
      <c r="AD453" s="146"/>
      <c r="AE453" s="146"/>
      <c r="AF453" s="146"/>
      <c r="AG453" s="146"/>
      <c r="AH453" s="146"/>
      <c r="AI453" s="146"/>
    </row>
    <row r="454" spans="1:51" ht="13.5" customHeight="1" x14ac:dyDescent="0.25">
      <c r="A454" s="28"/>
      <c r="B454" s="28"/>
      <c r="C454" s="28"/>
      <c r="D454" s="28"/>
      <c r="E454" s="28"/>
      <c r="F454" s="28"/>
      <c r="G454" s="29"/>
      <c r="H454" s="28"/>
      <c r="I454" s="147"/>
      <c r="J454" s="147"/>
      <c r="K454" s="146"/>
      <c r="L454" s="146"/>
      <c r="M454" s="146"/>
      <c r="N454" s="146"/>
      <c r="O454" s="146"/>
      <c r="P454" s="146"/>
      <c r="Q454" s="30"/>
      <c r="R454" s="146"/>
      <c r="S454" s="147"/>
      <c r="T454" s="146"/>
      <c r="U454" s="146"/>
      <c r="V454" s="146"/>
      <c r="W454" s="146"/>
      <c r="X454" s="146"/>
      <c r="Y454" s="146"/>
      <c r="Z454" s="146"/>
      <c r="AA454" s="146"/>
      <c r="AB454" s="146"/>
      <c r="AC454" s="146"/>
      <c r="AD454" s="146"/>
      <c r="AE454" s="146"/>
      <c r="AF454" s="146"/>
      <c r="AG454" s="146"/>
      <c r="AH454" s="146"/>
      <c r="AI454" s="146"/>
    </row>
    <row r="455" spans="1:51" ht="13.5" customHeight="1" x14ac:dyDescent="0.25">
      <c r="A455" s="28"/>
      <c r="B455" s="28"/>
      <c r="C455" s="28"/>
      <c r="D455" s="28"/>
      <c r="E455" s="28"/>
      <c r="F455" s="28"/>
      <c r="G455" s="29"/>
      <c r="H455" s="28"/>
      <c r="I455" s="147"/>
      <c r="J455" s="147"/>
      <c r="K455" s="146"/>
      <c r="L455" s="146"/>
      <c r="M455" s="146"/>
      <c r="N455" s="146"/>
      <c r="O455" s="146"/>
      <c r="P455" s="146"/>
      <c r="Q455" s="30"/>
      <c r="R455" s="146"/>
      <c r="S455" s="147"/>
      <c r="T455" s="146"/>
      <c r="U455" s="146"/>
      <c r="V455" s="146"/>
      <c r="W455" s="146"/>
      <c r="X455" s="146"/>
      <c r="Y455" s="146"/>
      <c r="Z455" s="146"/>
      <c r="AA455" s="146"/>
      <c r="AB455" s="146"/>
      <c r="AC455" s="146"/>
      <c r="AD455" s="146"/>
      <c r="AE455" s="146"/>
      <c r="AF455" s="146"/>
      <c r="AG455" s="146"/>
      <c r="AH455" s="146"/>
      <c r="AI455" s="146"/>
    </row>
    <row r="456" spans="1:51" ht="13.5" customHeight="1" x14ac:dyDescent="0.25">
      <c r="A456" s="28"/>
      <c r="B456" s="28"/>
      <c r="C456" s="28"/>
      <c r="D456" s="28"/>
      <c r="E456" s="28"/>
      <c r="F456" s="28"/>
      <c r="G456" s="29"/>
      <c r="H456" s="28"/>
      <c r="I456" s="147"/>
      <c r="J456" s="147"/>
      <c r="K456" s="146"/>
      <c r="L456" s="146"/>
      <c r="M456" s="146"/>
      <c r="N456" s="146"/>
      <c r="O456" s="146"/>
      <c r="P456" s="146"/>
      <c r="Q456" s="30"/>
      <c r="R456" s="146"/>
      <c r="S456" s="147"/>
      <c r="T456" s="146"/>
      <c r="U456" s="146"/>
      <c r="V456" s="146"/>
      <c r="W456" s="146"/>
      <c r="X456" s="146"/>
      <c r="Y456" s="146"/>
      <c r="Z456" s="146"/>
      <c r="AA456" s="146"/>
      <c r="AB456" s="146"/>
      <c r="AC456" s="146"/>
      <c r="AD456" s="146"/>
      <c r="AE456" s="146"/>
      <c r="AF456" s="146"/>
      <c r="AG456" s="146"/>
      <c r="AH456" s="146"/>
      <c r="AI456" s="146"/>
    </row>
    <row r="457" spans="1:51" ht="13.5" customHeight="1" x14ac:dyDescent="0.25">
      <c r="A457" s="28"/>
      <c r="B457" s="28"/>
      <c r="C457" s="28"/>
      <c r="D457" s="28"/>
      <c r="E457" s="28"/>
      <c r="F457" s="28"/>
      <c r="G457" s="29"/>
      <c r="H457" s="28"/>
      <c r="I457" s="147"/>
      <c r="J457" s="147"/>
      <c r="K457" s="146"/>
      <c r="L457" s="146"/>
      <c r="M457" s="146"/>
      <c r="N457" s="146"/>
      <c r="O457" s="146"/>
      <c r="P457" s="146"/>
      <c r="Q457" s="30"/>
      <c r="R457" s="146"/>
      <c r="S457" s="147"/>
      <c r="T457" s="146"/>
      <c r="U457" s="146"/>
      <c r="V457" s="146"/>
      <c r="W457" s="146"/>
      <c r="X457" s="146"/>
      <c r="Y457" s="146"/>
      <c r="Z457" s="146"/>
      <c r="AA457" s="146"/>
      <c r="AB457" s="146"/>
      <c r="AC457" s="146"/>
      <c r="AD457" s="146"/>
      <c r="AE457" s="146"/>
      <c r="AF457" s="146"/>
      <c r="AG457" s="146"/>
      <c r="AH457" s="146"/>
      <c r="AI457" s="146"/>
    </row>
    <row r="458" spans="1:51" ht="13.5" customHeight="1" x14ac:dyDescent="0.25">
      <c r="A458" s="28"/>
      <c r="B458" s="28"/>
      <c r="C458" s="28"/>
      <c r="D458" s="28"/>
      <c r="E458" s="28"/>
      <c r="F458" s="28"/>
      <c r="G458" s="29"/>
      <c r="H458" s="28"/>
      <c r="I458" s="147"/>
      <c r="J458" s="147"/>
      <c r="K458" s="146"/>
      <c r="L458" s="146"/>
      <c r="M458" s="146"/>
      <c r="N458" s="146"/>
      <c r="O458" s="146"/>
      <c r="P458" s="146"/>
      <c r="Q458" s="30"/>
      <c r="R458" s="146"/>
      <c r="S458" s="147"/>
      <c r="T458" s="146"/>
      <c r="U458" s="146"/>
      <c r="V458" s="146"/>
      <c r="W458" s="146"/>
      <c r="X458" s="146"/>
      <c r="Y458" s="146"/>
      <c r="Z458" s="146"/>
      <c r="AA458" s="146"/>
      <c r="AB458" s="146"/>
      <c r="AC458" s="146"/>
      <c r="AD458" s="146"/>
      <c r="AE458" s="146"/>
      <c r="AF458" s="146"/>
      <c r="AG458" s="146"/>
      <c r="AH458" s="146"/>
      <c r="AI458" s="146"/>
    </row>
    <row r="459" spans="1:51" ht="13.5" customHeight="1" x14ac:dyDescent="0.25">
      <c r="A459" s="28"/>
      <c r="B459" s="28"/>
      <c r="C459" s="28"/>
      <c r="D459" s="28"/>
      <c r="E459" s="28"/>
      <c r="F459" s="28"/>
      <c r="G459" s="29"/>
      <c r="H459" s="28"/>
      <c r="I459" s="147"/>
      <c r="J459" s="147"/>
      <c r="K459" s="146"/>
      <c r="L459" s="146"/>
      <c r="M459" s="146"/>
      <c r="N459" s="146"/>
      <c r="O459" s="146"/>
      <c r="P459" s="146"/>
      <c r="Q459" s="30"/>
      <c r="R459" s="146"/>
      <c r="S459" s="147"/>
      <c r="T459" s="146"/>
      <c r="U459" s="146"/>
      <c r="V459" s="146"/>
      <c r="W459" s="146"/>
      <c r="X459" s="146"/>
      <c r="Y459" s="146"/>
      <c r="Z459" s="146"/>
      <c r="AA459" s="146"/>
      <c r="AB459" s="146"/>
      <c r="AC459" s="146"/>
      <c r="AD459" s="146"/>
      <c r="AE459" s="146"/>
      <c r="AF459" s="146"/>
      <c r="AG459" s="146"/>
      <c r="AH459" s="146"/>
      <c r="AI459" s="146"/>
    </row>
    <row r="460" spans="1:51" ht="13.5" customHeight="1" x14ac:dyDescent="0.25">
      <c r="A460" s="28"/>
      <c r="B460" s="28"/>
      <c r="C460" s="28"/>
      <c r="D460" s="28"/>
      <c r="E460" s="28"/>
      <c r="F460" s="28"/>
      <c r="G460" s="29"/>
      <c r="H460" s="28"/>
      <c r="I460" s="147"/>
      <c r="J460" s="147"/>
      <c r="K460" s="146"/>
      <c r="L460" s="146"/>
      <c r="M460" s="146"/>
      <c r="N460" s="146"/>
      <c r="O460" s="146"/>
      <c r="P460" s="146"/>
      <c r="Q460" s="30"/>
      <c r="R460" s="146"/>
      <c r="S460" s="147"/>
      <c r="T460" s="146"/>
      <c r="U460" s="146"/>
      <c r="V460" s="146"/>
      <c r="W460" s="146"/>
      <c r="X460" s="146"/>
      <c r="Y460" s="146"/>
      <c r="Z460" s="146"/>
      <c r="AA460" s="146"/>
      <c r="AB460" s="146"/>
      <c r="AC460" s="146"/>
      <c r="AD460" s="146"/>
      <c r="AE460" s="146"/>
      <c r="AF460" s="146"/>
      <c r="AG460" s="146"/>
      <c r="AH460" s="146"/>
      <c r="AI460" s="146"/>
    </row>
    <row r="461" spans="1:51" ht="13.5" customHeight="1" x14ac:dyDescent="0.25">
      <c r="A461" s="28"/>
      <c r="B461" s="28"/>
      <c r="C461" s="28"/>
      <c r="D461" s="28"/>
      <c r="E461" s="28"/>
      <c r="F461" s="28"/>
      <c r="G461" s="29"/>
      <c r="H461" s="28"/>
      <c r="I461" s="147"/>
      <c r="J461" s="147"/>
      <c r="K461" s="146"/>
      <c r="L461" s="146"/>
      <c r="M461" s="146"/>
      <c r="N461" s="146"/>
      <c r="O461" s="146"/>
      <c r="P461" s="146"/>
      <c r="Q461" s="30"/>
      <c r="R461" s="146"/>
      <c r="S461" s="147"/>
      <c r="T461" s="146"/>
      <c r="U461" s="146"/>
      <c r="V461" s="146"/>
      <c r="W461" s="146"/>
      <c r="X461" s="146"/>
      <c r="Y461" s="146"/>
      <c r="Z461" s="146"/>
      <c r="AA461" s="146"/>
      <c r="AB461" s="146"/>
      <c r="AC461" s="146"/>
      <c r="AD461" s="146"/>
      <c r="AE461" s="146"/>
      <c r="AF461" s="146"/>
      <c r="AG461" s="146"/>
      <c r="AH461" s="146"/>
      <c r="AI461" s="146"/>
    </row>
    <row r="462" spans="1:51" ht="13.5" customHeight="1" x14ac:dyDescent="0.25">
      <c r="A462" s="28"/>
      <c r="B462" s="28"/>
      <c r="C462" s="28"/>
      <c r="D462" s="28"/>
      <c r="E462" s="28"/>
      <c r="F462" s="28"/>
      <c r="G462" s="29"/>
      <c r="H462" s="28"/>
      <c r="I462" s="147"/>
      <c r="J462" s="147"/>
      <c r="K462" s="146"/>
      <c r="L462" s="146"/>
      <c r="M462" s="146"/>
      <c r="N462" s="146"/>
      <c r="O462" s="146"/>
      <c r="P462" s="146"/>
      <c r="Q462" s="30"/>
      <c r="R462" s="146"/>
      <c r="S462" s="147"/>
      <c r="T462" s="146"/>
      <c r="U462" s="146"/>
      <c r="V462" s="146"/>
      <c r="W462" s="146"/>
      <c r="X462" s="146"/>
      <c r="Y462" s="146"/>
      <c r="Z462" s="146"/>
      <c r="AA462" s="146"/>
      <c r="AB462" s="146"/>
      <c r="AC462" s="146"/>
      <c r="AD462" s="146"/>
      <c r="AE462" s="146"/>
      <c r="AF462" s="146"/>
      <c r="AG462" s="146"/>
      <c r="AH462" s="146"/>
      <c r="AI462" s="146"/>
    </row>
    <row r="463" spans="1:51" ht="13.5" customHeight="1" x14ac:dyDescent="0.25">
      <c r="A463" s="28"/>
      <c r="B463" s="28"/>
      <c r="C463" s="28"/>
      <c r="D463" s="28"/>
      <c r="E463" s="28"/>
      <c r="F463" s="28"/>
      <c r="G463" s="29"/>
      <c r="H463" s="28"/>
      <c r="I463" s="147"/>
      <c r="J463" s="147"/>
      <c r="K463" s="146"/>
      <c r="L463" s="146"/>
      <c r="M463" s="146"/>
      <c r="N463" s="146"/>
      <c r="O463" s="146"/>
      <c r="P463" s="146"/>
      <c r="Q463" s="30"/>
      <c r="R463" s="146"/>
      <c r="S463" s="147"/>
      <c r="T463" s="146"/>
      <c r="U463" s="146"/>
      <c r="V463" s="146"/>
      <c r="W463" s="146"/>
      <c r="X463" s="146"/>
      <c r="Y463" s="146"/>
      <c r="Z463" s="146"/>
      <c r="AA463" s="146"/>
      <c r="AB463" s="146"/>
      <c r="AC463" s="146"/>
      <c r="AD463" s="146"/>
      <c r="AE463" s="146"/>
      <c r="AF463" s="146"/>
      <c r="AG463" s="146"/>
      <c r="AH463" s="146"/>
      <c r="AI463" s="146"/>
    </row>
    <row r="464" spans="1:51" ht="13.5" customHeight="1" x14ac:dyDescent="0.25">
      <c r="A464" s="28"/>
      <c r="B464" s="28"/>
      <c r="C464" s="28"/>
      <c r="D464" s="28"/>
      <c r="E464" s="28"/>
      <c r="F464" s="28"/>
      <c r="G464" s="29"/>
      <c r="H464" s="28"/>
      <c r="I464" s="147"/>
      <c r="J464" s="147"/>
      <c r="K464" s="146"/>
      <c r="L464" s="146"/>
      <c r="M464" s="146"/>
      <c r="N464" s="146"/>
      <c r="O464" s="146"/>
      <c r="P464" s="146"/>
      <c r="Q464" s="30"/>
      <c r="R464" s="146"/>
      <c r="S464" s="147"/>
      <c r="T464" s="146"/>
      <c r="U464" s="146"/>
      <c r="V464" s="146"/>
      <c r="W464" s="146"/>
      <c r="X464" s="146"/>
      <c r="Y464" s="146"/>
      <c r="Z464" s="146"/>
      <c r="AA464" s="146"/>
      <c r="AB464" s="146"/>
      <c r="AC464" s="146"/>
      <c r="AD464" s="146"/>
      <c r="AE464" s="146"/>
      <c r="AF464" s="146"/>
      <c r="AG464" s="146"/>
      <c r="AH464" s="146"/>
      <c r="AI464" s="146"/>
    </row>
    <row r="465" spans="1:35" ht="13.5" customHeight="1" x14ac:dyDescent="0.25">
      <c r="A465" s="28"/>
      <c r="B465" s="28"/>
      <c r="C465" s="28"/>
      <c r="D465" s="28"/>
      <c r="E465" s="28"/>
      <c r="F465" s="28"/>
      <c r="G465" s="29"/>
      <c r="H465" s="28"/>
      <c r="I465" s="147"/>
      <c r="J465" s="147"/>
      <c r="K465" s="146"/>
      <c r="L465" s="146"/>
      <c r="M465" s="146"/>
      <c r="N465" s="146"/>
      <c r="O465" s="146"/>
      <c r="P465" s="146"/>
      <c r="Q465" s="30"/>
      <c r="R465" s="146"/>
      <c r="S465" s="147"/>
      <c r="T465" s="146"/>
      <c r="U465" s="146"/>
      <c r="V465" s="146"/>
      <c r="W465" s="146"/>
      <c r="X465" s="146"/>
      <c r="Y465" s="146"/>
      <c r="Z465" s="146"/>
      <c r="AA465" s="146"/>
      <c r="AB465" s="146"/>
      <c r="AC465" s="146"/>
      <c r="AD465" s="146"/>
      <c r="AE465" s="146"/>
      <c r="AF465" s="146"/>
      <c r="AG465" s="146"/>
      <c r="AH465" s="146"/>
      <c r="AI465" s="146"/>
    </row>
    <row r="466" spans="1:35" ht="13.5" customHeight="1" x14ac:dyDescent="0.25">
      <c r="A466" s="28"/>
      <c r="B466" s="28"/>
      <c r="C466" s="28"/>
      <c r="D466" s="28"/>
      <c r="E466" s="28"/>
      <c r="F466" s="28"/>
      <c r="G466" s="29"/>
      <c r="H466" s="28"/>
      <c r="I466" s="147"/>
      <c r="J466" s="147"/>
      <c r="K466" s="146"/>
      <c r="L466" s="146"/>
      <c r="M466" s="146"/>
      <c r="N466" s="146"/>
      <c r="O466" s="146"/>
      <c r="P466" s="146"/>
      <c r="Q466" s="30"/>
      <c r="R466" s="146"/>
      <c r="S466" s="147"/>
      <c r="T466" s="146"/>
      <c r="U466" s="146"/>
      <c r="V466" s="146"/>
      <c r="W466" s="146"/>
      <c r="X466" s="146"/>
      <c r="Y466" s="146"/>
      <c r="Z466" s="146"/>
      <c r="AA466" s="146"/>
      <c r="AB466" s="146"/>
      <c r="AC466" s="146"/>
      <c r="AD466" s="146"/>
      <c r="AE466" s="146"/>
      <c r="AF466" s="146"/>
      <c r="AG466" s="146"/>
      <c r="AH466" s="146"/>
      <c r="AI466" s="146"/>
    </row>
    <row r="467" spans="1:35" ht="13.5" customHeight="1" x14ac:dyDescent="0.25">
      <c r="A467" s="28"/>
      <c r="B467" s="28"/>
      <c r="C467" s="28"/>
      <c r="D467" s="28"/>
      <c r="E467" s="28"/>
      <c r="F467" s="28"/>
      <c r="G467" s="29"/>
      <c r="H467" s="28"/>
      <c r="I467" s="147"/>
      <c r="J467" s="147"/>
      <c r="K467" s="146"/>
      <c r="L467" s="146"/>
      <c r="M467" s="146"/>
      <c r="N467" s="146"/>
      <c r="O467" s="146"/>
      <c r="P467" s="146"/>
      <c r="Q467" s="30"/>
      <c r="R467" s="146"/>
      <c r="S467" s="147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</row>
    <row r="468" spans="1:35" ht="13.5" customHeight="1" x14ac:dyDescent="0.25">
      <c r="A468" s="28"/>
      <c r="B468" s="28"/>
      <c r="C468" s="28"/>
      <c r="D468" s="28"/>
      <c r="E468" s="28"/>
      <c r="F468" s="28"/>
      <c r="G468" s="29"/>
      <c r="H468" s="28"/>
      <c r="I468" s="147"/>
      <c r="J468" s="147"/>
      <c r="K468" s="146"/>
      <c r="L468" s="146"/>
      <c r="M468" s="146"/>
      <c r="N468" s="146"/>
      <c r="O468" s="146"/>
      <c r="P468" s="146"/>
      <c r="Q468" s="30"/>
      <c r="R468" s="146"/>
      <c r="S468" s="147"/>
      <c r="T468" s="146"/>
      <c r="U468" s="146"/>
      <c r="V468" s="146"/>
      <c r="W468" s="146"/>
      <c r="X468" s="146"/>
      <c r="Y468" s="146"/>
      <c r="Z468" s="146"/>
      <c r="AA468" s="146"/>
      <c r="AB468" s="146"/>
      <c r="AC468" s="146"/>
      <c r="AD468" s="146"/>
      <c r="AE468" s="146"/>
      <c r="AF468" s="146"/>
      <c r="AG468" s="146"/>
      <c r="AH468" s="146"/>
      <c r="AI468" s="146"/>
    </row>
    <row r="469" spans="1:35" ht="13.5" customHeight="1" x14ac:dyDescent="0.25">
      <c r="A469" s="28"/>
      <c r="B469" s="28"/>
      <c r="C469" s="28"/>
      <c r="D469" s="28"/>
      <c r="E469" s="28"/>
      <c r="F469" s="28"/>
      <c r="G469" s="29"/>
      <c r="H469" s="28"/>
      <c r="I469" s="147"/>
      <c r="J469" s="147"/>
      <c r="K469" s="146"/>
      <c r="L469" s="146"/>
      <c r="M469" s="146"/>
      <c r="N469" s="146"/>
      <c r="O469" s="146"/>
      <c r="P469" s="146"/>
      <c r="Q469" s="30"/>
      <c r="R469" s="146"/>
      <c r="S469" s="147"/>
      <c r="T469" s="146"/>
      <c r="U469" s="146"/>
      <c r="V469" s="146"/>
      <c r="W469" s="146"/>
      <c r="X469" s="146"/>
      <c r="Y469" s="146"/>
      <c r="Z469" s="146"/>
      <c r="AA469" s="146"/>
      <c r="AB469" s="146"/>
      <c r="AC469" s="146"/>
      <c r="AD469" s="146"/>
      <c r="AE469" s="146"/>
      <c r="AF469" s="146"/>
      <c r="AG469" s="146"/>
      <c r="AH469" s="146"/>
      <c r="AI469" s="146"/>
    </row>
    <row r="470" spans="1:35" ht="13.5" customHeight="1" x14ac:dyDescent="0.25">
      <c r="A470" s="28"/>
      <c r="B470" s="28"/>
      <c r="C470" s="28"/>
      <c r="D470" s="28"/>
      <c r="E470" s="28"/>
      <c r="F470" s="28"/>
      <c r="G470" s="29"/>
      <c r="H470" s="28"/>
      <c r="I470" s="147"/>
      <c r="J470" s="147"/>
      <c r="K470" s="146"/>
      <c r="L470" s="146"/>
      <c r="M470" s="146"/>
      <c r="N470" s="146"/>
      <c r="O470" s="146"/>
      <c r="P470" s="146"/>
      <c r="Q470" s="30"/>
      <c r="R470" s="146"/>
      <c r="S470" s="147"/>
      <c r="T470" s="146"/>
      <c r="U470" s="146"/>
      <c r="V470" s="146"/>
      <c r="W470" s="146"/>
      <c r="X470" s="146"/>
      <c r="Y470" s="146"/>
      <c r="Z470" s="146"/>
      <c r="AA470" s="146"/>
      <c r="AB470" s="146"/>
      <c r="AC470" s="146"/>
      <c r="AD470" s="146"/>
      <c r="AE470" s="146"/>
      <c r="AF470" s="146"/>
      <c r="AG470" s="146"/>
      <c r="AH470" s="146"/>
      <c r="AI470" s="146"/>
    </row>
    <row r="471" spans="1:35" ht="13.5" customHeight="1" x14ac:dyDescent="0.25">
      <c r="A471" s="28"/>
      <c r="B471" s="28"/>
      <c r="C471" s="28"/>
      <c r="D471" s="28"/>
      <c r="E471" s="28"/>
      <c r="F471" s="28"/>
      <c r="G471" s="29"/>
      <c r="H471" s="28"/>
      <c r="I471" s="147"/>
      <c r="J471" s="147"/>
      <c r="K471" s="146"/>
      <c r="L471" s="146"/>
      <c r="M471" s="146"/>
      <c r="N471" s="146"/>
      <c r="O471" s="146"/>
      <c r="P471" s="146"/>
      <c r="Q471" s="30"/>
      <c r="R471" s="146"/>
      <c r="S471" s="147"/>
      <c r="T471" s="146"/>
      <c r="U471" s="146"/>
      <c r="V471" s="146"/>
      <c r="W471" s="146"/>
      <c r="X471" s="146"/>
      <c r="Y471" s="146"/>
      <c r="Z471" s="146"/>
      <c r="AA471" s="146"/>
      <c r="AB471" s="146"/>
      <c r="AC471" s="146"/>
      <c r="AD471" s="146"/>
      <c r="AE471" s="146"/>
      <c r="AF471" s="146"/>
      <c r="AG471" s="146"/>
      <c r="AH471" s="146"/>
      <c r="AI471" s="146"/>
    </row>
    <row r="472" spans="1:35" ht="13.5" customHeight="1" x14ac:dyDescent="0.25">
      <c r="A472" s="28"/>
      <c r="B472" s="28"/>
      <c r="C472" s="28"/>
      <c r="D472" s="28"/>
      <c r="E472" s="28"/>
      <c r="F472" s="28"/>
      <c r="G472" s="29"/>
      <c r="H472" s="28"/>
      <c r="I472" s="147"/>
      <c r="J472" s="147"/>
      <c r="K472" s="146"/>
      <c r="L472" s="146"/>
      <c r="M472" s="146"/>
      <c r="N472" s="146"/>
      <c r="O472" s="146"/>
      <c r="P472" s="146"/>
      <c r="Q472" s="30"/>
      <c r="R472" s="146"/>
      <c r="S472" s="147"/>
      <c r="T472" s="146"/>
      <c r="U472" s="146"/>
      <c r="V472" s="146"/>
      <c r="W472" s="146"/>
      <c r="X472" s="146"/>
      <c r="Y472" s="146"/>
      <c r="Z472" s="146"/>
      <c r="AA472" s="146"/>
      <c r="AB472" s="146"/>
      <c r="AC472" s="146"/>
      <c r="AD472" s="146"/>
      <c r="AE472" s="146"/>
      <c r="AF472" s="146"/>
      <c r="AG472" s="146"/>
      <c r="AH472" s="146"/>
      <c r="AI472" s="146"/>
    </row>
    <row r="473" spans="1:35" ht="13.5" customHeight="1" x14ac:dyDescent="0.25">
      <c r="A473" s="28"/>
      <c r="B473" s="28"/>
      <c r="C473" s="28"/>
      <c r="D473" s="28"/>
      <c r="E473" s="28"/>
      <c r="F473" s="28"/>
      <c r="G473" s="29"/>
      <c r="H473" s="28"/>
      <c r="I473" s="147"/>
      <c r="J473" s="147"/>
      <c r="K473" s="146"/>
      <c r="L473" s="146"/>
      <c r="M473" s="146"/>
      <c r="N473" s="146"/>
      <c r="O473" s="146"/>
      <c r="P473" s="146"/>
      <c r="Q473" s="30"/>
      <c r="R473" s="146"/>
      <c r="S473" s="147"/>
      <c r="T473" s="146"/>
      <c r="U473" s="146"/>
      <c r="V473" s="146"/>
      <c r="W473" s="146"/>
      <c r="X473" s="146"/>
      <c r="Y473" s="146"/>
      <c r="Z473" s="146"/>
      <c r="AA473" s="146"/>
      <c r="AB473" s="146"/>
      <c r="AC473" s="146"/>
      <c r="AD473" s="146"/>
      <c r="AE473" s="146"/>
      <c r="AF473" s="146"/>
      <c r="AG473" s="146"/>
      <c r="AH473" s="146"/>
      <c r="AI473" s="146"/>
    </row>
    <row r="474" spans="1:35" ht="13.5" customHeight="1" x14ac:dyDescent="0.25">
      <c r="A474" s="28"/>
      <c r="B474" s="28"/>
      <c r="C474" s="28"/>
      <c r="D474" s="28"/>
      <c r="E474" s="28"/>
      <c r="F474" s="28"/>
      <c r="G474" s="29"/>
      <c r="H474" s="28"/>
      <c r="I474" s="147"/>
      <c r="J474" s="147"/>
      <c r="K474" s="146"/>
      <c r="L474" s="146"/>
      <c r="M474" s="146"/>
      <c r="N474" s="146"/>
      <c r="O474" s="146"/>
      <c r="P474" s="146"/>
      <c r="Q474" s="30"/>
      <c r="R474" s="146"/>
      <c r="S474" s="147"/>
      <c r="T474" s="146"/>
      <c r="U474" s="146"/>
      <c r="V474" s="146"/>
      <c r="W474" s="146"/>
      <c r="X474" s="146"/>
      <c r="Y474" s="146"/>
      <c r="Z474" s="146"/>
      <c r="AA474" s="146"/>
      <c r="AB474" s="146"/>
      <c r="AC474" s="146"/>
      <c r="AD474" s="146"/>
      <c r="AE474" s="146"/>
      <c r="AF474" s="146"/>
      <c r="AG474" s="146"/>
      <c r="AH474" s="146"/>
      <c r="AI474" s="146"/>
    </row>
    <row r="475" spans="1:35" ht="13.5" customHeight="1" x14ac:dyDescent="0.25">
      <c r="A475" s="28"/>
      <c r="B475" s="28"/>
      <c r="C475" s="28"/>
      <c r="D475" s="28"/>
      <c r="E475" s="28"/>
      <c r="F475" s="28"/>
      <c r="G475" s="29"/>
      <c r="H475" s="28"/>
      <c r="I475" s="147"/>
      <c r="J475" s="147"/>
      <c r="K475" s="146"/>
      <c r="L475" s="146"/>
      <c r="M475" s="146"/>
      <c r="N475" s="146"/>
      <c r="O475" s="146"/>
      <c r="P475" s="146"/>
      <c r="Q475" s="30"/>
      <c r="R475" s="146"/>
      <c r="S475" s="147"/>
      <c r="T475" s="146"/>
      <c r="U475" s="146"/>
      <c r="V475" s="146"/>
      <c r="W475" s="146"/>
      <c r="X475" s="146"/>
      <c r="Y475" s="146"/>
      <c r="Z475" s="146"/>
      <c r="AA475" s="146"/>
      <c r="AB475" s="146"/>
      <c r="AC475" s="146"/>
      <c r="AD475" s="146"/>
      <c r="AE475" s="146"/>
      <c r="AF475" s="146"/>
      <c r="AG475" s="146"/>
      <c r="AH475" s="146"/>
      <c r="AI475" s="146"/>
    </row>
    <row r="476" spans="1:35" ht="13.5" customHeight="1" x14ac:dyDescent="0.25">
      <c r="A476" s="28"/>
      <c r="B476" s="28"/>
      <c r="C476" s="28"/>
      <c r="D476" s="28"/>
      <c r="E476" s="28"/>
      <c r="F476" s="28"/>
      <c r="G476" s="29"/>
      <c r="H476" s="28"/>
      <c r="I476" s="147"/>
      <c r="J476" s="147"/>
      <c r="K476" s="146"/>
      <c r="L476" s="146"/>
      <c r="M476" s="146"/>
      <c r="N476" s="146"/>
      <c r="O476" s="146"/>
      <c r="P476" s="146"/>
      <c r="Q476" s="30"/>
      <c r="R476" s="146"/>
      <c r="S476" s="147"/>
      <c r="T476" s="146"/>
      <c r="U476" s="146"/>
      <c r="V476" s="146"/>
      <c r="W476" s="146"/>
      <c r="X476" s="146"/>
      <c r="Y476" s="146"/>
      <c r="Z476" s="146"/>
      <c r="AA476" s="146"/>
      <c r="AB476" s="146"/>
      <c r="AC476" s="146"/>
      <c r="AD476" s="146"/>
      <c r="AE476" s="146"/>
      <c r="AF476" s="146"/>
      <c r="AG476" s="146"/>
      <c r="AH476" s="146"/>
      <c r="AI476" s="146"/>
    </row>
    <row r="477" spans="1:35" ht="13.5" customHeight="1" x14ac:dyDescent="0.25">
      <c r="A477" s="28"/>
      <c r="B477" s="28"/>
      <c r="C477" s="28"/>
      <c r="D477" s="28"/>
      <c r="E477" s="28"/>
      <c r="F477" s="28"/>
      <c r="G477" s="29"/>
      <c r="H477" s="28"/>
      <c r="I477" s="147"/>
      <c r="J477" s="147"/>
      <c r="K477" s="146"/>
      <c r="L477" s="146"/>
      <c r="M477" s="146"/>
      <c r="N477" s="146"/>
      <c r="O477" s="146"/>
      <c r="P477" s="146"/>
      <c r="Q477" s="30"/>
      <c r="R477" s="146"/>
      <c r="S477" s="147"/>
      <c r="T477" s="146"/>
      <c r="U477" s="146"/>
      <c r="V477" s="146"/>
      <c r="W477" s="146"/>
      <c r="X477" s="146"/>
      <c r="Y477" s="146"/>
      <c r="Z477" s="146"/>
      <c r="AA477" s="146"/>
      <c r="AB477" s="146"/>
      <c r="AC477" s="146"/>
      <c r="AD477" s="146"/>
      <c r="AE477" s="146"/>
      <c r="AF477" s="146"/>
      <c r="AG477" s="146"/>
      <c r="AH477" s="146"/>
      <c r="AI477" s="146"/>
    </row>
    <row r="478" spans="1:35" ht="13.5" customHeight="1" x14ac:dyDescent="0.25">
      <c r="A478" s="28"/>
      <c r="B478" s="28"/>
      <c r="C478" s="28"/>
      <c r="D478" s="28"/>
      <c r="E478" s="28"/>
      <c r="F478" s="28"/>
      <c r="G478" s="29"/>
      <c r="H478" s="28"/>
      <c r="I478" s="147"/>
      <c r="J478" s="147"/>
      <c r="K478" s="146"/>
      <c r="L478" s="146"/>
      <c r="M478" s="146"/>
      <c r="N478" s="146"/>
      <c r="O478" s="146"/>
      <c r="P478" s="146"/>
      <c r="Q478" s="30"/>
      <c r="R478" s="146"/>
      <c r="S478" s="147"/>
      <c r="T478" s="146"/>
      <c r="U478" s="146"/>
      <c r="V478" s="146"/>
      <c r="W478" s="146"/>
      <c r="X478" s="146"/>
      <c r="Y478" s="146"/>
      <c r="Z478" s="146"/>
      <c r="AA478" s="146"/>
      <c r="AB478" s="146"/>
      <c r="AC478" s="146"/>
      <c r="AD478" s="146"/>
      <c r="AE478" s="146"/>
      <c r="AF478" s="146"/>
      <c r="AG478" s="146"/>
      <c r="AH478" s="146"/>
      <c r="AI478" s="146"/>
    </row>
    <row r="479" spans="1:35" ht="13.5" customHeight="1" x14ac:dyDescent="0.25">
      <c r="A479" s="28"/>
      <c r="B479" s="28"/>
      <c r="C479" s="28"/>
      <c r="D479" s="28"/>
      <c r="E479" s="28"/>
      <c r="F479" s="28"/>
      <c r="G479" s="29"/>
      <c r="H479" s="28"/>
      <c r="I479" s="147"/>
      <c r="J479" s="147"/>
      <c r="K479" s="146"/>
      <c r="L479" s="146"/>
      <c r="M479" s="146"/>
      <c r="N479" s="146"/>
      <c r="O479" s="146"/>
      <c r="P479" s="146"/>
      <c r="Q479" s="30"/>
      <c r="R479" s="146"/>
      <c r="S479" s="147"/>
      <c r="T479" s="146"/>
      <c r="U479" s="146"/>
      <c r="V479" s="146"/>
      <c r="W479" s="146"/>
      <c r="X479" s="146"/>
      <c r="Y479" s="146"/>
      <c r="Z479" s="146"/>
      <c r="AA479" s="146"/>
      <c r="AB479" s="146"/>
      <c r="AC479" s="146"/>
      <c r="AD479" s="146"/>
      <c r="AE479" s="146"/>
      <c r="AF479" s="146"/>
      <c r="AG479" s="146"/>
      <c r="AH479" s="146"/>
      <c r="AI479" s="146"/>
    </row>
    <row r="480" spans="1:35" ht="13.5" customHeight="1" x14ac:dyDescent="0.25">
      <c r="A480" s="28"/>
      <c r="B480" s="28"/>
      <c r="C480" s="28"/>
      <c r="D480" s="28"/>
      <c r="E480" s="28"/>
      <c r="F480" s="28"/>
      <c r="G480" s="29"/>
      <c r="H480" s="28"/>
      <c r="I480" s="147"/>
      <c r="J480" s="147"/>
      <c r="K480" s="146"/>
      <c r="L480" s="146"/>
      <c r="M480" s="146"/>
      <c r="N480" s="146"/>
      <c r="O480" s="146"/>
      <c r="P480" s="146"/>
      <c r="Q480" s="30"/>
      <c r="R480" s="146"/>
      <c r="S480" s="147"/>
      <c r="T480" s="146"/>
      <c r="U480" s="146"/>
      <c r="V480" s="146"/>
      <c r="W480" s="146"/>
      <c r="X480" s="146"/>
      <c r="Y480" s="146"/>
      <c r="Z480" s="146"/>
      <c r="AA480" s="146"/>
      <c r="AB480" s="146"/>
      <c r="AC480" s="146"/>
      <c r="AD480" s="146"/>
      <c r="AE480" s="146"/>
      <c r="AF480" s="146"/>
      <c r="AG480" s="146"/>
      <c r="AH480" s="146"/>
      <c r="AI480" s="146"/>
    </row>
    <row r="481" spans="1:35" ht="13.5" customHeight="1" x14ac:dyDescent="0.25">
      <c r="A481" s="28"/>
      <c r="B481" s="28"/>
      <c r="C481" s="28"/>
      <c r="D481" s="28"/>
      <c r="E481" s="28"/>
      <c r="F481" s="28"/>
      <c r="G481" s="29"/>
      <c r="H481" s="28"/>
      <c r="I481" s="147"/>
      <c r="J481" s="147"/>
      <c r="K481" s="146"/>
      <c r="L481" s="146"/>
      <c r="M481" s="146"/>
      <c r="N481" s="146"/>
      <c r="O481" s="146"/>
      <c r="P481" s="146"/>
      <c r="Q481" s="30"/>
      <c r="R481" s="146"/>
      <c r="S481" s="147"/>
      <c r="T481" s="146"/>
      <c r="U481" s="146"/>
      <c r="V481" s="146"/>
      <c r="W481" s="146"/>
      <c r="X481" s="146"/>
      <c r="Y481" s="146"/>
      <c r="Z481" s="146"/>
      <c r="AA481" s="146"/>
      <c r="AB481" s="146"/>
      <c r="AC481" s="146"/>
      <c r="AD481" s="146"/>
      <c r="AE481" s="146"/>
      <c r="AF481" s="146"/>
      <c r="AG481" s="146"/>
      <c r="AH481" s="146"/>
      <c r="AI481" s="146"/>
    </row>
    <row r="482" spans="1:35" ht="13.5" customHeight="1" x14ac:dyDescent="0.25">
      <c r="A482" s="28"/>
      <c r="B482" s="28"/>
      <c r="C482" s="28"/>
      <c r="D482" s="28"/>
      <c r="E482" s="28"/>
      <c r="F482" s="28"/>
      <c r="G482" s="29"/>
      <c r="H482" s="28"/>
      <c r="I482" s="147"/>
      <c r="J482" s="147"/>
      <c r="K482" s="146"/>
      <c r="L482" s="146"/>
      <c r="M482" s="146"/>
      <c r="N482" s="146"/>
      <c r="O482" s="146"/>
      <c r="P482" s="146"/>
      <c r="Q482" s="30"/>
      <c r="R482" s="146"/>
      <c r="S482" s="147"/>
      <c r="T482" s="146"/>
      <c r="U482" s="146"/>
      <c r="V482" s="146"/>
      <c r="W482" s="146"/>
      <c r="X482" s="146"/>
      <c r="Y482" s="146"/>
      <c r="Z482" s="146"/>
      <c r="AA482" s="146"/>
      <c r="AB482" s="146"/>
      <c r="AC482" s="146"/>
      <c r="AD482" s="146"/>
      <c r="AE482" s="146"/>
      <c r="AF482" s="146"/>
      <c r="AG482" s="146"/>
      <c r="AH482" s="146"/>
      <c r="AI482" s="146"/>
    </row>
    <row r="483" spans="1:35" ht="13.5" customHeight="1" x14ac:dyDescent="0.25">
      <c r="A483" s="28"/>
      <c r="B483" s="28"/>
      <c r="C483" s="28"/>
      <c r="D483" s="28"/>
      <c r="E483" s="28"/>
      <c r="F483" s="28"/>
      <c r="G483" s="29"/>
      <c r="H483" s="28"/>
      <c r="I483" s="147"/>
      <c r="J483" s="147"/>
      <c r="K483" s="146"/>
      <c r="L483" s="146"/>
      <c r="M483" s="146"/>
      <c r="N483" s="146"/>
      <c r="O483" s="146"/>
      <c r="P483" s="146"/>
      <c r="Q483" s="30"/>
      <c r="R483" s="146"/>
      <c r="S483" s="147"/>
      <c r="T483" s="146"/>
      <c r="U483" s="146"/>
      <c r="V483" s="146"/>
      <c r="W483" s="146"/>
      <c r="X483" s="146"/>
      <c r="Y483" s="146"/>
      <c r="Z483" s="146"/>
      <c r="AA483" s="146"/>
      <c r="AB483" s="146"/>
      <c r="AC483" s="146"/>
      <c r="AD483" s="146"/>
      <c r="AE483" s="146"/>
      <c r="AF483" s="146"/>
      <c r="AG483" s="146"/>
      <c r="AH483" s="146"/>
      <c r="AI483" s="146"/>
    </row>
    <row r="484" spans="1:35" ht="13.5" customHeight="1" x14ac:dyDescent="0.25">
      <c r="A484" s="28"/>
      <c r="B484" s="28"/>
      <c r="C484" s="28"/>
      <c r="D484" s="28"/>
      <c r="E484" s="28"/>
      <c r="F484" s="28"/>
      <c r="G484" s="29"/>
      <c r="H484" s="28"/>
      <c r="I484" s="147"/>
      <c r="J484" s="147"/>
      <c r="K484" s="146"/>
      <c r="L484" s="146"/>
      <c r="M484" s="146"/>
      <c r="N484" s="146"/>
      <c r="O484" s="146"/>
      <c r="P484" s="146"/>
      <c r="Q484" s="30"/>
      <c r="R484" s="146"/>
      <c r="S484" s="147"/>
      <c r="T484" s="146"/>
      <c r="U484" s="146"/>
      <c r="V484" s="146"/>
      <c r="W484" s="146"/>
      <c r="X484" s="146"/>
      <c r="Y484" s="146"/>
      <c r="Z484" s="146"/>
      <c r="AA484" s="146"/>
      <c r="AB484" s="146"/>
      <c r="AC484" s="146"/>
      <c r="AD484" s="146"/>
      <c r="AE484" s="146"/>
      <c r="AF484" s="146"/>
      <c r="AG484" s="146"/>
      <c r="AH484" s="146"/>
      <c r="AI484" s="146"/>
    </row>
    <row r="485" spans="1:35" ht="13.5" customHeight="1" x14ac:dyDescent="0.25">
      <c r="A485" s="28"/>
      <c r="B485" s="28"/>
      <c r="C485" s="28"/>
      <c r="D485" s="28"/>
      <c r="E485" s="28"/>
      <c r="F485" s="28"/>
      <c r="G485" s="29"/>
      <c r="H485" s="28"/>
      <c r="I485" s="147"/>
      <c r="J485" s="147"/>
      <c r="K485" s="146"/>
      <c r="L485" s="146"/>
      <c r="M485" s="146"/>
      <c r="N485" s="146"/>
      <c r="O485" s="146"/>
      <c r="P485" s="146"/>
      <c r="Q485" s="30"/>
      <c r="R485" s="146"/>
      <c r="S485" s="147"/>
      <c r="T485" s="146"/>
      <c r="U485" s="146"/>
      <c r="V485" s="146"/>
      <c r="W485" s="146"/>
      <c r="X485" s="146"/>
      <c r="Y485" s="146"/>
      <c r="Z485" s="146"/>
      <c r="AA485" s="146"/>
      <c r="AB485" s="146"/>
      <c r="AC485" s="146"/>
      <c r="AD485" s="146"/>
      <c r="AE485" s="146"/>
      <c r="AF485" s="146"/>
      <c r="AG485" s="146"/>
      <c r="AH485" s="146"/>
      <c r="AI485" s="146"/>
    </row>
    <row r="486" spans="1:35" ht="13.5" customHeight="1" x14ac:dyDescent="0.25">
      <c r="A486" s="28"/>
      <c r="B486" s="28"/>
      <c r="C486" s="28"/>
      <c r="D486" s="28"/>
      <c r="E486" s="28"/>
      <c r="F486" s="28"/>
      <c r="G486" s="29"/>
      <c r="H486" s="28"/>
      <c r="I486" s="147"/>
      <c r="J486" s="147"/>
      <c r="K486" s="146"/>
      <c r="L486" s="146"/>
      <c r="M486" s="146"/>
      <c r="N486" s="146"/>
      <c r="O486" s="146"/>
      <c r="P486" s="146"/>
      <c r="Q486" s="30"/>
      <c r="R486" s="146"/>
      <c r="S486" s="147"/>
      <c r="T486" s="146"/>
      <c r="U486" s="146"/>
      <c r="V486" s="146"/>
      <c r="W486" s="146"/>
      <c r="X486" s="146"/>
      <c r="Y486" s="146"/>
      <c r="Z486" s="146"/>
      <c r="AA486" s="146"/>
      <c r="AB486" s="146"/>
      <c r="AC486" s="146"/>
      <c r="AD486" s="146"/>
      <c r="AE486" s="146"/>
      <c r="AF486" s="146"/>
      <c r="AG486" s="146"/>
      <c r="AH486" s="146"/>
      <c r="AI486" s="146"/>
    </row>
    <row r="487" spans="1:35" ht="13.5" customHeight="1" x14ac:dyDescent="0.25">
      <c r="A487" s="28"/>
      <c r="B487" s="28"/>
      <c r="C487" s="28"/>
      <c r="D487" s="28"/>
      <c r="E487" s="28"/>
      <c r="F487" s="28"/>
      <c r="G487" s="29"/>
      <c r="H487" s="28"/>
      <c r="I487" s="147"/>
      <c r="J487" s="147"/>
      <c r="K487" s="146"/>
      <c r="L487" s="146"/>
      <c r="M487" s="146"/>
      <c r="N487" s="146"/>
      <c r="O487" s="146"/>
      <c r="P487" s="146"/>
      <c r="Q487" s="30"/>
      <c r="R487" s="146"/>
      <c r="S487" s="147"/>
      <c r="T487" s="146"/>
      <c r="U487" s="146"/>
      <c r="V487" s="146"/>
      <c r="W487" s="146"/>
      <c r="X487" s="146"/>
      <c r="Y487" s="146"/>
      <c r="Z487" s="146"/>
      <c r="AA487" s="146"/>
      <c r="AB487" s="146"/>
      <c r="AC487" s="146"/>
      <c r="AD487" s="146"/>
      <c r="AE487" s="146"/>
      <c r="AF487" s="146"/>
      <c r="AG487" s="146"/>
      <c r="AH487" s="146"/>
      <c r="AI487" s="146"/>
    </row>
    <row r="488" spans="1:35" ht="13.5" customHeight="1" x14ac:dyDescent="0.25">
      <c r="A488" s="28"/>
      <c r="B488" s="28"/>
      <c r="C488" s="28"/>
      <c r="D488" s="28"/>
      <c r="E488" s="28"/>
      <c r="F488" s="28"/>
      <c r="G488" s="29"/>
      <c r="H488" s="28"/>
      <c r="I488" s="147"/>
      <c r="J488" s="147"/>
      <c r="K488" s="146"/>
      <c r="L488" s="146"/>
      <c r="M488" s="146"/>
      <c r="N488" s="146"/>
      <c r="O488" s="146"/>
      <c r="P488" s="146"/>
      <c r="Q488" s="30"/>
      <c r="R488" s="146"/>
      <c r="S488" s="147"/>
      <c r="T488" s="146"/>
      <c r="U488" s="146"/>
      <c r="V488" s="146"/>
      <c r="W488" s="146"/>
      <c r="X488" s="146"/>
      <c r="Y488" s="146"/>
      <c r="Z488" s="146"/>
      <c r="AA488" s="146"/>
      <c r="AB488" s="146"/>
      <c r="AC488" s="146"/>
      <c r="AD488" s="146"/>
      <c r="AE488" s="146"/>
      <c r="AF488" s="146"/>
      <c r="AG488" s="146"/>
      <c r="AH488" s="146"/>
      <c r="AI488" s="146"/>
    </row>
    <row r="489" spans="1:35" ht="13.5" customHeight="1" x14ac:dyDescent="0.25">
      <c r="A489" s="28"/>
      <c r="B489" s="28"/>
      <c r="C489" s="28"/>
      <c r="D489" s="28"/>
      <c r="E489" s="28"/>
      <c r="F489" s="28"/>
      <c r="G489" s="29"/>
      <c r="H489" s="28"/>
      <c r="I489" s="147"/>
      <c r="J489" s="147"/>
      <c r="K489" s="146"/>
      <c r="L489" s="146"/>
      <c r="M489" s="146"/>
      <c r="N489" s="146"/>
      <c r="O489" s="146"/>
      <c r="P489" s="146"/>
      <c r="Q489" s="30"/>
      <c r="R489" s="146"/>
      <c r="S489" s="147"/>
      <c r="T489" s="146"/>
      <c r="U489" s="146"/>
      <c r="V489" s="146"/>
      <c r="W489" s="146"/>
      <c r="X489" s="146"/>
      <c r="Y489" s="146"/>
      <c r="Z489" s="146"/>
      <c r="AA489" s="146"/>
      <c r="AB489" s="146"/>
      <c r="AC489" s="146"/>
      <c r="AD489" s="146"/>
      <c r="AE489" s="146"/>
      <c r="AF489" s="146"/>
      <c r="AG489" s="146"/>
      <c r="AH489" s="146"/>
      <c r="AI489" s="146"/>
    </row>
    <row r="490" spans="1:35" ht="13.5" customHeight="1" x14ac:dyDescent="0.25">
      <c r="A490" s="28"/>
      <c r="B490" s="28"/>
      <c r="C490" s="28"/>
      <c r="D490" s="28"/>
      <c r="E490" s="28"/>
      <c r="F490" s="28"/>
      <c r="G490" s="29"/>
      <c r="H490" s="28"/>
      <c r="I490" s="147"/>
      <c r="J490" s="147"/>
      <c r="K490" s="146"/>
      <c r="L490" s="146"/>
      <c r="M490" s="146"/>
      <c r="N490" s="146"/>
      <c r="O490" s="146"/>
      <c r="P490" s="146"/>
      <c r="Q490" s="30"/>
      <c r="R490" s="146"/>
      <c r="S490" s="147"/>
      <c r="T490" s="146"/>
      <c r="U490" s="146"/>
      <c r="V490" s="146"/>
      <c r="W490" s="146"/>
      <c r="X490" s="146"/>
      <c r="Y490" s="146"/>
      <c r="Z490" s="146"/>
      <c r="AA490" s="146"/>
      <c r="AB490" s="146"/>
      <c r="AC490" s="146"/>
      <c r="AD490" s="146"/>
      <c r="AE490" s="146"/>
      <c r="AF490" s="146"/>
      <c r="AG490" s="146"/>
      <c r="AH490" s="146"/>
      <c r="AI490" s="146"/>
    </row>
    <row r="491" spans="1:35" ht="13.5" customHeight="1" x14ac:dyDescent="0.25">
      <c r="A491" s="28"/>
      <c r="B491" s="28"/>
      <c r="C491" s="28"/>
      <c r="D491" s="28"/>
      <c r="E491" s="28"/>
      <c r="F491" s="28"/>
      <c r="G491" s="29"/>
      <c r="H491" s="28"/>
      <c r="I491" s="147"/>
      <c r="J491" s="147"/>
      <c r="K491" s="146"/>
      <c r="L491" s="146"/>
      <c r="M491" s="146"/>
      <c r="N491" s="146"/>
      <c r="O491" s="146"/>
      <c r="P491" s="146"/>
      <c r="Q491" s="30"/>
      <c r="R491" s="146"/>
      <c r="S491" s="147"/>
      <c r="T491" s="146"/>
      <c r="U491" s="146"/>
      <c r="V491" s="146"/>
      <c r="W491" s="146"/>
      <c r="X491" s="146"/>
      <c r="Y491" s="146"/>
      <c r="Z491" s="146"/>
      <c r="AA491" s="146"/>
      <c r="AB491" s="146"/>
      <c r="AC491" s="146"/>
      <c r="AD491" s="146"/>
      <c r="AE491" s="146"/>
      <c r="AF491" s="146"/>
      <c r="AG491" s="146"/>
      <c r="AH491" s="146"/>
      <c r="AI491" s="146"/>
    </row>
    <row r="492" spans="1:35" ht="13.5" customHeight="1" x14ac:dyDescent="0.25">
      <c r="A492" s="28"/>
      <c r="B492" s="28"/>
      <c r="C492" s="28"/>
      <c r="D492" s="28"/>
      <c r="E492" s="28"/>
      <c r="F492" s="28"/>
      <c r="G492" s="29"/>
      <c r="H492" s="28"/>
      <c r="I492" s="147"/>
      <c r="J492" s="147"/>
      <c r="K492" s="146"/>
      <c r="L492" s="146"/>
      <c r="M492" s="146"/>
      <c r="N492" s="146"/>
      <c r="O492" s="146"/>
      <c r="P492" s="146"/>
      <c r="Q492" s="30"/>
      <c r="R492" s="146"/>
      <c r="S492" s="147"/>
      <c r="T492" s="146"/>
      <c r="U492" s="146"/>
      <c r="V492" s="146"/>
      <c r="W492" s="146"/>
      <c r="X492" s="146"/>
      <c r="Y492" s="146"/>
      <c r="Z492" s="146"/>
      <c r="AA492" s="146"/>
      <c r="AB492" s="146"/>
      <c r="AC492" s="146"/>
      <c r="AD492" s="146"/>
      <c r="AE492" s="146"/>
      <c r="AF492" s="146"/>
      <c r="AG492" s="146"/>
      <c r="AH492" s="146"/>
      <c r="AI492" s="146"/>
    </row>
    <row r="493" spans="1:35" ht="13.5" customHeight="1" x14ac:dyDescent="0.25">
      <c r="A493" s="28"/>
      <c r="B493" s="28"/>
      <c r="C493" s="28"/>
      <c r="D493" s="28"/>
      <c r="E493" s="28"/>
      <c r="F493" s="28"/>
      <c r="G493" s="29"/>
      <c r="H493" s="28"/>
      <c r="I493" s="147"/>
      <c r="J493" s="147"/>
      <c r="K493" s="146"/>
      <c r="L493" s="146"/>
      <c r="M493" s="146"/>
      <c r="N493" s="146"/>
      <c r="O493" s="146"/>
      <c r="P493" s="146"/>
      <c r="Q493" s="30"/>
      <c r="R493" s="146"/>
      <c r="S493" s="147"/>
      <c r="T493" s="146"/>
      <c r="U493" s="146"/>
      <c r="V493" s="146"/>
      <c r="W493" s="146"/>
      <c r="X493" s="146"/>
      <c r="Y493" s="146"/>
      <c r="Z493" s="146"/>
      <c r="AA493" s="146"/>
      <c r="AB493" s="146"/>
      <c r="AC493" s="146"/>
      <c r="AD493" s="146"/>
      <c r="AE493" s="146"/>
      <c r="AF493" s="146"/>
      <c r="AG493" s="146"/>
      <c r="AH493" s="146"/>
      <c r="AI493" s="146"/>
    </row>
    <row r="494" spans="1:35" ht="13.5" customHeight="1" x14ac:dyDescent="0.25">
      <c r="A494" s="28"/>
      <c r="B494" s="28"/>
      <c r="C494" s="28"/>
      <c r="D494" s="28"/>
      <c r="E494" s="28"/>
      <c r="F494" s="28"/>
      <c r="G494" s="29"/>
      <c r="H494" s="28"/>
      <c r="I494" s="147"/>
      <c r="J494" s="147"/>
      <c r="K494" s="146"/>
      <c r="L494" s="146"/>
      <c r="M494" s="146"/>
      <c r="N494" s="146"/>
      <c r="O494" s="146"/>
      <c r="P494" s="146"/>
      <c r="Q494" s="30"/>
      <c r="R494" s="146"/>
      <c r="S494" s="147"/>
      <c r="T494" s="146"/>
      <c r="U494" s="146"/>
      <c r="V494" s="146"/>
      <c r="W494" s="146"/>
      <c r="X494" s="146"/>
      <c r="Y494" s="146"/>
      <c r="Z494" s="146"/>
      <c r="AA494" s="146"/>
      <c r="AB494" s="146"/>
      <c r="AC494" s="146"/>
      <c r="AD494" s="146"/>
      <c r="AE494" s="146"/>
      <c r="AF494" s="146"/>
      <c r="AG494" s="146"/>
      <c r="AH494" s="146"/>
      <c r="AI494" s="146"/>
    </row>
    <row r="495" spans="1:35" ht="13.5" customHeight="1" x14ac:dyDescent="0.25">
      <c r="A495" s="28"/>
      <c r="B495" s="28"/>
      <c r="C495" s="28"/>
      <c r="D495" s="28"/>
      <c r="E495" s="28"/>
      <c r="F495" s="28"/>
      <c r="G495" s="29"/>
      <c r="H495" s="28"/>
      <c r="I495" s="147"/>
      <c r="J495" s="147"/>
      <c r="K495" s="146"/>
      <c r="L495" s="146"/>
      <c r="M495" s="146"/>
      <c r="N495" s="146"/>
      <c r="O495" s="146"/>
      <c r="P495" s="146"/>
      <c r="Q495" s="30"/>
      <c r="R495" s="146"/>
      <c r="S495" s="147"/>
      <c r="T495" s="146"/>
      <c r="U495" s="146"/>
      <c r="V495" s="146"/>
      <c r="W495" s="146"/>
      <c r="X495" s="146"/>
      <c r="Y495" s="146"/>
      <c r="Z495" s="146"/>
      <c r="AA495" s="146"/>
      <c r="AB495" s="146"/>
      <c r="AC495" s="146"/>
      <c r="AD495" s="146"/>
      <c r="AE495" s="146"/>
      <c r="AF495" s="146"/>
      <c r="AG495" s="146"/>
      <c r="AH495" s="146"/>
      <c r="AI495" s="146"/>
    </row>
    <row r="496" spans="1:35" ht="13.5" customHeight="1" x14ac:dyDescent="0.25">
      <c r="A496" s="28"/>
      <c r="B496" s="28"/>
      <c r="C496" s="28"/>
      <c r="D496" s="28"/>
      <c r="E496" s="28"/>
      <c r="F496" s="28"/>
      <c r="G496" s="29"/>
      <c r="H496" s="28"/>
      <c r="I496" s="147"/>
      <c r="J496" s="147"/>
      <c r="K496" s="146"/>
      <c r="L496" s="146"/>
      <c r="M496" s="146"/>
      <c r="N496" s="146"/>
      <c r="O496" s="146"/>
      <c r="P496" s="146"/>
      <c r="Q496" s="30"/>
      <c r="R496" s="146"/>
      <c r="S496" s="147"/>
      <c r="T496" s="146"/>
      <c r="U496" s="146"/>
      <c r="V496" s="146"/>
      <c r="W496" s="146"/>
      <c r="X496" s="146"/>
      <c r="Y496" s="146"/>
      <c r="Z496" s="146"/>
      <c r="AA496" s="146"/>
      <c r="AB496" s="146"/>
      <c r="AC496" s="146"/>
      <c r="AD496" s="146"/>
      <c r="AE496" s="146"/>
      <c r="AF496" s="146"/>
      <c r="AG496" s="146"/>
      <c r="AH496" s="146"/>
      <c r="AI496" s="146"/>
    </row>
    <row r="497" spans="1:35" ht="13.5" customHeight="1" x14ac:dyDescent="0.25">
      <c r="A497" s="28"/>
      <c r="B497" s="28"/>
      <c r="C497" s="28"/>
      <c r="D497" s="28"/>
      <c r="E497" s="28"/>
      <c r="F497" s="28"/>
      <c r="G497" s="29"/>
      <c r="H497" s="28"/>
      <c r="I497" s="147"/>
      <c r="J497" s="147"/>
      <c r="K497" s="146"/>
      <c r="L497" s="146"/>
      <c r="M497" s="146"/>
      <c r="N497" s="146"/>
      <c r="O497" s="146"/>
      <c r="P497" s="146"/>
      <c r="Q497" s="30"/>
      <c r="R497" s="146"/>
      <c r="S497" s="147"/>
      <c r="T497" s="146"/>
      <c r="U497" s="146"/>
      <c r="V497" s="146"/>
      <c r="W497" s="146"/>
      <c r="X497" s="146"/>
      <c r="Y497" s="146"/>
      <c r="Z497" s="146"/>
      <c r="AA497" s="146"/>
      <c r="AB497" s="146"/>
      <c r="AC497" s="146"/>
      <c r="AD497" s="146"/>
      <c r="AE497" s="146"/>
      <c r="AF497" s="146"/>
      <c r="AG497" s="146"/>
      <c r="AH497" s="146"/>
      <c r="AI497" s="146"/>
    </row>
    <row r="498" spans="1:35" ht="13.5" customHeight="1" x14ac:dyDescent="0.25">
      <c r="A498" s="28"/>
      <c r="B498" s="28"/>
      <c r="C498" s="28"/>
      <c r="D498" s="28"/>
      <c r="E498" s="28"/>
      <c r="F498" s="28"/>
      <c r="G498" s="29"/>
      <c r="H498" s="28"/>
      <c r="I498" s="147"/>
      <c r="J498" s="147"/>
      <c r="K498" s="146"/>
      <c r="L498" s="146"/>
      <c r="M498" s="146"/>
      <c r="N498" s="146"/>
      <c r="O498" s="146"/>
      <c r="P498" s="146"/>
      <c r="Q498" s="30"/>
      <c r="R498" s="146"/>
      <c r="S498" s="147"/>
      <c r="T498" s="146"/>
      <c r="U498" s="146"/>
      <c r="V498" s="146"/>
      <c r="W498" s="146"/>
      <c r="X498" s="146"/>
      <c r="Y498" s="146"/>
      <c r="Z498" s="146"/>
      <c r="AA498" s="146"/>
      <c r="AB498" s="146"/>
      <c r="AC498" s="146"/>
      <c r="AD498" s="146"/>
      <c r="AE498" s="146"/>
      <c r="AF498" s="146"/>
      <c r="AG498" s="146"/>
      <c r="AH498" s="146"/>
      <c r="AI498" s="146"/>
    </row>
    <row r="499" spans="1:35" ht="13.5" customHeight="1" x14ac:dyDescent="0.25">
      <c r="A499" s="28"/>
      <c r="B499" s="28"/>
      <c r="C499" s="28"/>
      <c r="D499" s="28"/>
      <c r="E499" s="28"/>
      <c r="F499" s="28"/>
      <c r="G499" s="29"/>
      <c r="H499" s="28"/>
      <c r="I499" s="147"/>
      <c r="J499" s="147"/>
      <c r="K499" s="146"/>
      <c r="L499" s="146"/>
      <c r="M499" s="146"/>
      <c r="N499" s="146"/>
      <c r="O499" s="146"/>
      <c r="P499" s="146"/>
      <c r="Q499" s="30"/>
      <c r="R499" s="146"/>
      <c r="S499" s="147"/>
      <c r="T499" s="146"/>
      <c r="U499" s="146"/>
      <c r="V499" s="146"/>
      <c r="W499" s="146"/>
      <c r="X499" s="146"/>
      <c r="Y499" s="146"/>
      <c r="Z499" s="146"/>
      <c r="AA499" s="146"/>
      <c r="AB499" s="146"/>
      <c r="AC499" s="146"/>
      <c r="AD499" s="146"/>
      <c r="AE499" s="146"/>
      <c r="AF499" s="146"/>
      <c r="AG499" s="146"/>
      <c r="AH499" s="146"/>
      <c r="AI499" s="146"/>
    </row>
    <row r="500" spans="1:35" ht="13.5" customHeight="1" x14ac:dyDescent="0.25">
      <c r="A500" s="28"/>
      <c r="B500" s="28"/>
      <c r="C500" s="28"/>
      <c r="D500" s="28"/>
      <c r="E500" s="28"/>
      <c r="F500" s="28"/>
      <c r="G500" s="29"/>
      <c r="H500" s="28"/>
      <c r="I500" s="147"/>
      <c r="J500" s="147"/>
      <c r="K500" s="146"/>
      <c r="L500" s="146"/>
      <c r="M500" s="146"/>
      <c r="N500" s="146"/>
      <c r="O500" s="146"/>
      <c r="P500" s="146"/>
      <c r="Q500" s="30"/>
      <c r="R500" s="146"/>
      <c r="S500" s="147"/>
      <c r="T500" s="146"/>
      <c r="U500" s="146"/>
      <c r="V500" s="146"/>
      <c r="W500" s="146"/>
      <c r="X500" s="146"/>
      <c r="Y500" s="146"/>
      <c r="Z500" s="146"/>
      <c r="AA500" s="146"/>
      <c r="AB500" s="146"/>
      <c r="AC500" s="146"/>
      <c r="AD500" s="146"/>
      <c r="AE500" s="146"/>
      <c r="AF500" s="146"/>
      <c r="AG500" s="146"/>
      <c r="AH500" s="146"/>
      <c r="AI500" s="146"/>
    </row>
    <row r="501" spans="1:35" ht="13.5" customHeight="1" x14ac:dyDescent="0.25">
      <c r="A501" s="28"/>
      <c r="B501" s="28"/>
      <c r="C501" s="28"/>
      <c r="D501" s="28"/>
      <c r="E501" s="28"/>
      <c r="F501" s="28"/>
      <c r="G501" s="29"/>
      <c r="H501" s="28"/>
      <c r="I501" s="147"/>
      <c r="J501" s="147"/>
      <c r="K501" s="146"/>
      <c r="L501" s="146"/>
      <c r="M501" s="146"/>
      <c r="N501" s="146"/>
      <c r="O501" s="146"/>
      <c r="P501" s="146"/>
      <c r="Q501" s="30"/>
      <c r="R501" s="146"/>
      <c r="S501" s="147"/>
      <c r="T501" s="146"/>
      <c r="U501" s="146"/>
      <c r="V501" s="146"/>
      <c r="W501" s="146"/>
      <c r="X501" s="146"/>
      <c r="Y501" s="146"/>
      <c r="Z501" s="146"/>
      <c r="AA501" s="146"/>
      <c r="AB501" s="146"/>
      <c r="AC501" s="146"/>
      <c r="AD501" s="146"/>
      <c r="AE501" s="146"/>
      <c r="AF501" s="146"/>
      <c r="AG501" s="146"/>
      <c r="AH501" s="146"/>
      <c r="AI501" s="146"/>
    </row>
    <row r="502" spans="1:35" ht="13.5" customHeight="1" x14ac:dyDescent="0.25">
      <c r="A502" s="28"/>
      <c r="B502" s="28"/>
      <c r="C502" s="28"/>
      <c r="D502" s="28"/>
      <c r="E502" s="28"/>
      <c r="F502" s="28"/>
      <c r="G502" s="29"/>
      <c r="H502" s="28"/>
      <c r="I502" s="147"/>
      <c r="J502" s="147"/>
      <c r="K502" s="146"/>
      <c r="L502" s="146"/>
      <c r="M502" s="146"/>
      <c r="N502" s="146"/>
      <c r="O502" s="146"/>
      <c r="P502" s="146"/>
      <c r="Q502" s="30"/>
      <c r="R502" s="146"/>
      <c r="S502" s="147"/>
      <c r="T502" s="146"/>
      <c r="U502" s="146"/>
      <c r="V502" s="146"/>
      <c r="W502" s="146"/>
      <c r="X502" s="146"/>
      <c r="Y502" s="146"/>
      <c r="Z502" s="146"/>
      <c r="AA502" s="146"/>
      <c r="AB502" s="146"/>
      <c r="AC502" s="146"/>
      <c r="AD502" s="146"/>
      <c r="AE502" s="146"/>
      <c r="AF502" s="146"/>
      <c r="AG502" s="146"/>
      <c r="AH502" s="146"/>
      <c r="AI502" s="146"/>
    </row>
    <row r="503" spans="1:35" ht="13.5" customHeight="1" x14ac:dyDescent="0.25">
      <c r="A503" s="28"/>
      <c r="B503" s="28"/>
      <c r="C503" s="28"/>
      <c r="D503" s="28"/>
      <c r="E503" s="28"/>
      <c r="F503" s="28"/>
      <c r="G503" s="29"/>
      <c r="H503" s="28"/>
      <c r="I503" s="147"/>
      <c r="J503" s="147"/>
      <c r="K503" s="146"/>
      <c r="L503" s="146"/>
      <c r="M503" s="146"/>
      <c r="N503" s="146"/>
      <c r="O503" s="146"/>
      <c r="P503" s="146"/>
      <c r="Q503" s="30"/>
      <c r="R503" s="146"/>
      <c r="S503" s="147"/>
      <c r="T503" s="146"/>
      <c r="U503" s="146"/>
      <c r="V503" s="146"/>
      <c r="W503" s="146"/>
      <c r="X503" s="146"/>
      <c r="Y503" s="146"/>
      <c r="Z503" s="146"/>
      <c r="AA503" s="146"/>
      <c r="AB503" s="146"/>
      <c r="AC503" s="146"/>
      <c r="AD503" s="146"/>
      <c r="AE503" s="146"/>
      <c r="AF503" s="146"/>
      <c r="AG503" s="146"/>
      <c r="AH503" s="146"/>
      <c r="AI503" s="146"/>
    </row>
    <row r="504" spans="1:35" ht="13.5" customHeight="1" x14ac:dyDescent="0.25">
      <c r="A504" s="28"/>
      <c r="B504" s="28"/>
      <c r="C504" s="28"/>
      <c r="D504" s="28"/>
      <c r="E504" s="28"/>
      <c r="F504" s="28"/>
      <c r="G504" s="29"/>
      <c r="H504" s="28"/>
      <c r="I504" s="147"/>
      <c r="J504" s="147"/>
      <c r="K504" s="146"/>
      <c r="L504" s="146"/>
      <c r="M504" s="146"/>
      <c r="N504" s="146"/>
      <c r="O504" s="146"/>
      <c r="P504" s="146"/>
      <c r="Q504" s="30"/>
      <c r="R504" s="146"/>
      <c r="S504" s="147"/>
      <c r="T504" s="146"/>
      <c r="U504" s="146"/>
      <c r="V504" s="146"/>
      <c r="W504" s="146"/>
      <c r="X504" s="146"/>
      <c r="Y504" s="146"/>
      <c r="Z504" s="146"/>
      <c r="AA504" s="146"/>
      <c r="AB504" s="146"/>
      <c r="AC504" s="146"/>
      <c r="AD504" s="146"/>
      <c r="AE504" s="146"/>
      <c r="AF504" s="146"/>
      <c r="AG504" s="146"/>
      <c r="AH504" s="146"/>
      <c r="AI504" s="146"/>
    </row>
    <row r="505" spans="1:35" ht="13.5" customHeight="1" x14ac:dyDescent="0.25">
      <c r="A505" s="28"/>
      <c r="B505" s="28"/>
      <c r="C505" s="28"/>
      <c r="D505" s="28"/>
      <c r="E505" s="28"/>
      <c r="F505" s="28"/>
      <c r="G505" s="29"/>
      <c r="H505" s="28"/>
      <c r="I505" s="147"/>
      <c r="J505" s="147"/>
      <c r="K505" s="146"/>
      <c r="L505" s="146"/>
      <c r="M505" s="146"/>
      <c r="N505" s="146"/>
      <c r="O505" s="146"/>
      <c r="P505" s="146"/>
      <c r="Q505" s="30"/>
      <c r="R505" s="146"/>
      <c r="S505" s="147"/>
      <c r="T505" s="146"/>
      <c r="U505" s="146"/>
      <c r="V505" s="146"/>
      <c r="W505" s="146"/>
      <c r="X505" s="146"/>
      <c r="Y505" s="146"/>
      <c r="Z505" s="146"/>
      <c r="AA505" s="146"/>
      <c r="AB505" s="146"/>
      <c r="AC505" s="146"/>
      <c r="AD505" s="146"/>
      <c r="AE505" s="146"/>
      <c r="AF505" s="146"/>
      <c r="AG505" s="146"/>
      <c r="AH505" s="146"/>
      <c r="AI505" s="146"/>
    </row>
    <row r="506" spans="1:35" ht="13.5" customHeight="1" x14ac:dyDescent="0.25">
      <c r="A506" s="28"/>
      <c r="B506" s="28"/>
      <c r="C506" s="28"/>
      <c r="D506" s="28"/>
      <c r="E506" s="28"/>
      <c r="F506" s="28"/>
      <c r="G506" s="29"/>
      <c r="H506" s="28"/>
      <c r="I506" s="147"/>
      <c r="J506" s="147"/>
      <c r="K506" s="146"/>
      <c r="L506" s="146"/>
      <c r="M506" s="146"/>
      <c r="N506" s="146"/>
      <c r="O506" s="146"/>
      <c r="P506" s="146"/>
      <c r="Q506" s="30"/>
      <c r="R506" s="146"/>
      <c r="S506" s="147"/>
      <c r="T506" s="146"/>
      <c r="U506" s="146"/>
      <c r="V506" s="146"/>
      <c r="W506" s="146"/>
      <c r="X506" s="146"/>
      <c r="Y506" s="146"/>
      <c r="Z506" s="146"/>
      <c r="AA506" s="146"/>
      <c r="AB506" s="146"/>
      <c r="AC506" s="146"/>
      <c r="AD506" s="146"/>
      <c r="AE506" s="146"/>
      <c r="AF506" s="146"/>
      <c r="AG506" s="146"/>
      <c r="AH506" s="146"/>
      <c r="AI506" s="146"/>
    </row>
    <row r="507" spans="1:35" ht="13.5" customHeight="1" x14ac:dyDescent="0.25">
      <c r="A507" s="28"/>
      <c r="B507" s="28"/>
      <c r="C507" s="28"/>
      <c r="D507" s="28"/>
      <c r="E507" s="28"/>
      <c r="F507" s="28"/>
      <c r="G507" s="29"/>
      <c r="H507" s="28"/>
      <c r="I507" s="147"/>
      <c r="J507" s="147"/>
      <c r="K507" s="146"/>
      <c r="L507" s="146"/>
      <c r="M507" s="146"/>
      <c r="N507" s="146"/>
      <c r="O507" s="146"/>
      <c r="P507" s="146"/>
      <c r="Q507" s="30"/>
      <c r="R507" s="146"/>
      <c r="S507" s="147"/>
      <c r="T507" s="146"/>
      <c r="U507" s="146"/>
      <c r="V507" s="146"/>
      <c r="W507" s="146"/>
      <c r="X507" s="146"/>
      <c r="Y507" s="146"/>
      <c r="Z507" s="146"/>
      <c r="AA507" s="146"/>
      <c r="AB507" s="146"/>
      <c r="AC507" s="146"/>
      <c r="AD507" s="146"/>
      <c r="AE507" s="146"/>
      <c r="AF507" s="146"/>
      <c r="AG507" s="146"/>
      <c r="AH507" s="146"/>
      <c r="AI507" s="146"/>
    </row>
    <row r="508" spans="1:35" ht="13.5" customHeight="1" x14ac:dyDescent="0.25">
      <c r="A508" s="28"/>
      <c r="B508" s="28"/>
      <c r="C508" s="28"/>
      <c r="D508" s="28"/>
      <c r="E508" s="28"/>
      <c r="F508" s="28"/>
      <c r="G508" s="29"/>
      <c r="H508" s="28"/>
      <c r="I508" s="147"/>
      <c r="J508" s="147"/>
      <c r="K508" s="146"/>
      <c r="L508" s="146"/>
      <c r="M508" s="146"/>
      <c r="N508" s="146"/>
      <c r="O508" s="146"/>
      <c r="P508" s="146"/>
      <c r="Q508" s="30"/>
      <c r="R508" s="146"/>
      <c r="S508" s="147"/>
      <c r="T508" s="146"/>
      <c r="U508" s="146"/>
      <c r="V508" s="146"/>
      <c r="W508" s="146"/>
      <c r="X508" s="146"/>
      <c r="Y508" s="146"/>
      <c r="Z508" s="146"/>
      <c r="AA508" s="146"/>
      <c r="AB508" s="146"/>
      <c r="AC508" s="146"/>
      <c r="AD508" s="146"/>
      <c r="AE508" s="146"/>
      <c r="AF508" s="146"/>
      <c r="AG508" s="146"/>
      <c r="AH508" s="146"/>
      <c r="AI508" s="146"/>
    </row>
    <row r="509" spans="1:35" ht="13.5" customHeight="1" x14ac:dyDescent="0.25">
      <c r="A509" s="28"/>
      <c r="B509" s="28"/>
      <c r="C509" s="28"/>
      <c r="D509" s="28"/>
      <c r="E509" s="28"/>
      <c r="F509" s="28"/>
      <c r="G509" s="29"/>
      <c r="H509" s="28"/>
      <c r="I509" s="147"/>
      <c r="J509" s="147"/>
      <c r="K509" s="146"/>
      <c r="L509" s="146"/>
      <c r="M509" s="146"/>
      <c r="N509" s="146"/>
      <c r="O509" s="146"/>
      <c r="P509" s="146"/>
      <c r="Q509" s="30"/>
      <c r="R509" s="146"/>
      <c r="S509" s="147"/>
      <c r="T509" s="146"/>
      <c r="U509" s="146"/>
      <c r="V509" s="146"/>
      <c r="W509" s="146"/>
      <c r="X509" s="146"/>
      <c r="Y509" s="146"/>
      <c r="Z509" s="146"/>
      <c r="AA509" s="146"/>
      <c r="AB509" s="146"/>
      <c r="AC509" s="146"/>
      <c r="AD509" s="146"/>
      <c r="AE509" s="146"/>
      <c r="AF509" s="146"/>
      <c r="AG509" s="146"/>
      <c r="AH509" s="146"/>
      <c r="AI509" s="146"/>
    </row>
    <row r="510" spans="1:35" ht="13.5" customHeight="1" x14ac:dyDescent="0.25">
      <c r="A510" s="28"/>
      <c r="B510" s="28"/>
      <c r="C510" s="28"/>
      <c r="D510" s="28"/>
      <c r="E510" s="28"/>
      <c r="F510" s="28"/>
      <c r="G510" s="29"/>
      <c r="H510" s="28"/>
      <c r="I510" s="147"/>
      <c r="J510" s="147"/>
      <c r="K510" s="146"/>
      <c r="L510" s="146"/>
      <c r="M510" s="146"/>
      <c r="N510" s="146"/>
      <c r="O510" s="146"/>
      <c r="P510" s="146"/>
      <c r="Q510" s="30"/>
      <c r="R510" s="146"/>
      <c r="S510" s="147"/>
      <c r="T510" s="146"/>
      <c r="U510" s="146"/>
      <c r="V510" s="146"/>
      <c r="W510" s="146"/>
      <c r="X510" s="146"/>
      <c r="Y510" s="146"/>
      <c r="Z510" s="146"/>
      <c r="AA510" s="146"/>
      <c r="AB510" s="146"/>
      <c r="AC510" s="146"/>
      <c r="AD510" s="146"/>
      <c r="AE510" s="146"/>
      <c r="AF510" s="146"/>
      <c r="AG510" s="146"/>
      <c r="AH510" s="146"/>
      <c r="AI510" s="146"/>
    </row>
    <row r="511" spans="1:35" ht="13.5" customHeight="1" x14ac:dyDescent="0.25">
      <c r="A511" s="28"/>
      <c r="B511" s="28"/>
      <c r="C511" s="28"/>
      <c r="D511" s="28"/>
      <c r="E511" s="28"/>
      <c r="F511" s="28"/>
      <c r="G511" s="29"/>
      <c r="H511" s="28"/>
      <c r="I511" s="147"/>
      <c r="J511" s="147"/>
      <c r="K511" s="146"/>
      <c r="L511" s="146"/>
      <c r="M511" s="146"/>
      <c r="N511" s="146"/>
      <c r="O511" s="146"/>
      <c r="P511" s="146"/>
      <c r="Q511" s="30"/>
      <c r="R511" s="146"/>
      <c r="S511" s="147"/>
      <c r="T511" s="146"/>
      <c r="U511" s="146"/>
      <c r="V511" s="146"/>
      <c r="W511" s="146"/>
      <c r="X511" s="146"/>
      <c r="Y511" s="146"/>
      <c r="Z511" s="146"/>
      <c r="AA511" s="146"/>
      <c r="AB511" s="146"/>
      <c r="AC511" s="146"/>
      <c r="AD511" s="146"/>
      <c r="AE511" s="146"/>
      <c r="AF511" s="146"/>
      <c r="AG511" s="146"/>
      <c r="AH511" s="146"/>
      <c r="AI511" s="146"/>
    </row>
    <row r="512" spans="1:35" ht="13.5" customHeight="1" x14ac:dyDescent="0.25">
      <c r="A512" s="28"/>
      <c r="B512" s="28"/>
      <c r="C512" s="28"/>
      <c r="D512" s="28"/>
      <c r="E512" s="28"/>
      <c r="F512" s="28"/>
      <c r="G512" s="29"/>
      <c r="H512" s="28"/>
      <c r="I512" s="147"/>
      <c r="J512" s="147"/>
      <c r="K512" s="146"/>
      <c r="L512" s="146"/>
      <c r="M512" s="146"/>
      <c r="N512" s="146"/>
      <c r="O512" s="146"/>
      <c r="P512" s="146"/>
      <c r="Q512" s="30"/>
      <c r="R512" s="146"/>
      <c r="S512" s="147"/>
      <c r="T512" s="146"/>
      <c r="U512" s="146"/>
      <c r="V512" s="146"/>
      <c r="W512" s="146"/>
      <c r="X512" s="146"/>
      <c r="Y512" s="146"/>
      <c r="Z512" s="146"/>
      <c r="AA512" s="146"/>
      <c r="AB512" s="146"/>
      <c r="AC512" s="146"/>
      <c r="AD512" s="146"/>
      <c r="AE512" s="146"/>
      <c r="AF512" s="146"/>
      <c r="AG512" s="146"/>
      <c r="AH512" s="146"/>
      <c r="AI512" s="146"/>
    </row>
    <row r="513" spans="1:35" ht="13.5" customHeight="1" x14ac:dyDescent="0.25">
      <c r="A513" s="28"/>
      <c r="B513" s="28"/>
      <c r="C513" s="28"/>
      <c r="D513" s="28"/>
      <c r="E513" s="28"/>
      <c r="F513" s="28"/>
      <c r="G513" s="29"/>
      <c r="H513" s="28"/>
      <c r="I513" s="147"/>
      <c r="J513" s="147"/>
      <c r="K513" s="146"/>
      <c r="L513" s="146"/>
      <c r="M513" s="146"/>
      <c r="N513" s="146"/>
      <c r="O513" s="146"/>
      <c r="P513" s="146"/>
      <c r="Q513" s="30"/>
      <c r="R513" s="146"/>
      <c r="S513" s="147"/>
      <c r="T513" s="146"/>
      <c r="U513" s="146"/>
      <c r="V513" s="146"/>
      <c r="W513" s="146"/>
      <c r="X513" s="146"/>
      <c r="Y513" s="146"/>
      <c r="Z513" s="146"/>
      <c r="AA513" s="146"/>
      <c r="AB513" s="146"/>
      <c r="AC513" s="146"/>
      <c r="AD513" s="146"/>
      <c r="AE513" s="146"/>
      <c r="AF513" s="146"/>
      <c r="AG513" s="146"/>
      <c r="AH513" s="146"/>
      <c r="AI513" s="146"/>
    </row>
    <row r="514" spans="1:35" ht="13.5" customHeight="1" x14ac:dyDescent="0.25">
      <c r="A514" s="28"/>
      <c r="B514" s="28"/>
      <c r="C514" s="28"/>
      <c r="D514" s="28"/>
      <c r="E514" s="28"/>
      <c r="F514" s="28"/>
      <c r="G514" s="29"/>
      <c r="H514" s="28"/>
      <c r="I514" s="147"/>
      <c r="J514" s="147"/>
      <c r="K514" s="146"/>
      <c r="L514" s="146"/>
      <c r="M514" s="146"/>
      <c r="N514" s="146"/>
      <c r="O514" s="146"/>
      <c r="P514" s="146"/>
      <c r="Q514" s="30"/>
      <c r="R514" s="146"/>
      <c r="S514" s="147"/>
      <c r="T514" s="146"/>
      <c r="U514" s="146"/>
      <c r="V514" s="146"/>
      <c r="W514" s="146"/>
      <c r="X514" s="146"/>
      <c r="Y514" s="146"/>
      <c r="Z514" s="146"/>
      <c r="AA514" s="146"/>
      <c r="AB514" s="146"/>
      <c r="AC514" s="146"/>
      <c r="AD514" s="146"/>
      <c r="AE514" s="146"/>
      <c r="AF514" s="146"/>
      <c r="AG514" s="146"/>
      <c r="AH514" s="146"/>
      <c r="AI514" s="146"/>
    </row>
    <row r="515" spans="1:35" ht="13.5" customHeight="1" x14ac:dyDescent="0.25">
      <c r="A515" s="28"/>
      <c r="B515" s="28"/>
      <c r="C515" s="28"/>
      <c r="D515" s="28"/>
      <c r="E515" s="28"/>
      <c r="F515" s="28"/>
      <c r="G515" s="29"/>
      <c r="H515" s="28"/>
      <c r="I515" s="147"/>
      <c r="J515" s="147"/>
      <c r="K515" s="146"/>
      <c r="L515" s="146"/>
      <c r="M515" s="146"/>
      <c r="N515" s="146"/>
      <c r="O515" s="146"/>
      <c r="P515" s="146"/>
      <c r="Q515" s="30"/>
      <c r="R515" s="146"/>
      <c r="S515" s="147"/>
      <c r="T515" s="146"/>
      <c r="U515" s="146"/>
      <c r="V515" s="146"/>
      <c r="W515" s="146"/>
      <c r="X515" s="146"/>
      <c r="Y515" s="146"/>
      <c r="Z515" s="146"/>
      <c r="AA515" s="146"/>
      <c r="AB515" s="146"/>
      <c r="AC515" s="146"/>
      <c r="AD515" s="146"/>
      <c r="AE515" s="146"/>
      <c r="AF515" s="146"/>
      <c r="AG515" s="146"/>
      <c r="AH515" s="146"/>
      <c r="AI515" s="146"/>
    </row>
    <row r="516" spans="1:35" ht="13.5" customHeight="1" x14ac:dyDescent="0.25">
      <c r="A516" s="28"/>
      <c r="B516" s="28"/>
      <c r="C516" s="28"/>
      <c r="D516" s="28"/>
      <c r="E516" s="28"/>
      <c r="F516" s="28"/>
      <c r="G516" s="29"/>
      <c r="H516" s="28"/>
      <c r="I516" s="147"/>
      <c r="J516" s="147"/>
      <c r="K516" s="146"/>
      <c r="L516" s="146"/>
      <c r="M516" s="146"/>
      <c r="N516" s="146"/>
      <c r="O516" s="146"/>
      <c r="P516" s="146"/>
      <c r="Q516" s="30"/>
      <c r="R516" s="146"/>
      <c r="S516" s="147"/>
      <c r="T516" s="146"/>
      <c r="U516" s="146"/>
      <c r="V516" s="146"/>
      <c r="W516" s="146"/>
      <c r="X516" s="146"/>
      <c r="Y516" s="146"/>
      <c r="Z516" s="146"/>
      <c r="AA516" s="146"/>
      <c r="AB516" s="146"/>
      <c r="AC516" s="146"/>
      <c r="AD516" s="146"/>
      <c r="AE516" s="146"/>
      <c r="AF516" s="146"/>
      <c r="AG516" s="146"/>
      <c r="AH516" s="146"/>
      <c r="AI516" s="146"/>
    </row>
    <row r="517" spans="1:35" ht="13.5" customHeight="1" x14ac:dyDescent="0.25">
      <c r="A517" s="28"/>
      <c r="B517" s="28"/>
      <c r="C517" s="28"/>
      <c r="D517" s="28"/>
      <c r="E517" s="28"/>
      <c r="F517" s="28"/>
      <c r="G517" s="29"/>
      <c r="H517" s="28"/>
      <c r="I517" s="147"/>
      <c r="J517" s="147"/>
      <c r="K517" s="146"/>
      <c r="L517" s="146"/>
      <c r="M517" s="146"/>
      <c r="N517" s="146"/>
      <c r="O517" s="146"/>
      <c r="P517" s="146"/>
      <c r="Q517" s="30"/>
      <c r="R517" s="146"/>
      <c r="S517" s="147"/>
      <c r="T517" s="146"/>
      <c r="U517" s="146"/>
      <c r="V517" s="146"/>
      <c r="W517" s="146"/>
      <c r="X517" s="146"/>
      <c r="Y517" s="146"/>
      <c r="Z517" s="146"/>
      <c r="AA517" s="146"/>
      <c r="AB517" s="146"/>
      <c r="AC517" s="146"/>
      <c r="AD517" s="146"/>
      <c r="AE517" s="146"/>
      <c r="AF517" s="146"/>
      <c r="AG517" s="146"/>
      <c r="AH517" s="146"/>
      <c r="AI517" s="146"/>
    </row>
    <row r="518" spans="1:35" ht="13.5" customHeight="1" x14ac:dyDescent="0.25">
      <c r="A518" s="28"/>
      <c r="B518" s="28"/>
      <c r="C518" s="28"/>
      <c r="D518" s="28"/>
      <c r="E518" s="28"/>
      <c r="F518" s="28"/>
      <c r="G518" s="29"/>
      <c r="H518" s="28"/>
      <c r="I518" s="147"/>
      <c r="J518" s="147"/>
      <c r="K518" s="146"/>
      <c r="L518" s="146"/>
      <c r="M518" s="146"/>
      <c r="N518" s="146"/>
      <c r="O518" s="146"/>
      <c r="P518" s="146"/>
      <c r="Q518" s="30"/>
      <c r="R518" s="146"/>
      <c r="S518" s="147"/>
      <c r="T518" s="146"/>
      <c r="U518" s="146"/>
      <c r="V518" s="146"/>
      <c r="W518" s="146"/>
      <c r="X518" s="146"/>
      <c r="Y518" s="146"/>
      <c r="Z518" s="146"/>
      <c r="AA518" s="146"/>
      <c r="AB518" s="146"/>
      <c r="AC518" s="146"/>
      <c r="AD518" s="146"/>
      <c r="AE518" s="146"/>
      <c r="AF518" s="146"/>
      <c r="AG518" s="146"/>
      <c r="AH518" s="146"/>
      <c r="AI518" s="146"/>
    </row>
    <row r="519" spans="1:35" ht="13.5" customHeight="1" x14ac:dyDescent="0.25">
      <c r="A519" s="28"/>
      <c r="B519" s="28"/>
      <c r="C519" s="28"/>
      <c r="D519" s="28"/>
      <c r="E519" s="28"/>
      <c r="F519" s="28"/>
      <c r="G519" s="29"/>
      <c r="H519" s="28"/>
      <c r="I519" s="147"/>
      <c r="J519" s="147"/>
      <c r="K519" s="146"/>
      <c r="L519" s="146"/>
      <c r="M519" s="146"/>
      <c r="N519" s="146"/>
      <c r="O519" s="146"/>
      <c r="P519" s="146"/>
      <c r="Q519" s="30"/>
      <c r="R519" s="146"/>
      <c r="S519" s="147"/>
      <c r="T519" s="146"/>
      <c r="U519" s="146"/>
      <c r="V519" s="146"/>
      <c r="W519" s="146"/>
      <c r="X519" s="146"/>
      <c r="Y519" s="146"/>
      <c r="Z519" s="146"/>
      <c r="AA519" s="146"/>
      <c r="AB519" s="146"/>
      <c r="AC519" s="146"/>
      <c r="AD519" s="146"/>
      <c r="AE519" s="146"/>
      <c r="AF519" s="146"/>
      <c r="AG519" s="146"/>
      <c r="AH519" s="146"/>
      <c r="AI519" s="146"/>
    </row>
    <row r="520" spans="1:35" ht="13.5" customHeight="1" x14ac:dyDescent="0.25">
      <c r="A520" s="28"/>
      <c r="B520" s="28"/>
      <c r="C520" s="28"/>
      <c r="D520" s="28"/>
      <c r="E520" s="28"/>
      <c r="F520" s="28"/>
      <c r="G520" s="29"/>
      <c r="H520" s="28"/>
      <c r="I520" s="147"/>
      <c r="J520" s="147"/>
      <c r="K520" s="146"/>
      <c r="L520" s="146"/>
      <c r="M520" s="146"/>
      <c r="N520" s="146"/>
      <c r="O520" s="146"/>
      <c r="P520" s="146"/>
      <c r="Q520" s="30"/>
      <c r="R520" s="146"/>
      <c r="S520" s="147"/>
      <c r="T520" s="146"/>
      <c r="U520" s="146"/>
      <c r="V520" s="146"/>
      <c r="W520" s="146"/>
      <c r="X520" s="146"/>
      <c r="Y520" s="146"/>
      <c r="Z520" s="146"/>
      <c r="AA520" s="146"/>
      <c r="AB520" s="146"/>
      <c r="AC520" s="146"/>
      <c r="AD520" s="146"/>
      <c r="AE520" s="146"/>
      <c r="AF520" s="146"/>
      <c r="AG520" s="146"/>
      <c r="AH520" s="146"/>
      <c r="AI520" s="146"/>
    </row>
    <row r="521" spans="1:35" ht="13.5" customHeight="1" x14ac:dyDescent="0.25">
      <c r="A521" s="28"/>
      <c r="B521" s="28"/>
      <c r="C521" s="28"/>
      <c r="D521" s="28"/>
      <c r="E521" s="28"/>
      <c r="F521" s="28"/>
      <c r="G521" s="29"/>
      <c r="H521" s="28"/>
      <c r="I521" s="147"/>
      <c r="J521" s="147"/>
      <c r="K521" s="146"/>
      <c r="L521" s="146"/>
      <c r="M521" s="146"/>
      <c r="N521" s="146"/>
      <c r="O521" s="146"/>
      <c r="P521" s="146"/>
      <c r="Q521" s="30"/>
      <c r="R521" s="146"/>
      <c r="S521" s="147"/>
      <c r="T521" s="146"/>
      <c r="U521" s="146"/>
      <c r="V521" s="146"/>
      <c r="W521" s="146"/>
      <c r="X521" s="146"/>
      <c r="Y521" s="146"/>
      <c r="Z521" s="146"/>
      <c r="AA521" s="146"/>
      <c r="AB521" s="146"/>
      <c r="AC521" s="146"/>
      <c r="AD521" s="146"/>
      <c r="AE521" s="146"/>
      <c r="AF521" s="146"/>
      <c r="AG521" s="146"/>
      <c r="AH521" s="146"/>
      <c r="AI521" s="146"/>
    </row>
    <row r="522" spans="1:35" ht="13.5" customHeight="1" x14ac:dyDescent="0.25">
      <c r="A522" s="28"/>
      <c r="B522" s="28"/>
      <c r="C522" s="28"/>
      <c r="D522" s="28"/>
      <c r="E522" s="28"/>
      <c r="F522" s="28"/>
      <c r="G522" s="29"/>
      <c r="H522" s="28"/>
      <c r="I522" s="147"/>
      <c r="J522" s="147"/>
      <c r="K522" s="146"/>
      <c r="L522" s="146"/>
      <c r="M522" s="146"/>
      <c r="N522" s="146"/>
      <c r="O522" s="146"/>
      <c r="P522" s="146"/>
      <c r="Q522" s="30"/>
      <c r="R522" s="146"/>
      <c r="S522" s="147"/>
      <c r="T522" s="146"/>
      <c r="U522" s="146"/>
      <c r="V522" s="146"/>
      <c r="W522" s="146"/>
      <c r="X522" s="146"/>
      <c r="Y522" s="146"/>
      <c r="Z522" s="146"/>
      <c r="AA522" s="146"/>
      <c r="AB522" s="146"/>
      <c r="AC522" s="146"/>
      <c r="AD522" s="146"/>
      <c r="AE522" s="146"/>
      <c r="AF522" s="146"/>
      <c r="AG522" s="146"/>
      <c r="AH522" s="146"/>
      <c r="AI522" s="146"/>
    </row>
    <row r="523" spans="1:35" ht="13.5" customHeight="1" x14ac:dyDescent="0.25">
      <c r="A523" s="28"/>
      <c r="B523" s="28"/>
      <c r="C523" s="28"/>
      <c r="D523" s="28"/>
      <c r="E523" s="28"/>
      <c r="F523" s="28"/>
      <c r="G523" s="29"/>
      <c r="H523" s="28"/>
      <c r="I523" s="147"/>
      <c r="J523" s="147"/>
      <c r="K523" s="146"/>
      <c r="L523" s="146"/>
      <c r="M523" s="146"/>
      <c r="N523" s="146"/>
      <c r="O523" s="146"/>
      <c r="P523" s="146"/>
      <c r="Q523" s="30"/>
      <c r="R523" s="146"/>
      <c r="S523" s="147"/>
      <c r="T523" s="146"/>
      <c r="U523" s="146"/>
      <c r="V523" s="146"/>
      <c r="W523" s="146"/>
      <c r="X523" s="146"/>
      <c r="Y523" s="146"/>
      <c r="Z523" s="146"/>
      <c r="AA523" s="146"/>
      <c r="AB523" s="146"/>
      <c r="AC523" s="146"/>
      <c r="AD523" s="146"/>
      <c r="AE523" s="146"/>
      <c r="AF523" s="146"/>
      <c r="AG523" s="146"/>
      <c r="AH523" s="146"/>
      <c r="AI523" s="146"/>
    </row>
    <row r="524" spans="1:35" ht="13.5" customHeight="1" x14ac:dyDescent="0.25">
      <c r="A524" s="28"/>
      <c r="B524" s="28"/>
      <c r="C524" s="28"/>
      <c r="D524" s="28"/>
      <c r="E524" s="28"/>
      <c r="F524" s="28"/>
      <c r="G524" s="29"/>
      <c r="H524" s="28"/>
      <c r="I524" s="147"/>
      <c r="J524" s="147"/>
      <c r="K524" s="146"/>
      <c r="L524" s="146"/>
      <c r="M524" s="146"/>
      <c r="N524" s="146"/>
      <c r="O524" s="146"/>
      <c r="P524" s="146"/>
      <c r="Q524" s="30"/>
      <c r="R524" s="146"/>
      <c r="S524" s="147"/>
      <c r="T524" s="146"/>
      <c r="U524" s="146"/>
      <c r="V524" s="146"/>
      <c r="W524" s="146"/>
      <c r="X524" s="146"/>
      <c r="Y524" s="146"/>
      <c r="Z524" s="146"/>
      <c r="AA524" s="146"/>
      <c r="AB524" s="146"/>
      <c r="AC524" s="146"/>
      <c r="AD524" s="146"/>
      <c r="AE524" s="146"/>
      <c r="AF524" s="146"/>
      <c r="AG524" s="146"/>
      <c r="AH524" s="146"/>
      <c r="AI524" s="146"/>
    </row>
    <row r="525" spans="1:35" ht="13.5" customHeight="1" x14ac:dyDescent="0.25">
      <c r="A525" s="28"/>
      <c r="B525" s="28"/>
      <c r="C525" s="28"/>
      <c r="D525" s="28"/>
      <c r="E525" s="28"/>
      <c r="F525" s="28"/>
      <c r="G525" s="29"/>
      <c r="H525" s="28"/>
      <c r="I525" s="147"/>
      <c r="J525" s="147"/>
      <c r="K525" s="146"/>
      <c r="L525" s="146"/>
      <c r="M525" s="146"/>
      <c r="N525" s="146"/>
      <c r="O525" s="146"/>
      <c r="P525" s="146"/>
      <c r="Q525" s="30"/>
      <c r="R525" s="146"/>
      <c r="S525" s="147"/>
      <c r="T525" s="146"/>
      <c r="U525" s="146"/>
      <c r="V525" s="146"/>
      <c r="W525" s="146"/>
      <c r="X525" s="146"/>
      <c r="Y525" s="146"/>
      <c r="Z525" s="146"/>
      <c r="AA525" s="146"/>
      <c r="AB525" s="146"/>
      <c r="AC525" s="146"/>
      <c r="AD525" s="146"/>
      <c r="AE525" s="146"/>
      <c r="AF525" s="146"/>
      <c r="AG525" s="146"/>
      <c r="AH525" s="146"/>
      <c r="AI525" s="146"/>
    </row>
    <row r="526" spans="1:35" ht="13.5" customHeight="1" x14ac:dyDescent="0.25">
      <c r="A526" s="28"/>
      <c r="B526" s="28"/>
      <c r="C526" s="28"/>
      <c r="D526" s="28"/>
      <c r="E526" s="28"/>
      <c r="F526" s="28"/>
      <c r="G526" s="29"/>
      <c r="H526" s="28"/>
      <c r="I526" s="147"/>
      <c r="J526" s="147"/>
      <c r="K526" s="146"/>
      <c r="L526" s="146"/>
      <c r="M526" s="146"/>
      <c r="N526" s="146"/>
      <c r="O526" s="146"/>
      <c r="P526" s="146"/>
      <c r="Q526" s="30"/>
      <c r="R526" s="146"/>
      <c r="S526" s="147"/>
      <c r="T526" s="146"/>
      <c r="U526" s="146"/>
      <c r="V526" s="146"/>
      <c r="W526" s="146"/>
      <c r="X526" s="146"/>
      <c r="Y526" s="146"/>
      <c r="Z526" s="146"/>
      <c r="AA526" s="146"/>
      <c r="AB526" s="146"/>
      <c r="AC526" s="146"/>
      <c r="AD526" s="146"/>
      <c r="AE526" s="146"/>
      <c r="AF526" s="146"/>
      <c r="AG526" s="146"/>
      <c r="AH526" s="146"/>
      <c r="AI526" s="146"/>
    </row>
    <row r="527" spans="1:35" ht="13.5" customHeight="1" x14ac:dyDescent="0.25">
      <c r="A527" s="28"/>
      <c r="B527" s="28"/>
      <c r="C527" s="28"/>
      <c r="D527" s="28"/>
      <c r="E527" s="28"/>
      <c r="F527" s="28"/>
      <c r="G527" s="29"/>
      <c r="H527" s="28"/>
      <c r="I527" s="147"/>
      <c r="J527" s="147"/>
      <c r="K527" s="146"/>
      <c r="L527" s="146"/>
      <c r="M527" s="146"/>
      <c r="N527" s="146"/>
      <c r="O527" s="146"/>
      <c r="P527" s="146"/>
      <c r="Q527" s="30"/>
      <c r="R527" s="146"/>
      <c r="S527" s="147"/>
      <c r="T527" s="146"/>
      <c r="U527" s="146"/>
      <c r="V527" s="146"/>
      <c r="W527" s="146"/>
      <c r="X527" s="146"/>
      <c r="Y527" s="146"/>
      <c r="Z527" s="146"/>
      <c r="AA527" s="146"/>
      <c r="AB527" s="146"/>
      <c r="AC527" s="146"/>
      <c r="AD527" s="146"/>
      <c r="AE527" s="146"/>
      <c r="AF527" s="146"/>
      <c r="AG527" s="146"/>
      <c r="AH527" s="146"/>
      <c r="AI527" s="146"/>
    </row>
    <row r="528" spans="1:35" ht="13.5" customHeight="1" x14ac:dyDescent="0.25">
      <c r="A528" s="28"/>
      <c r="B528" s="28"/>
      <c r="C528" s="28"/>
      <c r="D528" s="28"/>
      <c r="E528" s="28"/>
      <c r="F528" s="28"/>
      <c r="G528" s="29"/>
      <c r="H528" s="28"/>
      <c r="I528" s="147"/>
      <c r="J528" s="147"/>
      <c r="K528" s="146"/>
      <c r="L528" s="146"/>
      <c r="M528" s="146"/>
      <c r="N528" s="146"/>
      <c r="O528" s="146"/>
      <c r="P528" s="146"/>
      <c r="Q528" s="30"/>
      <c r="R528" s="146"/>
      <c r="S528" s="147"/>
      <c r="T528" s="146"/>
      <c r="U528" s="146"/>
      <c r="V528" s="146"/>
      <c r="W528" s="146"/>
      <c r="X528" s="146"/>
      <c r="Y528" s="146"/>
      <c r="Z528" s="146"/>
      <c r="AA528" s="146"/>
      <c r="AB528" s="146"/>
      <c r="AC528" s="146"/>
      <c r="AD528" s="146"/>
      <c r="AE528" s="146"/>
      <c r="AF528" s="146"/>
      <c r="AG528" s="146"/>
      <c r="AH528" s="146"/>
      <c r="AI528" s="146"/>
    </row>
    <row r="529" spans="1:35" ht="13.5" customHeight="1" x14ac:dyDescent="0.25">
      <c r="A529" s="28"/>
      <c r="B529" s="28"/>
      <c r="C529" s="28"/>
      <c r="D529" s="28"/>
      <c r="E529" s="28"/>
      <c r="F529" s="28"/>
      <c r="G529" s="29"/>
      <c r="H529" s="28"/>
      <c r="I529" s="147"/>
      <c r="J529" s="147"/>
      <c r="K529" s="146"/>
      <c r="L529" s="146"/>
      <c r="M529" s="146"/>
      <c r="N529" s="146"/>
      <c r="O529" s="146"/>
      <c r="P529" s="146"/>
      <c r="Q529" s="30"/>
      <c r="R529" s="146"/>
      <c r="S529" s="147"/>
      <c r="T529" s="146"/>
      <c r="U529" s="146"/>
      <c r="V529" s="146"/>
      <c r="W529" s="146"/>
      <c r="X529" s="146"/>
      <c r="Y529" s="146"/>
      <c r="Z529" s="146"/>
      <c r="AA529" s="146"/>
      <c r="AB529" s="146"/>
      <c r="AC529" s="146"/>
      <c r="AD529" s="146"/>
      <c r="AE529" s="146"/>
      <c r="AF529" s="146"/>
      <c r="AG529" s="146"/>
      <c r="AH529" s="146"/>
      <c r="AI529" s="146"/>
    </row>
    <row r="530" spans="1:35" ht="13.5" customHeight="1" x14ac:dyDescent="0.25">
      <c r="A530" s="28"/>
      <c r="B530" s="28"/>
      <c r="C530" s="28"/>
      <c r="D530" s="28"/>
      <c r="E530" s="28"/>
      <c r="F530" s="28"/>
      <c r="G530" s="29"/>
      <c r="H530" s="28"/>
      <c r="I530" s="147"/>
      <c r="J530" s="147"/>
      <c r="K530" s="146"/>
      <c r="L530" s="146"/>
      <c r="M530" s="146"/>
      <c r="N530" s="146"/>
      <c r="O530" s="146"/>
      <c r="P530" s="146"/>
      <c r="Q530" s="30"/>
      <c r="R530" s="146"/>
      <c r="S530" s="147"/>
      <c r="T530" s="146"/>
      <c r="U530" s="146"/>
      <c r="V530" s="146"/>
      <c r="W530" s="146"/>
      <c r="X530" s="146"/>
      <c r="Y530" s="146"/>
      <c r="Z530" s="146"/>
      <c r="AA530" s="146"/>
      <c r="AB530" s="146"/>
      <c r="AC530" s="146"/>
      <c r="AD530" s="146"/>
      <c r="AE530" s="146"/>
      <c r="AF530" s="146"/>
      <c r="AG530" s="146"/>
      <c r="AH530" s="146"/>
      <c r="AI530" s="146"/>
    </row>
    <row r="531" spans="1:35" ht="13.5" customHeight="1" x14ac:dyDescent="0.25">
      <c r="A531" s="28"/>
      <c r="B531" s="28"/>
      <c r="C531" s="28"/>
      <c r="D531" s="28"/>
      <c r="E531" s="28"/>
      <c r="F531" s="28"/>
      <c r="G531" s="29"/>
      <c r="H531" s="28"/>
      <c r="I531" s="147"/>
      <c r="J531" s="147"/>
      <c r="K531" s="146"/>
      <c r="L531" s="146"/>
      <c r="M531" s="146"/>
      <c r="N531" s="146"/>
      <c r="O531" s="146"/>
      <c r="P531" s="146"/>
      <c r="Q531" s="30"/>
      <c r="R531" s="146"/>
      <c r="S531" s="147"/>
      <c r="T531" s="146"/>
      <c r="U531" s="146"/>
      <c r="V531" s="146"/>
      <c r="W531" s="146"/>
      <c r="X531" s="146"/>
      <c r="Y531" s="146"/>
      <c r="Z531" s="146"/>
      <c r="AA531" s="146"/>
      <c r="AB531" s="146"/>
      <c r="AC531" s="146"/>
      <c r="AD531" s="146"/>
      <c r="AE531" s="146"/>
      <c r="AF531" s="146"/>
      <c r="AG531" s="146"/>
      <c r="AH531" s="146"/>
      <c r="AI531" s="146"/>
    </row>
    <row r="532" spans="1:35" ht="13.5" customHeight="1" x14ac:dyDescent="0.25">
      <c r="A532" s="28"/>
      <c r="B532" s="28"/>
      <c r="C532" s="28"/>
      <c r="D532" s="28"/>
      <c r="E532" s="28"/>
      <c r="F532" s="28"/>
      <c r="G532" s="29"/>
      <c r="H532" s="28"/>
      <c r="I532" s="147"/>
      <c r="J532" s="147"/>
      <c r="K532" s="146"/>
      <c r="L532" s="146"/>
      <c r="M532" s="146"/>
      <c r="N532" s="146"/>
      <c r="O532" s="146"/>
      <c r="P532" s="146"/>
      <c r="Q532" s="30"/>
      <c r="R532" s="146"/>
      <c r="S532" s="147"/>
      <c r="T532" s="146"/>
      <c r="U532" s="146"/>
      <c r="V532" s="146"/>
      <c r="W532" s="146"/>
      <c r="X532" s="146"/>
      <c r="Y532" s="146"/>
      <c r="Z532" s="146"/>
      <c r="AA532" s="146"/>
      <c r="AB532" s="146"/>
      <c r="AC532" s="146"/>
      <c r="AD532" s="146"/>
      <c r="AE532" s="146"/>
      <c r="AF532" s="146"/>
      <c r="AG532" s="146"/>
      <c r="AH532" s="146"/>
      <c r="AI532" s="146"/>
    </row>
    <row r="533" spans="1:35" ht="13.5" customHeight="1" x14ac:dyDescent="0.25">
      <c r="A533" s="28"/>
      <c r="B533" s="28"/>
      <c r="C533" s="28"/>
      <c r="D533" s="28"/>
      <c r="E533" s="28"/>
      <c r="F533" s="28"/>
      <c r="G533" s="29"/>
      <c r="H533" s="28"/>
      <c r="I533" s="147"/>
      <c r="J533" s="147"/>
      <c r="K533" s="146"/>
      <c r="L533" s="146"/>
      <c r="M533" s="146"/>
      <c r="N533" s="146"/>
      <c r="O533" s="146"/>
      <c r="P533" s="146"/>
      <c r="Q533" s="30"/>
      <c r="R533" s="146"/>
      <c r="S533" s="147"/>
      <c r="T533" s="146"/>
      <c r="U533" s="146"/>
      <c r="V533" s="146"/>
      <c r="W533" s="146"/>
      <c r="X533" s="146"/>
      <c r="Y533" s="146"/>
      <c r="Z533" s="146"/>
      <c r="AA533" s="146"/>
      <c r="AB533" s="146"/>
      <c r="AC533" s="146"/>
      <c r="AD533" s="146"/>
      <c r="AE533" s="146"/>
      <c r="AF533" s="146"/>
      <c r="AG533" s="146"/>
      <c r="AH533" s="146"/>
      <c r="AI533" s="146"/>
    </row>
    <row r="534" spans="1:35" ht="13.5" customHeight="1" x14ac:dyDescent="0.25">
      <c r="A534" s="28"/>
      <c r="B534" s="28"/>
      <c r="C534" s="28"/>
      <c r="D534" s="28"/>
      <c r="E534" s="28"/>
      <c r="F534" s="28"/>
      <c r="G534" s="29"/>
      <c r="H534" s="28"/>
      <c r="I534" s="147"/>
      <c r="J534" s="147"/>
      <c r="K534" s="146"/>
      <c r="L534" s="146"/>
      <c r="M534" s="146"/>
      <c r="N534" s="146"/>
      <c r="O534" s="146"/>
      <c r="P534" s="146"/>
      <c r="Q534" s="30"/>
      <c r="R534" s="146"/>
      <c r="S534" s="147"/>
      <c r="T534" s="146"/>
      <c r="U534" s="146"/>
      <c r="V534" s="146"/>
      <c r="W534" s="146"/>
      <c r="X534" s="146"/>
      <c r="Y534" s="146"/>
      <c r="Z534" s="146"/>
      <c r="AA534" s="146"/>
      <c r="AB534" s="146"/>
      <c r="AC534" s="146"/>
      <c r="AD534" s="146"/>
      <c r="AE534" s="146"/>
      <c r="AF534" s="146"/>
      <c r="AG534" s="146"/>
      <c r="AH534" s="146"/>
      <c r="AI534" s="146"/>
    </row>
    <row r="535" spans="1:35" ht="13.5" customHeight="1" x14ac:dyDescent="0.25">
      <c r="A535" s="28"/>
      <c r="B535" s="28"/>
      <c r="C535" s="28"/>
      <c r="D535" s="28"/>
      <c r="E535" s="28"/>
      <c r="F535" s="28"/>
      <c r="G535" s="29"/>
      <c r="H535" s="28"/>
      <c r="I535" s="147"/>
      <c r="J535" s="147"/>
      <c r="K535" s="146"/>
      <c r="L535" s="146"/>
      <c r="M535" s="146"/>
      <c r="N535" s="146"/>
      <c r="O535" s="146"/>
      <c r="P535" s="146"/>
      <c r="Q535" s="30"/>
      <c r="R535" s="146"/>
      <c r="S535" s="147"/>
      <c r="T535" s="146"/>
      <c r="U535" s="146"/>
      <c r="V535" s="146"/>
      <c r="W535" s="146"/>
      <c r="X535" s="146"/>
      <c r="Y535" s="146"/>
      <c r="Z535" s="146"/>
      <c r="AA535" s="146"/>
      <c r="AB535" s="146"/>
      <c r="AC535" s="146"/>
      <c r="AD535" s="146"/>
      <c r="AE535" s="146"/>
      <c r="AF535" s="146"/>
      <c r="AG535" s="146"/>
      <c r="AH535" s="146"/>
      <c r="AI535" s="146"/>
    </row>
    <row r="536" spans="1:35" ht="13.5" customHeight="1" x14ac:dyDescent="0.25">
      <c r="A536" s="28"/>
      <c r="B536" s="28"/>
      <c r="C536" s="28"/>
      <c r="D536" s="28"/>
      <c r="E536" s="28"/>
      <c r="F536" s="28"/>
      <c r="G536" s="29"/>
      <c r="H536" s="28"/>
      <c r="I536" s="147"/>
      <c r="J536" s="147"/>
      <c r="K536" s="146"/>
      <c r="L536" s="146"/>
      <c r="M536" s="146"/>
      <c r="N536" s="146"/>
      <c r="O536" s="146"/>
      <c r="P536" s="146"/>
      <c r="Q536" s="30"/>
      <c r="R536" s="146"/>
      <c r="S536" s="147"/>
      <c r="T536" s="146"/>
      <c r="U536" s="146"/>
      <c r="V536" s="146"/>
      <c r="W536" s="146"/>
      <c r="X536" s="146"/>
      <c r="Y536" s="146"/>
      <c r="Z536" s="146"/>
      <c r="AA536" s="146"/>
      <c r="AB536" s="146"/>
      <c r="AC536" s="146"/>
      <c r="AD536" s="146"/>
      <c r="AE536" s="146"/>
      <c r="AF536" s="146"/>
      <c r="AG536" s="146"/>
      <c r="AH536" s="146"/>
      <c r="AI536" s="146"/>
    </row>
    <row r="537" spans="1:35" ht="13.5" customHeight="1" x14ac:dyDescent="0.25">
      <c r="A537" s="28"/>
      <c r="B537" s="28"/>
      <c r="C537" s="28"/>
      <c r="D537" s="28"/>
      <c r="E537" s="28"/>
      <c r="F537" s="28"/>
      <c r="G537" s="29"/>
      <c r="H537" s="28"/>
      <c r="I537" s="147"/>
      <c r="J537" s="147"/>
      <c r="K537" s="146"/>
      <c r="L537" s="146"/>
      <c r="M537" s="146"/>
      <c r="N537" s="146"/>
      <c r="O537" s="146"/>
      <c r="P537" s="146"/>
      <c r="Q537" s="30"/>
      <c r="R537" s="146"/>
      <c r="S537" s="147"/>
      <c r="T537" s="146"/>
      <c r="U537" s="146"/>
      <c r="V537" s="146"/>
      <c r="W537" s="146"/>
      <c r="X537" s="146"/>
      <c r="Y537" s="146"/>
      <c r="Z537" s="146"/>
      <c r="AA537" s="146"/>
      <c r="AB537" s="146"/>
      <c r="AC537" s="146"/>
      <c r="AD537" s="146"/>
      <c r="AE537" s="146"/>
      <c r="AF537" s="146"/>
      <c r="AG537" s="146"/>
      <c r="AH537" s="146"/>
      <c r="AI537" s="146"/>
    </row>
    <row r="538" spans="1:35" ht="13.5" customHeight="1" x14ac:dyDescent="0.25">
      <c r="A538" s="28"/>
      <c r="B538" s="28"/>
      <c r="C538" s="28"/>
      <c r="D538" s="28"/>
      <c r="E538" s="28"/>
      <c r="F538" s="28"/>
      <c r="G538" s="29"/>
      <c r="H538" s="28"/>
      <c r="I538" s="147"/>
      <c r="J538" s="147"/>
      <c r="K538" s="146"/>
      <c r="L538" s="146"/>
      <c r="M538" s="146"/>
      <c r="N538" s="146"/>
      <c r="O538" s="146"/>
      <c r="P538" s="146"/>
      <c r="Q538" s="30"/>
      <c r="R538" s="146"/>
      <c r="S538" s="147"/>
      <c r="T538" s="146"/>
      <c r="U538" s="146"/>
      <c r="V538" s="146"/>
      <c r="W538" s="146"/>
      <c r="X538" s="146"/>
      <c r="Y538" s="146"/>
      <c r="Z538" s="146"/>
      <c r="AA538" s="146"/>
      <c r="AB538" s="146"/>
      <c r="AC538" s="146"/>
      <c r="AD538" s="146"/>
      <c r="AE538" s="146"/>
      <c r="AF538" s="146"/>
      <c r="AG538" s="146"/>
      <c r="AH538" s="146"/>
      <c r="AI538" s="146"/>
    </row>
    <row r="539" spans="1:35" ht="13.5" customHeight="1" x14ac:dyDescent="0.25">
      <c r="A539" s="28"/>
      <c r="B539" s="28"/>
      <c r="C539" s="28"/>
      <c r="D539" s="28"/>
      <c r="E539" s="28"/>
      <c r="F539" s="28"/>
      <c r="G539" s="29"/>
      <c r="H539" s="28"/>
      <c r="I539" s="147"/>
      <c r="J539" s="147"/>
      <c r="K539" s="146"/>
      <c r="L539" s="146"/>
      <c r="M539" s="146"/>
      <c r="N539" s="146"/>
      <c r="O539" s="146"/>
      <c r="P539" s="146"/>
      <c r="Q539" s="30"/>
      <c r="R539" s="146"/>
      <c r="S539" s="147"/>
      <c r="T539" s="146"/>
      <c r="U539" s="146"/>
      <c r="V539" s="146"/>
      <c r="W539" s="146"/>
      <c r="X539" s="146"/>
      <c r="Y539" s="146"/>
      <c r="Z539" s="146"/>
      <c r="AA539" s="146"/>
      <c r="AB539" s="146"/>
      <c r="AC539" s="146"/>
      <c r="AD539" s="146"/>
      <c r="AE539" s="146"/>
      <c r="AF539" s="146"/>
      <c r="AG539" s="146"/>
      <c r="AH539" s="146"/>
      <c r="AI539" s="146"/>
    </row>
    <row r="540" spans="1:35" ht="13.5" customHeight="1" x14ac:dyDescent="0.25">
      <c r="A540" s="28"/>
      <c r="B540" s="28"/>
      <c r="C540" s="28"/>
      <c r="D540" s="28"/>
      <c r="E540" s="28"/>
      <c r="F540" s="28"/>
      <c r="G540" s="29"/>
      <c r="H540" s="28"/>
      <c r="I540" s="147"/>
      <c r="J540" s="147"/>
      <c r="K540" s="146"/>
      <c r="L540" s="146"/>
      <c r="M540" s="146"/>
      <c r="N540" s="146"/>
      <c r="O540" s="146"/>
      <c r="P540" s="146"/>
      <c r="Q540" s="30"/>
      <c r="R540" s="146"/>
      <c r="S540" s="147"/>
      <c r="T540" s="146"/>
      <c r="U540" s="146"/>
      <c r="V540" s="146"/>
      <c r="W540" s="146"/>
      <c r="X540" s="146"/>
      <c r="Y540" s="146"/>
      <c r="Z540" s="146"/>
      <c r="AA540" s="146"/>
      <c r="AB540" s="146"/>
      <c r="AC540" s="146"/>
      <c r="AD540" s="146"/>
      <c r="AE540" s="146"/>
      <c r="AF540" s="146"/>
      <c r="AG540" s="146"/>
      <c r="AH540" s="146"/>
      <c r="AI540" s="146"/>
    </row>
    <row r="541" spans="1:35" ht="13.5" customHeight="1" x14ac:dyDescent="0.25">
      <c r="A541" s="28"/>
      <c r="B541" s="28"/>
      <c r="C541" s="28"/>
      <c r="D541" s="28"/>
      <c r="E541" s="28"/>
      <c r="F541" s="28"/>
      <c r="G541" s="29"/>
      <c r="H541" s="28"/>
      <c r="I541" s="147"/>
      <c r="J541" s="147"/>
      <c r="K541" s="146"/>
      <c r="L541" s="146"/>
      <c r="M541" s="146"/>
      <c r="N541" s="146"/>
      <c r="O541" s="146"/>
      <c r="P541" s="146"/>
      <c r="Q541" s="30"/>
      <c r="R541" s="146"/>
      <c r="S541" s="147"/>
      <c r="T541" s="146"/>
      <c r="U541" s="146"/>
      <c r="V541" s="146"/>
      <c r="W541" s="146"/>
      <c r="X541" s="146"/>
      <c r="Y541" s="146"/>
      <c r="Z541" s="146"/>
      <c r="AA541" s="146"/>
      <c r="AB541" s="146"/>
      <c r="AC541" s="146"/>
      <c r="AD541" s="146"/>
      <c r="AE541" s="146"/>
      <c r="AF541" s="146"/>
      <c r="AG541" s="146"/>
      <c r="AH541" s="146"/>
      <c r="AI541" s="146"/>
    </row>
    <row r="542" spans="1:35" ht="13.5" customHeight="1" x14ac:dyDescent="0.25">
      <c r="A542" s="28"/>
      <c r="B542" s="28"/>
      <c r="C542" s="28"/>
      <c r="D542" s="28"/>
      <c r="E542" s="28"/>
      <c r="F542" s="28"/>
      <c r="G542" s="29"/>
      <c r="H542" s="28"/>
      <c r="I542" s="147"/>
      <c r="J542" s="147"/>
      <c r="K542" s="146"/>
      <c r="L542" s="146"/>
      <c r="M542" s="146"/>
      <c r="N542" s="146"/>
      <c r="O542" s="146"/>
      <c r="P542" s="146"/>
      <c r="Q542" s="30"/>
      <c r="R542" s="146"/>
      <c r="S542" s="147"/>
      <c r="T542" s="146"/>
      <c r="U542" s="146"/>
      <c r="V542" s="146"/>
      <c r="W542" s="146"/>
      <c r="X542" s="146"/>
      <c r="Y542" s="146"/>
      <c r="Z542" s="146"/>
      <c r="AA542" s="146"/>
      <c r="AB542" s="146"/>
      <c r="AC542" s="146"/>
      <c r="AD542" s="146"/>
      <c r="AE542" s="146"/>
      <c r="AF542" s="146"/>
      <c r="AG542" s="146"/>
      <c r="AH542" s="146"/>
      <c r="AI542" s="146"/>
    </row>
    <row r="543" spans="1:35" ht="13.5" customHeight="1" x14ac:dyDescent="0.25">
      <c r="A543" s="28"/>
      <c r="B543" s="28"/>
      <c r="C543" s="28"/>
      <c r="D543" s="28"/>
      <c r="E543" s="28"/>
      <c r="F543" s="28"/>
      <c r="G543" s="29"/>
      <c r="H543" s="28"/>
      <c r="I543" s="147"/>
      <c r="J543" s="147"/>
      <c r="K543" s="146"/>
      <c r="L543" s="146"/>
      <c r="M543" s="146"/>
      <c r="N543" s="146"/>
      <c r="O543" s="146"/>
      <c r="P543" s="146"/>
      <c r="Q543" s="30"/>
      <c r="R543" s="146"/>
      <c r="S543" s="147"/>
      <c r="T543" s="146"/>
      <c r="U543" s="146"/>
      <c r="V543" s="146"/>
      <c r="W543" s="146"/>
      <c r="X543" s="146"/>
      <c r="Y543" s="146"/>
      <c r="Z543" s="146"/>
      <c r="AA543" s="146"/>
      <c r="AB543" s="146"/>
      <c r="AC543" s="146"/>
      <c r="AD543" s="146"/>
      <c r="AE543" s="146"/>
      <c r="AF543" s="146"/>
      <c r="AG543" s="146"/>
      <c r="AH543" s="146"/>
      <c r="AI543" s="146"/>
    </row>
    <row r="544" spans="1:35" ht="13.5" customHeight="1" x14ac:dyDescent="0.25">
      <c r="A544" s="28"/>
      <c r="B544" s="28"/>
      <c r="C544" s="28"/>
      <c r="D544" s="28"/>
      <c r="E544" s="28"/>
      <c r="F544" s="28"/>
      <c r="G544" s="29"/>
      <c r="H544" s="28"/>
      <c r="I544" s="147"/>
      <c r="J544" s="147"/>
      <c r="K544" s="146"/>
      <c r="L544" s="146"/>
      <c r="M544" s="146"/>
      <c r="N544" s="146"/>
      <c r="O544" s="146"/>
      <c r="P544" s="146"/>
      <c r="Q544" s="30"/>
      <c r="R544" s="146"/>
      <c r="S544" s="147"/>
      <c r="T544" s="146"/>
      <c r="U544" s="146"/>
      <c r="V544" s="146"/>
      <c r="W544" s="146"/>
      <c r="X544" s="146"/>
      <c r="Y544" s="146"/>
      <c r="Z544" s="146"/>
      <c r="AA544" s="146"/>
      <c r="AB544" s="146"/>
      <c r="AC544" s="146"/>
      <c r="AD544" s="146"/>
      <c r="AE544" s="146"/>
      <c r="AF544" s="146"/>
      <c r="AG544" s="146"/>
      <c r="AH544" s="146"/>
      <c r="AI544" s="146"/>
    </row>
    <row r="545" spans="1:35" ht="13.5" customHeight="1" x14ac:dyDescent="0.25">
      <c r="A545" s="28"/>
      <c r="B545" s="28"/>
      <c r="C545" s="28"/>
      <c r="D545" s="28"/>
      <c r="E545" s="28"/>
      <c r="F545" s="28"/>
      <c r="G545" s="29"/>
      <c r="H545" s="28"/>
      <c r="I545" s="147"/>
      <c r="J545" s="147"/>
      <c r="K545" s="146"/>
      <c r="L545" s="146"/>
      <c r="M545" s="146"/>
      <c r="N545" s="146"/>
      <c r="O545" s="146"/>
      <c r="P545" s="146"/>
      <c r="Q545" s="30"/>
      <c r="R545" s="146"/>
      <c r="S545" s="147"/>
      <c r="T545" s="146"/>
      <c r="U545" s="146"/>
      <c r="V545" s="146"/>
      <c r="W545" s="146"/>
      <c r="X545" s="146"/>
      <c r="Y545" s="146"/>
      <c r="Z545" s="146"/>
      <c r="AA545" s="146"/>
      <c r="AB545" s="146"/>
      <c r="AC545" s="146"/>
      <c r="AD545" s="146"/>
      <c r="AE545" s="146"/>
      <c r="AF545" s="146"/>
      <c r="AG545" s="146"/>
      <c r="AH545" s="146"/>
      <c r="AI545" s="146"/>
    </row>
    <row r="546" spans="1:35" ht="13.5" customHeight="1" x14ac:dyDescent="0.25">
      <c r="A546" s="28"/>
      <c r="B546" s="28"/>
      <c r="C546" s="28"/>
      <c r="D546" s="28"/>
      <c r="E546" s="28"/>
      <c r="F546" s="28"/>
      <c r="G546" s="29"/>
      <c r="H546" s="28"/>
      <c r="I546" s="147"/>
      <c r="J546" s="147"/>
      <c r="K546" s="146"/>
      <c r="L546" s="146"/>
      <c r="M546" s="146"/>
      <c r="N546" s="146"/>
      <c r="O546" s="146"/>
      <c r="P546" s="146"/>
      <c r="Q546" s="30"/>
      <c r="R546" s="146"/>
      <c r="S546" s="147"/>
      <c r="T546" s="146"/>
      <c r="U546" s="146"/>
      <c r="V546" s="146"/>
      <c r="W546" s="146"/>
      <c r="X546" s="146"/>
      <c r="Y546" s="146"/>
      <c r="Z546" s="146"/>
      <c r="AA546" s="146"/>
      <c r="AB546" s="146"/>
      <c r="AC546" s="146"/>
      <c r="AD546" s="146"/>
      <c r="AE546" s="146"/>
      <c r="AF546" s="146"/>
      <c r="AG546" s="146"/>
      <c r="AH546" s="146"/>
      <c r="AI546" s="146"/>
    </row>
    <row r="547" spans="1:35" ht="13.5" customHeight="1" x14ac:dyDescent="0.25">
      <c r="A547" s="28"/>
      <c r="B547" s="28"/>
      <c r="C547" s="28"/>
      <c r="D547" s="28"/>
      <c r="E547" s="28"/>
      <c r="F547" s="28"/>
      <c r="G547" s="29"/>
      <c r="H547" s="28"/>
      <c r="I547" s="147"/>
      <c r="J547" s="147"/>
      <c r="K547" s="146"/>
      <c r="L547" s="146"/>
      <c r="M547" s="146"/>
      <c r="N547" s="146"/>
      <c r="O547" s="146"/>
      <c r="P547" s="146"/>
      <c r="Q547" s="30"/>
      <c r="R547" s="146"/>
      <c r="S547" s="147"/>
      <c r="T547" s="146"/>
      <c r="U547" s="146"/>
      <c r="V547" s="146"/>
      <c r="W547" s="146"/>
      <c r="X547" s="146"/>
      <c r="Y547" s="146"/>
      <c r="Z547" s="146"/>
      <c r="AA547" s="146"/>
      <c r="AB547" s="146"/>
      <c r="AC547" s="146"/>
      <c r="AD547" s="146"/>
      <c r="AE547" s="146"/>
      <c r="AF547" s="146"/>
      <c r="AG547" s="146"/>
      <c r="AH547" s="146"/>
      <c r="AI547" s="146"/>
    </row>
    <row r="548" spans="1:35" ht="13.5" customHeight="1" x14ac:dyDescent="0.25">
      <c r="A548" s="28"/>
      <c r="B548" s="28"/>
      <c r="C548" s="28"/>
      <c r="D548" s="28"/>
      <c r="E548" s="28"/>
      <c r="F548" s="28"/>
      <c r="G548" s="29"/>
      <c r="H548" s="28"/>
      <c r="I548" s="147"/>
      <c r="J548" s="147"/>
      <c r="K548" s="146"/>
      <c r="L548" s="146"/>
      <c r="M548" s="146"/>
      <c r="N548" s="146"/>
      <c r="O548" s="146"/>
      <c r="P548" s="146"/>
      <c r="Q548" s="30"/>
      <c r="R548" s="146"/>
      <c r="S548" s="147"/>
      <c r="T548" s="146"/>
      <c r="U548" s="146"/>
      <c r="V548" s="146"/>
      <c r="W548" s="146"/>
      <c r="X548" s="146"/>
      <c r="Y548" s="146"/>
      <c r="Z548" s="146"/>
      <c r="AA548" s="146"/>
      <c r="AB548" s="146"/>
      <c r="AC548" s="146"/>
      <c r="AD548" s="146"/>
      <c r="AE548" s="146"/>
      <c r="AF548" s="146"/>
      <c r="AG548" s="146"/>
      <c r="AH548" s="146"/>
      <c r="AI548" s="146"/>
    </row>
    <row r="549" spans="1:35" ht="13.5" customHeight="1" x14ac:dyDescent="0.25">
      <c r="A549" s="28"/>
      <c r="B549" s="28"/>
      <c r="C549" s="28"/>
      <c r="D549" s="28"/>
      <c r="E549" s="28"/>
      <c r="F549" s="28"/>
      <c r="G549" s="29"/>
      <c r="H549" s="28"/>
      <c r="I549" s="147"/>
      <c r="J549" s="147"/>
      <c r="K549" s="146"/>
      <c r="L549" s="146"/>
      <c r="M549" s="146"/>
      <c r="N549" s="146"/>
      <c r="O549" s="146"/>
      <c r="P549" s="146"/>
      <c r="Q549" s="30"/>
      <c r="R549" s="146"/>
      <c r="S549" s="147"/>
      <c r="T549" s="146"/>
      <c r="U549" s="146"/>
      <c r="V549" s="146"/>
      <c r="W549" s="146"/>
      <c r="X549" s="146"/>
      <c r="Y549" s="146"/>
      <c r="Z549" s="146"/>
      <c r="AA549" s="146"/>
      <c r="AB549" s="146"/>
      <c r="AC549" s="146"/>
      <c r="AD549" s="146"/>
      <c r="AE549" s="146"/>
      <c r="AF549" s="146"/>
      <c r="AG549" s="146"/>
      <c r="AH549" s="146"/>
      <c r="AI549" s="146"/>
    </row>
    <row r="550" spans="1:35" ht="13.5" customHeight="1" x14ac:dyDescent="0.25">
      <c r="A550" s="28"/>
      <c r="B550" s="28"/>
      <c r="C550" s="28"/>
      <c r="D550" s="28"/>
      <c r="E550" s="28"/>
      <c r="F550" s="28"/>
      <c r="G550" s="29"/>
      <c r="H550" s="28"/>
      <c r="I550" s="147"/>
      <c r="J550" s="147"/>
      <c r="K550" s="146"/>
      <c r="L550" s="146"/>
      <c r="M550" s="146"/>
      <c r="N550" s="146"/>
      <c r="O550" s="146"/>
      <c r="P550" s="146"/>
      <c r="Q550" s="30"/>
      <c r="R550" s="146"/>
      <c r="S550" s="147"/>
      <c r="T550" s="146"/>
      <c r="U550" s="146"/>
      <c r="V550" s="146"/>
      <c r="W550" s="146"/>
      <c r="X550" s="146"/>
      <c r="Y550" s="146"/>
      <c r="Z550" s="146"/>
      <c r="AA550" s="146"/>
      <c r="AB550" s="146"/>
      <c r="AC550" s="146"/>
      <c r="AD550" s="146"/>
      <c r="AE550" s="146"/>
      <c r="AF550" s="146"/>
      <c r="AG550" s="146"/>
      <c r="AH550" s="146"/>
      <c r="AI550" s="146"/>
    </row>
    <row r="551" spans="1:35" ht="13.5" customHeight="1" x14ac:dyDescent="0.25">
      <c r="A551" s="28"/>
      <c r="B551" s="28"/>
      <c r="C551" s="28"/>
      <c r="D551" s="28"/>
      <c r="E551" s="28"/>
      <c r="F551" s="28"/>
      <c r="G551" s="29"/>
      <c r="H551" s="28"/>
      <c r="I551" s="147"/>
      <c r="J551" s="147"/>
      <c r="K551" s="146"/>
      <c r="L551" s="146"/>
      <c r="M551" s="146"/>
      <c r="N551" s="146"/>
      <c r="O551" s="146"/>
      <c r="P551" s="146"/>
      <c r="Q551" s="30"/>
      <c r="R551" s="146"/>
      <c r="S551" s="147"/>
      <c r="T551" s="146"/>
      <c r="U551" s="146"/>
      <c r="V551" s="146"/>
      <c r="W551" s="146"/>
      <c r="X551" s="146"/>
      <c r="Y551" s="146"/>
      <c r="Z551" s="146"/>
      <c r="AA551" s="146"/>
      <c r="AB551" s="146"/>
      <c r="AC551" s="146"/>
      <c r="AD551" s="146"/>
      <c r="AE551" s="146"/>
      <c r="AF551" s="146"/>
      <c r="AG551" s="146"/>
      <c r="AH551" s="146"/>
      <c r="AI551" s="146"/>
    </row>
    <row r="552" spans="1:35" ht="13.5" customHeight="1" x14ac:dyDescent="0.25">
      <c r="A552" s="28"/>
      <c r="B552" s="28"/>
      <c r="C552" s="28"/>
      <c r="D552" s="28"/>
      <c r="E552" s="28"/>
      <c r="F552" s="28"/>
      <c r="G552" s="29"/>
      <c r="H552" s="28"/>
      <c r="I552" s="147"/>
      <c r="J552" s="147"/>
      <c r="K552" s="146"/>
      <c r="L552" s="146"/>
      <c r="M552" s="146"/>
      <c r="N552" s="146"/>
      <c r="O552" s="146"/>
      <c r="P552" s="146"/>
      <c r="Q552" s="30"/>
      <c r="R552" s="146"/>
      <c r="S552" s="147"/>
      <c r="T552" s="146"/>
      <c r="U552" s="146"/>
      <c r="V552" s="146"/>
      <c r="W552" s="146"/>
      <c r="X552" s="146"/>
      <c r="Y552" s="146"/>
      <c r="Z552" s="146"/>
      <c r="AA552" s="146"/>
      <c r="AB552" s="146"/>
      <c r="AC552" s="146"/>
      <c r="AD552" s="146"/>
      <c r="AE552" s="146"/>
      <c r="AF552" s="146"/>
      <c r="AG552" s="146"/>
      <c r="AH552" s="146"/>
      <c r="AI552" s="146"/>
    </row>
    <row r="553" spans="1:35" ht="13.5" customHeight="1" x14ac:dyDescent="0.25">
      <c r="A553" s="28"/>
      <c r="B553" s="28"/>
      <c r="C553" s="28"/>
      <c r="D553" s="28"/>
      <c r="E553" s="28"/>
      <c r="F553" s="28"/>
      <c r="G553" s="29"/>
      <c r="H553" s="28"/>
      <c r="I553" s="147"/>
      <c r="J553" s="147"/>
      <c r="K553" s="146"/>
      <c r="L553" s="146"/>
      <c r="M553" s="146"/>
      <c r="N553" s="146"/>
      <c r="O553" s="146"/>
      <c r="P553" s="146"/>
      <c r="Q553" s="30"/>
      <c r="R553" s="146"/>
      <c r="S553" s="147"/>
      <c r="T553" s="146"/>
      <c r="U553" s="146"/>
      <c r="V553" s="146"/>
      <c r="W553" s="146"/>
      <c r="X553" s="146"/>
      <c r="Y553" s="146"/>
      <c r="Z553" s="146"/>
      <c r="AA553" s="146"/>
      <c r="AB553" s="146"/>
      <c r="AC553" s="146"/>
      <c r="AD553" s="146"/>
      <c r="AE553" s="146"/>
      <c r="AF553" s="146"/>
      <c r="AG553" s="146"/>
      <c r="AH553" s="146"/>
      <c r="AI553" s="146"/>
    </row>
    <row r="554" spans="1:35" ht="13.5" customHeight="1" x14ac:dyDescent="0.25">
      <c r="A554" s="28"/>
      <c r="B554" s="28"/>
      <c r="C554" s="28"/>
      <c r="D554" s="28"/>
      <c r="E554" s="28"/>
      <c r="F554" s="28"/>
      <c r="G554" s="29"/>
      <c r="H554" s="28"/>
      <c r="I554" s="147"/>
      <c r="J554" s="147"/>
      <c r="K554" s="146"/>
      <c r="L554" s="146"/>
      <c r="M554" s="146"/>
      <c r="N554" s="146"/>
      <c r="O554" s="146"/>
      <c r="P554" s="146"/>
      <c r="Q554" s="30"/>
      <c r="R554" s="146"/>
      <c r="S554" s="147"/>
      <c r="T554" s="146"/>
      <c r="U554" s="146"/>
      <c r="V554" s="146"/>
      <c r="W554" s="146"/>
      <c r="X554" s="146"/>
      <c r="Y554" s="146"/>
      <c r="Z554" s="146"/>
      <c r="AA554" s="146"/>
      <c r="AB554" s="146"/>
      <c r="AC554" s="146"/>
      <c r="AD554" s="146"/>
      <c r="AE554" s="146"/>
      <c r="AF554" s="146"/>
      <c r="AG554" s="146"/>
      <c r="AH554" s="146"/>
      <c r="AI554" s="146"/>
    </row>
    <row r="555" spans="1:35" ht="13.5" customHeight="1" x14ac:dyDescent="0.25">
      <c r="A555" s="28"/>
      <c r="B555" s="28"/>
      <c r="C555" s="28"/>
      <c r="D555" s="28"/>
      <c r="E555" s="28"/>
      <c r="F555" s="28"/>
      <c r="G555" s="29"/>
      <c r="H555" s="28"/>
      <c r="I555" s="147"/>
      <c r="J555" s="147"/>
      <c r="K555" s="146"/>
      <c r="L555" s="146"/>
      <c r="M555" s="146"/>
      <c r="N555" s="146"/>
      <c r="O555" s="146"/>
      <c r="P555" s="146"/>
      <c r="Q555" s="30"/>
      <c r="R555" s="146"/>
      <c r="S555" s="147"/>
      <c r="T555" s="146"/>
      <c r="U555" s="146"/>
      <c r="V555" s="146"/>
      <c r="W555" s="146"/>
      <c r="X555" s="146"/>
      <c r="Y555" s="146"/>
      <c r="Z555" s="146"/>
      <c r="AA555" s="146"/>
      <c r="AB555" s="146"/>
      <c r="AC555" s="146"/>
      <c r="AD555" s="146"/>
      <c r="AE555" s="146"/>
      <c r="AF555" s="146"/>
      <c r="AG555" s="146"/>
      <c r="AH555" s="146"/>
      <c r="AI555" s="146"/>
    </row>
    <row r="556" spans="1:35" ht="13.5" customHeight="1" x14ac:dyDescent="0.25">
      <c r="A556" s="28"/>
      <c r="B556" s="28"/>
      <c r="C556" s="28"/>
      <c r="D556" s="28"/>
      <c r="E556" s="28"/>
      <c r="F556" s="28"/>
      <c r="G556" s="29"/>
      <c r="H556" s="28"/>
      <c r="I556" s="147"/>
      <c r="J556" s="147"/>
      <c r="K556" s="146"/>
      <c r="L556" s="146"/>
      <c r="M556" s="146"/>
      <c r="N556" s="146"/>
      <c r="O556" s="146"/>
      <c r="P556" s="146"/>
      <c r="Q556" s="30"/>
      <c r="R556" s="146"/>
      <c r="S556" s="147"/>
      <c r="T556" s="146"/>
      <c r="U556" s="146"/>
      <c r="V556" s="146"/>
      <c r="W556" s="146"/>
      <c r="X556" s="146"/>
      <c r="Y556" s="146"/>
      <c r="Z556" s="146"/>
      <c r="AA556" s="146"/>
      <c r="AB556" s="146"/>
      <c r="AC556" s="146"/>
      <c r="AD556" s="146"/>
      <c r="AE556" s="146"/>
      <c r="AF556" s="146"/>
      <c r="AG556" s="146"/>
      <c r="AH556" s="146"/>
      <c r="AI556" s="146"/>
    </row>
    <row r="557" spans="1:35" ht="13.5" customHeight="1" x14ac:dyDescent="0.25">
      <c r="A557" s="28"/>
      <c r="B557" s="28"/>
      <c r="C557" s="28"/>
      <c r="D557" s="28"/>
      <c r="E557" s="28"/>
      <c r="F557" s="28"/>
      <c r="G557" s="29"/>
      <c r="H557" s="28"/>
      <c r="I557" s="147"/>
      <c r="J557" s="147"/>
      <c r="K557" s="146"/>
      <c r="L557" s="146"/>
      <c r="M557" s="146"/>
      <c r="N557" s="146"/>
      <c r="O557" s="146"/>
      <c r="P557" s="146"/>
      <c r="Q557" s="30"/>
      <c r="R557" s="146"/>
      <c r="S557" s="147"/>
      <c r="T557" s="146"/>
      <c r="U557" s="146"/>
      <c r="V557" s="146"/>
      <c r="W557" s="146"/>
      <c r="X557" s="146"/>
      <c r="Y557" s="146"/>
      <c r="Z557" s="146"/>
      <c r="AA557" s="146"/>
      <c r="AB557" s="146"/>
      <c r="AC557" s="146"/>
      <c r="AD557" s="146"/>
      <c r="AE557" s="146"/>
      <c r="AF557" s="146"/>
      <c r="AG557" s="146"/>
      <c r="AH557" s="146"/>
      <c r="AI557" s="146"/>
    </row>
    <row r="558" spans="1:35" ht="13.5" customHeight="1" x14ac:dyDescent="0.25">
      <c r="A558" s="28"/>
      <c r="B558" s="28"/>
      <c r="C558" s="28"/>
      <c r="D558" s="28"/>
      <c r="E558" s="28"/>
      <c r="F558" s="28"/>
      <c r="G558" s="29"/>
      <c r="H558" s="28"/>
      <c r="I558" s="147"/>
      <c r="J558" s="147"/>
      <c r="K558" s="146"/>
      <c r="L558" s="146"/>
      <c r="M558" s="146"/>
      <c r="N558" s="146"/>
      <c r="O558" s="146"/>
      <c r="P558" s="146"/>
      <c r="Q558" s="30"/>
      <c r="R558" s="146"/>
      <c r="S558" s="147"/>
      <c r="T558" s="146"/>
      <c r="U558" s="146"/>
      <c r="V558" s="146"/>
      <c r="W558" s="146"/>
      <c r="X558" s="146"/>
      <c r="Y558" s="146"/>
      <c r="Z558" s="146"/>
      <c r="AA558" s="146"/>
      <c r="AB558" s="146"/>
      <c r="AC558" s="146"/>
      <c r="AD558" s="146"/>
      <c r="AE558" s="146"/>
      <c r="AF558" s="146"/>
      <c r="AG558" s="146"/>
      <c r="AH558" s="146"/>
      <c r="AI558" s="146"/>
    </row>
    <row r="559" spans="1:35" ht="13.5" customHeight="1" x14ac:dyDescent="0.25">
      <c r="A559" s="28"/>
      <c r="B559" s="28"/>
      <c r="C559" s="28"/>
      <c r="D559" s="28"/>
      <c r="E559" s="28"/>
      <c r="F559" s="28"/>
      <c r="G559" s="29"/>
      <c r="H559" s="28"/>
      <c r="I559" s="147"/>
      <c r="J559" s="147"/>
      <c r="K559" s="146"/>
      <c r="L559" s="146"/>
      <c r="M559" s="146"/>
      <c r="N559" s="146"/>
      <c r="O559" s="146"/>
      <c r="P559" s="146"/>
      <c r="Q559" s="30"/>
      <c r="R559" s="146"/>
      <c r="S559" s="147"/>
      <c r="T559" s="146"/>
      <c r="U559" s="146"/>
      <c r="V559" s="146"/>
      <c r="W559" s="146"/>
      <c r="X559" s="146"/>
      <c r="Y559" s="146"/>
      <c r="Z559" s="146"/>
      <c r="AA559" s="146"/>
      <c r="AB559" s="146"/>
      <c r="AC559" s="146"/>
      <c r="AD559" s="146"/>
      <c r="AE559" s="146"/>
      <c r="AF559" s="146"/>
      <c r="AG559" s="146"/>
      <c r="AH559" s="146"/>
      <c r="AI559" s="146"/>
    </row>
    <row r="560" spans="1:35" ht="13.5" customHeight="1" x14ac:dyDescent="0.25">
      <c r="A560" s="28"/>
      <c r="B560" s="28"/>
      <c r="C560" s="28"/>
      <c r="D560" s="28"/>
      <c r="E560" s="28"/>
      <c r="F560" s="28"/>
      <c r="G560" s="29"/>
      <c r="H560" s="28"/>
      <c r="I560" s="147"/>
      <c r="J560" s="147"/>
      <c r="K560" s="146"/>
      <c r="L560" s="146"/>
      <c r="M560" s="146"/>
      <c r="N560" s="146"/>
      <c r="O560" s="146"/>
      <c r="P560" s="146"/>
      <c r="Q560" s="30"/>
      <c r="R560" s="146"/>
      <c r="S560" s="147"/>
      <c r="T560" s="146"/>
      <c r="U560" s="146"/>
      <c r="V560" s="146"/>
      <c r="W560" s="146"/>
      <c r="X560" s="146"/>
      <c r="Y560" s="146"/>
      <c r="Z560" s="146"/>
      <c r="AA560" s="146"/>
      <c r="AB560" s="146"/>
      <c r="AC560" s="146"/>
      <c r="AD560" s="146"/>
      <c r="AE560" s="146"/>
      <c r="AF560" s="146"/>
      <c r="AG560" s="146"/>
      <c r="AH560" s="146"/>
      <c r="AI560" s="146"/>
    </row>
    <row r="561" spans="1:35" ht="13.5" customHeight="1" x14ac:dyDescent="0.25">
      <c r="A561" s="28"/>
      <c r="B561" s="28"/>
      <c r="C561" s="28"/>
      <c r="D561" s="28"/>
      <c r="E561" s="28"/>
      <c r="F561" s="28"/>
      <c r="G561" s="29"/>
      <c r="H561" s="28"/>
      <c r="I561" s="147"/>
      <c r="J561" s="147"/>
      <c r="K561" s="146"/>
      <c r="L561" s="146"/>
      <c r="M561" s="146"/>
      <c r="N561" s="146"/>
      <c r="O561" s="146"/>
      <c r="P561" s="146"/>
      <c r="Q561" s="30"/>
      <c r="R561" s="146"/>
      <c r="S561" s="147"/>
      <c r="T561" s="146"/>
      <c r="U561" s="146"/>
      <c r="V561" s="146"/>
      <c r="W561" s="146"/>
      <c r="X561" s="146"/>
      <c r="Y561" s="146"/>
      <c r="Z561" s="146"/>
      <c r="AA561" s="146"/>
      <c r="AB561" s="146"/>
      <c r="AC561" s="146"/>
      <c r="AD561" s="146"/>
      <c r="AE561" s="146"/>
      <c r="AF561" s="146"/>
      <c r="AG561" s="146"/>
      <c r="AH561" s="146"/>
      <c r="AI561" s="146"/>
    </row>
    <row r="562" spans="1:35" ht="13.5" customHeight="1" x14ac:dyDescent="0.25">
      <c r="A562" s="28"/>
      <c r="B562" s="28"/>
      <c r="C562" s="28"/>
      <c r="D562" s="28"/>
      <c r="E562" s="28"/>
      <c r="F562" s="28"/>
      <c r="G562" s="29"/>
      <c r="H562" s="28"/>
      <c r="I562" s="147"/>
      <c r="J562" s="147"/>
      <c r="K562" s="146"/>
      <c r="L562" s="146"/>
      <c r="M562" s="146"/>
      <c r="N562" s="146"/>
      <c r="O562" s="146"/>
      <c r="P562" s="146"/>
      <c r="Q562" s="30"/>
      <c r="R562" s="146"/>
      <c r="S562" s="147"/>
      <c r="T562" s="146"/>
      <c r="U562" s="146"/>
      <c r="V562" s="146"/>
      <c r="W562" s="146"/>
      <c r="X562" s="146"/>
      <c r="Y562" s="146"/>
      <c r="Z562" s="146"/>
      <c r="AA562" s="146"/>
      <c r="AB562" s="146"/>
      <c r="AC562" s="146"/>
      <c r="AD562" s="146"/>
      <c r="AE562" s="146"/>
      <c r="AF562" s="146"/>
      <c r="AG562" s="146"/>
      <c r="AH562" s="146"/>
      <c r="AI562" s="146"/>
    </row>
    <row r="563" spans="1:35" ht="13.5" customHeight="1" x14ac:dyDescent="0.25">
      <c r="A563" s="28"/>
      <c r="B563" s="28"/>
      <c r="C563" s="28"/>
      <c r="D563" s="28"/>
      <c r="E563" s="28"/>
      <c r="F563" s="28"/>
      <c r="G563" s="29"/>
      <c r="H563" s="28"/>
      <c r="I563" s="147"/>
      <c r="J563" s="147"/>
      <c r="K563" s="146"/>
      <c r="L563" s="146"/>
      <c r="M563" s="146"/>
      <c r="N563" s="146"/>
      <c r="O563" s="146"/>
      <c r="P563" s="146"/>
      <c r="Q563" s="30"/>
      <c r="R563" s="146"/>
      <c r="S563" s="147"/>
      <c r="T563" s="146"/>
      <c r="U563" s="146"/>
      <c r="V563" s="146"/>
      <c r="W563" s="146"/>
      <c r="X563" s="146"/>
      <c r="Y563" s="146"/>
      <c r="Z563" s="146"/>
      <c r="AA563" s="146"/>
      <c r="AB563" s="146"/>
      <c r="AC563" s="146"/>
      <c r="AD563" s="146"/>
      <c r="AE563" s="146"/>
      <c r="AF563" s="146"/>
      <c r="AG563" s="146"/>
      <c r="AH563" s="146"/>
      <c r="AI563" s="146"/>
    </row>
    <row r="564" spans="1:35" ht="13.5" customHeight="1" x14ac:dyDescent="0.25">
      <c r="A564" s="28"/>
      <c r="B564" s="28"/>
      <c r="C564" s="28"/>
      <c r="D564" s="28"/>
      <c r="E564" s="28"/>
      <c r="F564" s="28"/>
      <c r="G564" s="29"/>
      <c r="H564" s="28"/>
      <c r="I564" s="147"/>
      <c r="J564" s="147"/>
      <c r="K564" s="146"/>
      <c r="L564" s="146"/>
      <c r="M564" s="146"/>
      <c r="N564" s="146"/>
      <c r="O564" s="146"/>
      <c r="P564" s="146"/>
      <c r="Q564" s="30"/>
      <c r="R564" s="146"/>
      <c r="S564" s="147"/>
      <c r="T564" s="146"/>
      <c r="U564" s="146"/>
      <c r="V564" s="146"/>
      <c r="W564" s="146"/>
      <c r="X564" s="146"/>
      <c r="Y564" s="146"/>
      <c r="Z564" s="146"/>
      <c r="AA564" s="146"/>
      <c r="AB564" s="146"/>
      <c r="AC564" s="146"/>
      <c r="AD564" s="146"/>
      <c r="AE564" s="146"/>
      <c r="AF564" s="146"/>
      <c r="AG564" s="146"/>
      <c r="AH564" s="146"/>
      <c r="AI564" s="146"/>
    </row>
    <row r="565" spans="1:35" ht="13.5" customHeight="1" x14ac:dyDescent="0.25">
      <c r="A565" s="28"/>
      <c r="B565" s="28"/>
      <c r="C565" s="28"/>
      <c r="D565" s="28"/>
      <c r="E565" s="28"/>
      <c r="F565" s="28"/>
      <c r="G565" s="29"/>
      <c r="H565" s="28"/>
      <c r="I565" s="147"/>
      <c r="J565" s="147"/>
      <c r="K565" s="146"/>
      <c r="L565" s="146"/>
      <c r="M565" s="146"/>
      <c r="N565" s="146"/>
      <c r="O565" s="146"/>
      <c r="P565" s="146"/>
      <c r="Q565" s="30"/>
      <c r="R565" s="146"/>
      <c r="S565" s="147"/>
      <c r="T565" s="146"/>
      <c r="U565" s="146"/>
      <c r="V565" s="146"/>
      <c r="W565" s="146"/>
      <c r="X565" s="146"/>
      <c r="Y565" s="146"/>
      <c r="Z565" s="146"/>
      <c r="AA565" s="146"/>
      <c r="AB565" s="146"/>
      <c r="AC565" s="146"/>
      <c r="AD565" s="146"/>
      <c r="AE565" s="146"/>
      <c r="AF565" s="146"/>
      <c r="AG565" s="146"/>
      <c r="AH565" s="146"/>
      <c r="AI565" s="146"/>
    </row>
    <row r="566" spans="1:35" ht="13.5" customHeight="1" x14ac:dyDescent="0.25">
      <c r="A566" s="28"/>
      <c r="B566" s="28"/>
      <c r="C566" s="28"/>
      <c r="D566" s="28"/>
      <c r="E566" s="28"/>
      <c r="F566" s="28"/>
      <c r="G566" s="29"/>
      <c r="H566" s="28"/>
      <c r="I566" s="147"/>
      <c r="J566" s="147"/>
      <c r="K566" s="146"/>
      <c r="L566" s="146"/>
      <c r="M566" s="146"/>
      <c r="N566" s="146"/>
      <c r="O566" s="146"/>
      <c r="P566" s="146"/>
      <c r="Q566" s="30"/>
      <c r="R566" s="146"/>
      <c r="S566" s="147"/>
      <c r="T566" s="146"/>
      <c r="U566" s="146"/>
      <c r="V566" s="146"/>
      <c r="W566" s="146"/>
      <c r="X566" s="146"/>
      <c r="Y566" s="146"/>
      <c r="Z566" s="146"/>
      <c r="AA566" s="146"/>
      <c r="AB566" s="146"/>
      <c r="AC566" s="146"/>
      <c r="AD566" s="146"/>
      <c r="AE566" s="146"/>
      <c r="AF566" s="146"/>
      <c r="AG566" s="146"/>
      <c r="AH566" s="146"/>
      <c r="AI566" s="146"/>
    </row>
    <row r="567" spans="1:35" ht="13.5" customHeight="1" x14ac:dyDescent="0.25">
      <c r="A567" s="28"/>
      <c r="B567" s="28"/>
      <c r="C567" s="28"/>
      <c r="D567" s="28"/>
      <c r="E567" s="28"/>
      <c r="F567" s="28"/>
      <c r="G567" s="29"/>
      <c r="H567" s="28"/>
      <c r="I567" s="147"/>
      <c r="J567" s="147"/>
      <c r="K567" s="146"/>
      <c r="L567" s="146"/>
      <c r="M567" s="146"/>
      <c r="N567" s="146"/>
      <c r="O567" s="146"/>
      <c r="P567" s="146"/>
      <c r="Q567" s="30"/>
      <c r="R567" s="146"/>
      <c r="S567" s="147"/>
      <c r="T567" s="146"/>
      <c r="U567" s="146"/>
      <c r="V567" s="146"/>
      <c r="W567" s="146"/>
      <c r="X567" s="146"/>
      <c r="Y567" s="146"/>
      <c r="Z567" s="146"/>
      <c r="AA567" s="146"/>
      <c r="AB567" s="146"/>
      <c r="AC567" s="146"/>
      <c r="AD567" s="146"/>
      <c r="AE567" s="146"/>
      <c r="AF567" s="146"/>
      <c r="AG567" s="146"/>
      <c r="AH567" s="146"/>
      <c r="AI567" s="146"/>
    </row>
    <row r="568" spans="1:35" ht="13.5" customHeight="1" x14ac:dyDescent="0.25">
      <c r="A568" s="28"/>
      <c r="B568" s="28"/>
      <c r="C568" s="28"/>
      <c r="D568" s="28"/>
      <c r="E568" s="28"/>
      <c r="F568" s="28"/>
      <c r="G568" s="29"/>
      <c r="H568" s="28"/>
      <c r="I568" s="147"/>
      <c r="J568" s="147"/>
      <c r="K568" s="146"/>
      <c r="L568" s="146"/>
      <c r="M568" s="146"/>
      <c r="N568" s="146"/>
      <c r="O568" s="146"/>
      <c r="P568" s="146"/>
      <c r="Q568" s="30"/>
      <c r="R568" s="146"/>
      <c r="S568" s="147"/>
      <c r="T568" s="146"/>
      <c r="U568" s="146"/>
      <c r="V568" s="146"/>
      <c r="W568" s="146"/>
      <c r="X568" s="146"/>
      <c r="Y568" s="146"/>
      <c r="Z568" s="146"/>
      <c r="AA568" s="146"/>
      <c r="AB568" s="146"/>
      <c r="AC568" s="146"/>
      <c r="AD568" s="146"/>
      <c r="AE568" s="146"/>
      <c r="AF568" s="146"/>
      <c r="AG568" s="146"/>
      <c r="AH568" s="146"/>
      <c r="AI568" s="146"/>
    </row>
    <row r="569" spans="1:35" ht="13.5" customHeight="1" x14ac:dyDescent="0.25">
      <c r="A569" s="28"/>
      <c r="B569" s="28"/>
      <c r="C569" s="28"/>
      <c r="D569" s="28"/>
      <c r="E569" s="28"/>
      <c r="F569" s="28"/>
      <c r="G569" s="29"/>
      <c r="H569" s="28"/>
      <c r="I569" s="147"/>
      <c r="J569" s="147"/>
      <c r="K569" s="146"/>
      <c r="L569" s="146"/>
      <c r="M569" s="146"/>
      <c r="N569" s="146"/>
      <c r="O569" s="146"/>
      <c r="P569" s="146"/>
      <c r="Q569" s="30"/>
      <c r="R569" s="146"/>
      <c r="S569" s="147"/>
      <c r="T569" s="146"/>
      <c r="U569" s="146"/>
      <c r="V569" s="146"/>
      <c r="W569" s="146"/>
      <c r="X569" s="146"/>
      <c r="Y569" s="146"/>
      <c r="Z569" s="146"/>
      <c r="AA569" s="146"/>
      <c r="AB569" s="146"/>
      <c r="AC569" s="146"/>
      <c r="AD569" s="146"/>
      <c r="AE569" s="146"/>
      <c r="AF569" s="146"/>
      <c r="AG569" s="146"/>
      <c r="AH569" s="146"/>
      <c r="AI569" s="146"/>
    </row>
    <row r="570" spans="1:35" ht="13.5" customHeight="1" x14ac:dyDescent="0.25">
      <c r="A570" s="28"/>
      <c r="B570" s="28"/>
      <c r="C570" s="28"/>
      <c r="D570" s="28"/>
      <c r="E570" s="28"/>
      <c r="F570" s="28"/>
      <c r="G570" s="29"/>
      <c r="H570" s="28"/>
      <c r="I570" s="147"/>
      <c r="J570" s="147"/>
      <c r="K570" s="146"/>
      <c r="L570" s="146"/>
      <c r="M570" s="146"/>
      <c r="N570" s="146"/>
      <c r="O570" s="146"/>
      <c r="P570" s="146"/>
      <c r="Q570" s="30"/>
      <c r="R570" s="146"/>
      <c r="S570" s="147"/>
      <c r="T570" s="146"/>
      <c r="U570" s="146"/>
      <c r="V570" s="146"/>
      <c r="W570" s="146"/>
      <c r="X570" s="146"/>
      <c r="Y570" s="146"/>
      <c r="Z570" s="146"/>
      <c r="AA570" s="146"/>
      <c r="AB570" s="146"/>
      <c r="AC570" s="146"/>
      <c r="AD570" s="146"/>
      <c r="AE570" s="146"/>
      <c r="AF570" s="146"/>
      <c r="AG570" s="146"/>
      <c r="AH570" s="146"/>
      <c r="AI570" s="146"/>
    </row>
    <row r="571" spans="1:35" ht="13.5" customHeight="1" x14ac:dyDescent="0.25">
      <c r="A571" s="28"/>
      <c r="B571" s="28"/>
      <c r="C571" s="28"/>
      <c r="D571" s="28"/>
      <c r="E571" s="28"/>
      <c r="F571" s="28"/>
      <c r="G571" s="29"/>
      <c r="H571" s="28"/>
      <c r="I571" s="147"/>
      <c r="J571" s="147"/>
      <c r="K571" s="146"/>
      <c r="L571" s="146"/>
      <c r="M571" s="146"/>
      <c r="N571" s="146"/>
      <c r="O571" s="146"/>
      <c r="P571" s="146"/>
      <c r="Q571" s="30"/>
      <c r="R571" s="146"/>
      <c r="S571" s="147"/>
      <c r="T571" s="146"/>
      <c r="U571" s="146"/>
      <c r="V571" s="146"/>
      <c r="W571" s="146"/>
      <c r="X571" s="146"/>
      <c r="Y571" s="146"/>
      <c r="Z571" s="146"/>
      <c r="AA571" s="146"/>
      <c r="AB571" s="146"/>
      <c r="AC571" s="146"/>
      <c r="AD571" s="146"/>
      <c r="AE571" s="146"/>
      <c r="AF571" s="146"/>
      <c r="AG571" s="146"/>
      <c r="AH571" s="146"/>
      <c r="AI571" s="146"/>
    </row>
    <row r="572" spans="1:35" ht="13.5" customHeight="1" x14ac:dyDescent="0.25">
      <c r="A572" s="28"/>
      <c r="B572" s="28"/>
      <c r="C572" s="28"/>
      <c r="D572" s="28"/>
      <c r="E572" s="28"/>
      <c r="F572" s="28"/>
      <c r="G572" s="29"/>
      <c r="H572" s="28"/>
      <c r="I572" s="147"/>
      <c r="J572" s="147"/>
      <c r="K572" s="146"/>
      <c r="L572" s="146"/>
      <c r="M572" s="146"/>
      <c r="N572" s="146"/>
      <c r="O572" s="146"/>
      <c r="P572" s="146"/>
      <c r="Q572" s="30"/>
      <c r="R572" s="146"/>
      <c r="S572" s="147"/>
      <c r="T572" s="146"/>
      <c r="U572" s="146"/>
      <c r="V572" s="146"/>
      <c r="W572" s="146"/>
      <c r="X572" s="146"/>
      <c r="Y572" s="146"/>
      <c r="Z572" s="146"/>
      <c r="AA572" s="146"/>
      <c r="AB572" s="146"/>
      <c r="AC572" s="146"/>
      <c r="AD572" s="146"/>
      <c r="AE572" s="146"/>
      <c r="AF572" s="146"/>
      <c r="AG572" s="146"/>
      <c r="AH572" s="146"/>
      <c r="AI572" s="146"/>
    </row>
    <row r="573" spans="1:35" ht="13.5" customHeight="1" x14ac:dyDescent="0.25">
      <c r="A573" s="28"/>
      <c r="B573" s="28"/>
      <c r="C573" s="28"/>
      <c r="D573" s="28"/>
      <c r="E573" s="28"/>
      <c r="F573" s="28"/>
      <c r="G573" s="29"/>
      <c r="H573" s="28"/>
      <c r="I573" s="147"/>
      <c r="J573" s="147"/>
      <c r="K573" s="146"/>
      <c r="L573" s="146"/>
      <c r="M573" s="146"/>
      <c r="N573" s="146"/>
      <c r="O573" s="146"/>
      <c r="P573" s="146"/>
      <c r="Q573" s="30"/>
      <c r="R573" s="146"/>
      <c r="S573" s="147"/>
      <c r="T573" s="146"/>
      <c r="U573" s="146"/>
      <c r="V573" s="146"/>
      <c r="W573" s="146"/>
      <c r="X573" s="146"/>
      <c r="Y573" s="146"/>
      <c r="Z573" s="146"/>
      <c r="AA573" s="146"/>
      <c r="AB573" s="146"/>
      <c r="AC573" s="146"/>
      <c r="AD573" s="146"/>
      <c r="AE573" s="146"/>
      <c r="AF573" s="146"/>
      <c r="AG573" s="146"/>
      <c r="AH573" s="146"/>
      <c r="AI573" s="146"/>
    </row>
    <row r="574" spans="1:35" ht="13.5" customHeight="1" x14ac:dyDescent="0.25">
      <c r="A574" s="28"/>
      <c r="B574" s="28"/>
      <c r="C574" s="28"/>
      <c r="D574" s="28"/>
      <c r="E574" s="28"/>
      <c r="F574" s="28"/>
      <c r="G574" s="29"/>
      <c r="H574" s="28"/>
      <c r="I574" s="147"/>
      <c r="J574" s="147"/>
      <c r="K574" s="146"/>
      <c r="L574" s="146"/>
      <c r="M574" s="146"/>
      <c r="N574" s="146"/>
      <c r="O574" s="146"/>
      <c r="P574" s="146"/>
      <c r="Q574" s="30"/>
      <c r="R574" s="146"/>
      <c r="S574" s="147"/>
      <c r="T574" s="146"/>
      <c r="U574" s="146"/>
      <c r="V574" s="146"/>
      <c r="W574" s="146"/>
      <c r="X574" s="146"/>
      <c r="Y574" s="146"/>
      <c r="Z574" s="146"/>
      <c r="AA574" s="146"/>
      <c r="AB574" s="146"/>
      <c r="AC574" s="146"/>
      <c r="AD574" s="146"/>
      <c r="AE574" s="146"/>
      <c r="AF574" s="146"/>
      <c r="AG574" s="146"/>
      <c r="AH574" s="146"/>
      <c r="AI574" s="146"/>
    </row>
    <row r="575" spans="1:35" ht="13.5" customHeight="1" x14ac:dyDescent="0.25">
      <c r="A575" s="28"/>
      <c r="B575" s="28"/>
      <c r="C575" s="28"/>
      <c r="D575" s="28"/>
      <c r="E575" s="28"/>
      <c r="F575" s="28"/>
      <c r="G575" s="29"/>
      <c r="H575" s="28"/>
      <c r="I575" s="147"/>
      <c r="J575" s="147"/>
      <c r="K575" s="146"/>
      <c r="L575" s="146"/>
      <c r="M575" s="146"/>
      <c r="N575" s="146"/>
      <c r="O575" s="146"/>
      <c r="P575" s="146"/>
      <c r="Q575" s="30"/>
      <c r="R575" s="146"/>
      <c r="S575" s="147"/>
      <c r="T575" s="146"/>
      <c r="U575" s="146"/>
      <c r="V575" s="146"/>
      <c r="W575" s="146"/>
      <c r="X575" s="146"/>
      <c r="Y575" s="146"/>
      <c r="Z575" s="146"/>
      <c r="AA575" s="146"/>
      <c r="AB575" s="146"/>
      <c r="AC575" s="146"/>
      <c r="AD575" s="146"/>
      <c r="AE575" s="146"/>
      <c r="AF575" s="146"/>
      <c r="AG575" s="146"/>
      <c r="AH575" s="146"/>
      <c r="AI575" s="146"/>
    </row>
    <row r="576" spans="1:35" ht="13.5" customHeight="1" x14ac:dyDescent="0.25">
      <c r="A576" s="28"/>
      <c r="B576" s="28"/>
      <c r="C576" s="28"/>
      <c r="D576" s="28"/>
      <c r="E576" s="28"/>
      <c r="F576" s="28"/>
      <c r="G576" s="29"/>
      <c r="H576" s="28"/>
      <c r="I576" s="147"/>
      <c r="J576" s="147"/>
      <c r="K576" s="146"/>
      <c r="L576" s="146"/>
      <c r="M576" s="146"/>
      <c r="N576" s="146"/>
      <c r="O576" s="146"/>
      <c r="P576" s="146"/>
      <c r="Q576" s="30"/>
      <c r="R576" s="146"/>
      <c r="S576" s="147"/>
      <c r="T576" s="146"/>
      <c r="U576" s="146"/>
      <c r="V576" s="146"/>
      <c r="W576" s="146"/>
      <c r="X576" s="146"/>
      <c r="Y576" s="146"/>
      <c r="Z576" s="146"/>
      <c r="AA576" s="146"/>
      <c r="AB576" s="146"/>
      <c r="AC576" s="146"/>
      <c r="AD576" s="146"/>
      <c r="AE576" s="146"/>
      <c r="AF576" s="146"/>
      <c r="AG576" s="146"/>
      <c r="AH576" s="146"/>
      <c r="AI576" s="146"/>
    </row>
    <row r="577" spans="1:35" ht="13.5" customHeight="1" x14ac:dyDescent="0.25">
      <c r="A577" s="28"/>
      <c r="B577" s="28"/>
      <c r="C577" s="28"/>
      <c r="D577" s="28"/>
      <c r="E577" s="28"/>
      <c r="F577" s="28"/>
      <c r="G577" s="29"/>
      <c r="H577" s="28"/>
      <c r="I577" s="147"/>
      <c r="J577" s="147"/>
      <c r="K577" s="146"/>
      <c r="L577" s="146"/>
      <c r="M577" s="146"/>
      <c r="N577" s="146"/>
      <c r="O577" s="146"/>
      <c r="P577" s="146"/>
      <c r="Q577" s="30"/>
      <c r="R577" s="146"/>
      <c r="S577" s="147"/>
      <c r="T577" s="146"/>
      <c r="U577" s="146"/>
      <c r="V577" s="146"/>
      <c r="W577" s="146"/>
      <c r="X577" s="146"/>
      <c r="Y577" s="146"/>
      <c r="Z577" s="146"/>
      <c r="AA577" s="146"/>
      <c r="AB577" s="146"/>
      <c r="AC577" s="146"/>
      <c r="AD577" s="146"/>
      <c r="AE577" s="146"/>
      <c r="AF577" s="146"/>
      <c r="AG577" s="146"/>
      <c r="AH577" s="146"/>
      <c r="AI577" s="146"/>
    </row>
    <row r="578" spans="1:35" ht="13.5" customHeight="1" x14ac:dyDescent="0.25">
      <c r="A578" s="28"/>
      <c r="B578" s="28"/>
      <c r="C578" s="28"/>
      <c r="D578" s="28"/>
      <c r="E578" s="28"/>
      <c r="F578" s="28"/>
      <c r="G578" s="29"/>
      <c r="H578" s="28"/>
      <c r="I578" s="147"/>
      <c r="J578" s="147"/>
      <c r="K578" s="146"/>
      <c r="L578" s="146"/>
      <c r="M578" s="146"/>
      <c r="N578" s="146"/>
      <c r="O578" s="146"/>
      <c r="P578" s="146"/>
      <c r="Q578" s="30"/>
      <c r="R578" s="146"/>
      <c r="S578" s="147"/>
      <c r="T578" s="146"/>
      <c r="U578" s="146"/>
      <c r="V578" s="146"/>
      <c r="W578" s="146"/>
      <c r="X578" s="146"/>
      <c r="Y578" s="146"/>
      <c r="Z578" s="146"/>
      <c r="AA578" s="146"/>
      <c r="AB578" s="146"/>
      <c r="AC578" s="146"/>
      <c r="AD578" s="146"/>
      <c r="AE578" s="146"/>
      <c r="AF578" s="146"/>
      <c r="AG578" s="146"/>
      <c r="AH578" s="146"/>
      <c r="AI578" s="146"/>
    </row>
    <row r="579" spans="1:35" ht="13.5" customHeight="1" x14ac:dyDescent="0.25">
      <c r="A579" s="28"/>
      <c r="B579" s="28"/>
      <c r="C579" s="28"/>
      <c r="D579" s="28"/>
      <c r="E579" s="28"/>
      <c r="F579" s="28"/>
      <c r="G579" s="29"/>
      <c r="H579" s="28"/>
      <c r="I579" s="147"/>
      <c r="J579" s="147"/>
      <c r="K579" s="146"/>
      <c r="L579" s="146"/>
      <c r="M579" s="146"/>
      <c r="N579" s="146"/>
      <c r="O579" s="146"/>
      <c r="P579" s="146"/>
      <c r="Q579" s="30"/>
      <c r="R579" s="146"/>
      <c r="S579" s="147"/>
      <c r="T579" s="146"/>
      <c r="U579" s="146"/>
      <c r="V579" s="146"/>
      <c r="W579" s="146"/>
      <c r="X579" s="146"/>
      <c r="Y579" s="146"/>
      <c r="Z579" s="146"/>
      <c r="AA579" s="146"/>
      <c r="AB579" s="146"/>
      <c r="AC579" s="146"/>
      <c r="AD579" s="146"/>
      <c r="AE579" s="146"/>
      <c r="AF579" s="146"/>
      <c r="AG579" s="146"/>
      <c r="AH579" s="146"/>
      <c r="AI579" s="146"/>
    </row>
    <row r="580" spans="1:35" ht="13.5" customHeight="1" x14ac:dyDescent="0.25">
      <c r="A580" s="28"/>
      <c r="B580" s="28"/>
      <c r="C580" s="28"/>
      <c r="D580" s="28"/>
      <c r="E580" s="28"/>
      <c r="F580" s="28"/>
      <c r="G580" s="29"/>
      <c r="H580" s="28"/>
      <c r="I580" s="147"/>
      <c r="J580" s="147"/>
      <c r="K580" s="146"/>
      <c r="L580" s="146"/>
      <c r="M580" s="146"/>
      <c r="N580" s="146"/>
      <c r="O580" s="146"/>
      <c r="P580" s="146"/>
      <c r="Q580" s="30"/>
      <c r="R580" s="146"/>
      <c r="S580" s="147"/>
      <c r="T580" s="146"/>
      <c r="U580" s="146"/>
      <c r="V580" s="146"/>
      <c r="W580" s="146"/>
      <c r="X580" s="146"/>
      <c r="Y580" s="146"/>
      <c r="Z580" s="146"/>
      <c r="AA580" s="146"/>
      <c r="AB580" s="146"/>
      <c r="AC580" s="146"/>
      <c r="AD580" s="146"/>
      <c r="AE580" s="146"/>
      <c r="AF580" s="146"/>
      <c r="AG580" s="146"/>
      <c r="AH580" s="146"/>
      <c r="AI580" s="146"/>
    </row>
    <row r="581" spans="1:35" ht="13.5" customHeight="1" x14ac:dyDescent="0.25">
      <c r="A581" s="28"/>
      <c r="B581" s="28"/>
      <c r="C581" s="28"/>
      <c r="D581" s="28"/>
      <c r="E581" s="28"/>
      <c r="F581" s="28"/>
      <c r="G581" s="29"/>
      <c r="H581" s="28"/>
      <c r="I581" s="147"/>
      <c r="J581" s="147"/>
      <c r="K581" s="146"/>
      <c r="L581" s="146"/>
      <c r="M581" s="146"/>
      <c r="N581" s="146"/>
      <c r="O581" s="146"/>
      <c r="P581" s="146"/>
      <c r="Q581" s="30"/>
      <c r="R581" s="146"/>
      <c r="S581" s="147"/>
      <c r="T581" s="146"/>
      <c r="U581" s="146"/>
      <c r="V581" s="146"/>
      <c r="W581" s="146"/>
      <c r="X581" s="146"/>
      <c r="Y581" s="146"/>
      <c r="Z581" s="146"/>
      <c r="AA581" s="146"/>
      <c r="AB581" s="146"/>
      <c r="AC581" s="146"/>
      <c r="AD581" s="146"/>
      <c r="AE581" s="146"/>
      <c r="AF581" s="146"/>
      <c r="AG581" s="146"/>
      <c r="AH581" s="146"/>
      <c r="AI581" s="146"/>
    </row>
    <row r="582" spans="1:35" ht="13.5" customHeight="1" x14ac:dyDescent="0.25">
      <c r="A582" s="28"/>
      <c r="B582" s="28"/>
      <c r="C582" s="28"/>
      <c r="D582" s="28"/>
      <c r="E582" s="28"/>
      <c r="F582" s="28"/>
      <c r="G582" s="29"/>
      <c r="H582" s="28"/>
      <c r="I582" s="147"/>
      <c r="J582" s="147"/>
      <c r="K582" s="146"/>
      <c r="L582" s="146"/>
      <c r="M582" s="146"/>
      <c r="N582" s="146"/>
      <c r="O582" s="146"/>
      <c r="P582" s="146"/>
      <c r="Q582" s="30"/>
      <c r="R582" s="146"/>
      <c r="S582" s="147"/>
      <c r="T582" s="146"/>
      <c r="U582" s="146"/>
      <c r="V582" s="146"/>
      <c r="W582" s="146"/>
      <c r="X582" s="146"/>
      <c r="Y582" s="146"/>
      <c r="Z582" s="146"/>
      <c r="AA582" s="146"/>
      <c r="AB582" s="146"/>
      <c r="AC582" s="146"/>
      <c r="AD582" s="146"/>
      <c r="AE582" s="146"/>
      <c r="AF582" s="146"/>
      <c r="AG582" s="146"/>
      <c r="AH582" s="146"/>
      <c r="AI582" s="146"/>
    </row>
    <row r="583" spans="1:35" ht="13.5" customHeight="1" x14ac:dyDescent="0.25">
      <c r="A583" s="28"/>
      <c r="B583" s="28"/>
      <c r="C583" s="28"/>
      <c r="D583" s="28"/>
      <c r="E583" s="28"/>
      <c r="F583" s="28"/>
      <c r="G583" s="29"/>
      <c r="H583" s="28"/>
      <c r="I583" s="147"/>
      <c r="J583" s="147"/>
      <c r="K583" s="146"/>
      <c r="L583" s="146"/>
      <c r="M583" s="146"/>
      <c r="N583" s="146"/>
      <c r="O583" s="146"/>
      <c r="P583" s="146"/>
      <c r="Q583" s="30"/>
      <c r="R583" s="146"/>
      <c r="S583" s="147"/>
      <c r="T583" s="146"/>
      <c r="U583" s="146"/>
      <c r="V583" s="146"/>
      <c r="W583" s="146"/>
      <c r="X583" s="146"/>
      <c r="Y583" s="146"/>
      <c r="Z583" s="146"/>
      <c r="AA583" s="146"/>
      <c r="AB583" s="146"/>
      <c r="AC583" s="146"/>
      <c r="AD583" s="146"/>
      <c r="AE583" s="146"/>
      <c r="AF583" s="146"/>
      <c r="AG583" s="146"/>
      <c r="AH583" s="146"/>
      <c r="AI583" s="146"/>
    </row>
    <row r="584" spans="1:35" ht="13.5" customHeight="1" x14ac:dyDescent="0.25">
      <c r="A584" s="28"/>
      <c r="B584" s="28"/>
      <c r="C584" s="28"/>
      <c r="D584" s="28"/>
      <c r="E584" s="28"/>
      <c r="F584" s="28"/>
      <c r="G584" s="29"/>
      <c r="H584" s="28"/>
      <c r="I584" s="147"/>
      <c r="J584" s="147"/>
      <c r="K584" s="146"/>
      <c r="L584" s="146"/>
      <c r="M584" s="146"/>
      <c r="N584" s="146"/>
      <c r="O584" s="146"/>
      <c r="P584" s="146"/>
      <c r="Q584" s="30"/>
      <c r="R584" s="146"/>
      <c r="S584" s="147"/>
      <c r="T584" s="146"/>
      <c r="U584" s="146"/>
      <c r="V584" s="146"/>
      <c r="W584" s="146"/>
      <c r="X584" s="146"/>
      <c r="Y584" s="146"/>
      <c r="Z584" s="146"/>
      <c r="AA584" s="146"/>
      <c r="AB584" s="146"/>
      <c r="AC584" s="146"/>
      <c r="AD584" s="146"/>
      <c r="AE584" s="146"/>
      <c r="AF584" s="146"/>
      <c r="AG584" s="146"/>
      <c r="AH584" s="146"/>
      <c r="AI584" s="146"/>
    </row>
    <row r="585" spans="1:35" ht="13.5" customHeight="1" x14ac:dyDescent="0.25">
      <c r="A585" s="28"/>
      <c r="B585" s="28"/>
      <c r="C585" s="28"/>
      <c r="D585" s="28"/>
      <c r="E585" s="28"/>
      <c r="F585" s="28"/>
      <c r="G585" s="29"/>
      <c r="H585" s="28"/>
      <c r="I585" s="147"/>
      <c r="J585" s="147"/>
      <c r="K585" s="146"/>
      <c r="L585" s="146"/>
      <c r="M585" s="146"/>
      <c r="N585" s="146"/>
      <c r="O585" s="146"/>
      <c r="P585" s="146"/>
      <c r="Q585" s="30"/>
      <c r="R585" s="146"/>
      <c r="S585" s="147"/>
      <c r="T585" s="146"/>
      <c r="U585" s="146"/>
      <c r="V585" s="146"/>
      <c r="W585" s="146"/>
      <c r="X585" s="146"/>
      <c r="Y585" s="146"/>
      <c r="Z585" s="146"/>
      <c r="AA585" s="146"/>
      <c r="AB585" s="146"/>
      <c r="AC585" s="146"/>
      <c r="AD585" s="146"/>
      <c r="AE585" s="146"/>
      <c r="AF585" s="146"/>
      <c r="AG585" s="146"/>
      <c r="AH585" s="146"/>
      <c r="AI585" s="146"/>
    </row>
    <row r="586" spans="1:35" ht="13.5" customHeight="1" x14ac:dyDescent="0.25">
      <c r="A586" s="28"/>
      <c r="B586" s="28"/>
      <c r="C586" s="28"/>
      <c r="D586" s="28"/>
      <c r="E586" s="28"/>
      <c r="F586" s="28"/>
      <c r="G586" s="29"/>
      <c r="H586" s="28"/>
      <c r="I586" s="147"/>
      <c r="J586" s="147"/>
      <c r="K586" s="146"/>
      <c r="L586" s="146"/>
      <c r="M586" s="146"/>
      <c r="N586" s="146"/>
      <c r="O586" s="146"/>
      <c r="P586" s="146"/>
      <c r="Q586" s="30"/>
      <c r="R586" s="146"/>
      <c r="S586" s="147"/>
      <c r="T586" s="146"/>
      <c r="U586" s="146"/>
      <c r="V586" s="146"/>
      <c r="W586" s="146"/>
      <c r="X586" s="146"/>
      <c r="Y586" s="146"/>
      <c r="Z586" s="146"/>
      <c r="AA586" s="146"/>
      <c r="AB586" s="146"/>
      <c r="AC586" s="146"/>
      <c r="AD586" s="146"/>
      <c r="AE586" s="146"/>
      <c r="AF586" s="146"/>
      <c r="AG586" s="146"/>
      <c r="AH586" s="146"/>
      <c r="AI586" s="146"/>
    </row>
    <row r="587" spans="1:35" ht="13.5" customHeight="1" x14ac:dyDescent="0.25">
      <c r="A587" s="28"/>
      <c r="B587" s="28"/>
      <c r="C587" s="28"/>
      <c r="D587" s="28"/>
      <c r="E587" s="28"/>
      <c r="F587" s="28"/>
      <c r="G587" s="29"/>
      <c r="H587" s="28"/>
      <c r="I587" s="147"/>
      <c r="J587" s="147"/>
      <c r="K587" s="146"/>
      <c r="L587" s="146"/>
      <c r="M587" s="146"/>
      <c r="N587" s="146"/>
      <c r="O587" s="146"/>
      <c r="P587" s="146"/>
      <c r="Q587" s="30"/>
      <c r="R587" s="146"/>
      <c r="S587" s="147"/>
      <c r="T587" s="146"/>
      <c r="U587" s="146"/>
      <c r="V587" s="146"/>
      <c r="W587" s="146"/>
      <c r="X587" s="146"/>
      <c r="Y587" s="146"/>
      <c r="Z587" s="146"/>
      <c r="AA587" s="146"/>
      <c r="AB587" s="146"/>
      <c r="AC587" s="146"/>
      <c r="AD587" s="146"/>
      <c r="AE587" s="146"/>
      <c r="AF587" s="146"/>
      <c r="AG587" s="146"/>
      <c r="AH587" s="146"/>
      <c r="AI587" s="146"/>
    </row>
    <row r="588" spans="1:35" ht="13.5" customHeight="1" x14ac:dyDescent="0.25">
      <c r="A588" s="28"/>
      <c r="B588" s="28"/>
      <c r="C588" s="28"/>
      <c r="D588" s="28"/>
      <c r="E588" s="28"/>
      <c r="F588" s="28"/>
      <c r="G588" s="29"/>
      <c r="H588" s="28"/>
      <c r="I588" s="147"/>
      <c r="J588" s="147"/>
      <c r="K588" s="146"/>
      <c r="L588" s="146"/>
      <c r="M588" s="146"/>
      <c r="N588" s="146"/>
      <c r="O588" s="146"/>
      <c r="P588" s="146"/>
      <c r="Q588" s="30"/>
      <c r="R588" s="146"/>
      <c r="S588" s="147"/>
      <c r="T588" s="146"/>
      <c r="U588" s="146"/>
      <c r="V588" s="146"/>
      <c r="W588" s="146"/>
      <c r="X588" s="146"/>
      <c r="Y588" s="146"/>
      <c r="Z588" s="146"/>
      <c r="AA588" s="146"/>
      <c r="AB588" s="146"/>
      <c r="AC588" s="146"/>
      <c r="AD588" s="146"/>
      <c r="AE588" s="146"/>
      <c r="AF588" s="146"/>
      <c r="AG588" s="146"/>
      <c r="AH588" s="146"/>
      <c r="AI588" s="146"/>
    </row>
    <row r="589" spans="1:35" ht="13.5" customHeight="1" x14ac:dyDescent="0.25">
      <c r="A589" s="28"/>
      <c r="B589" s="28"/>
      <c r="C589" s="28"/>
      <c r="D589" s="28"/>
      <c r="E589" s="28"/>
      <c r="F589" s="28"/>
      <c r="G589" s="29"/>
      <c r="H589" s="28"/>
      <c r="I589" s="147"/>
      <c r="J589" s="147"/>
      <c r="K589" s="146"/>
      <c r="L589" s="146"/>
      <c r="M589" s="146"/>
      <c r="N589" s="146"/>
      <c r="O589" s="146"/>
      <c r="P589" s="146"/>
      <c r="Q589" s="30"/>
      <c r="R589" s="146"/>
      <c r="S589" s="147"/>
      <c r="T589" s="146"/>
      <c r="U589" s="146"/>
      <c r="V589" s="146"/>
      <c r="W589" s="146"/>
      <c r="X589" s="146"/>
      <c r="Y589" s="146"/>
      <c r="Z589" s="146"/>
      <c r="AA589" s="146"/>
      <c r="AB589" s="146"/>
      <c r="AC589" s="146"/>
      <c r="AD589" s="146"/>
      <c r="AE589" s="146"/>
      <c r="AF589" s="146"/>
      <c r="AG589" s="146"/>
      <c r="AH589" s="146"/>
      <c r="AI589" s="146"/>
    </row>
    <row r="590" spans="1:35" ht="13.5" customHeight="1" x14ac:dyDescent="0.25">
      <c r="A590" s="28"/>
      <c r="B590" s="28"/>
      <c r="C590" s="28"/>
      <c r="D590" s="28"/>
      <c r="E590" s="28"/>
      <c r="F590" s="28"/>
      <c r="G590" s="29"/>
      <c r="H590" s="28"/>
      <c r="I590" s="147"/>
      <c r="J590" s="147"/>
      <c r="K590" s="146"/>
      <c r="L590" s="146"/>
      <c r="M590" s="146"/>
      <c r="N590" s="146"/>
      <c r="O590" s="146"/>
      <c r="P590" s="146"/>
      <c r="Q590" s="30"/>
      <c r="R590" s="146"/>
      <c r="S590" s="147"/>
      <c r="T590" s="146"/>
      <c r="U590" s="146"/>
      <c r="V590" s="146"/>
      <c r="W590" s="146"/>
      <c r="X590" s="146"/>
      <c r="Y590" s="146"/>
      <c r="Z590" s="146"/>
      <c r="AA590" s="146"/>
      <c r="AB590" s="146"/>
      <c r="AC590" s="146"/>
      <c r="AD590" s="146"/>
      <c r="AE590" s="146"/>
      <c r="AF590" s="146"/>
      <c r="AG590" s="146"/>
      <c r="AH590" s="146"/>
      <c r="AI590" s="146"/>
    </row>
    <row r="591" spans="1:35" ht="13.5" customHeight="1" x14ac:dyDescent="0.25">
      <c r="A591" s="28"/>
      <c r="B591" s="28"/>
      <c r="C591" s="28"/>
      <c r="D591" s="28"/>
      <c r="E591" s="28"/>
      <c r="F591" s="28"/>
      <c r="G591" s="29"/>
      <c r="H591" s="28"/>
      <c r="I591" s="147"/>
      <c r="J591" s="147"/>
      <c r="K591" s="146"/>
      <c r="L591" s="146"/>
      <c r="M591" s="146"/>
      <c r="N591" s="146"/>
      <c r="O591" s="146"/>
      <c r="P591" s="146"/>
      <c r="Q591" s="30"/>
      <c r="R591" s="146"/>
      <c r="S591" s="147"/>
      <c r="T591" s="146"/>
      <c r="U591" s="146"/>
      <c r="V591" s="146"/>
      <c r="W591" s="146"/>
      <c r="X591" s="146"/>
      <c r="Y591" s="146"/>
      <c r="Z591" s="146"/>
      <c r="AA591" s="146"/>
      <c r="AB591" s="146"/>
      <c r="AC591" s="146"/>
      <c r="AD591" s="146"/>
      <c r="AE591" s="146"/>
      <c r="AF591" s="146"/>
      <c r="AG591" s="146"/>
      <c r="AH591" s="146"/>
      <c r="AI591" s="146"/>
    </row>
    <row r="592" spans="1:35" ht="13.5" customHeight="1" x14ac:dyDescent="0.25">
      <c r="A592" s="28"/>
      <c r="B592" s="28"/>
      <c r="C592" s="28"/>
      <c r="D592" s="28"/>
      <c r="E592" s="28"/>
      <c r="F592" s="28"/>
      <c r="G592" s="29"/>
      <c r="H592" s="28"/>
      <c r="I592" s="147"/>
      <c r="J592" s="147"/>
      <c r="K592" s="146"/>
      <c r="L592" s="146"/>
      <c r="M592" s="146"/>
      <c r="N592" s="146"/>
      <c r="O592" s="146"/>
      <c r="P592" s="146"/>
      <c r="Q592" s="30"/>
      <c r="R592" s="146"/>
      <c r="S592" s="147"/>
      <c r="T592" s="146"/>
      <c r="U592" s="146"/>
      <c r="V592" s="146"/>
      <c r="W592" s="146"/>
      <c r="X592" s="146"/>
      <c r="Y592" s="146"/>
      <c r="Z592" s="146"/>
      <c r="AA592" s="146"/>
      <c r="AB592" s="146"/>
      <c r="AC592" s="146"/>
      <c r="AD592" s="146"/>
      <c r="AE592" s="146"/>
      <c r="AF592" s="146"/>
      <c r="AG592" s="146"/>
      <c r="AH592" s="146"/>
      <c r="AI592" s="146"/>
    </row>
    <row r="593" spans="1:35" ht="13.5" customHeight="1" x14ac:dyDescent="0.25">
      <c r="A593" s="28"/>
      <c r="B593" s="28"/>
      <c r="C593" s="28"/>
      <c r="D593" s="28"/>
      <c r="E593" s="28"/>
      <c r="F593" s="28"/>
      <c r="G593" s="29"/>
      <c r="H593" s="28"/>
      <c r="I593" s="147"/>
      <c r="J593" s="147"/>
      <c r="K593" s="146"/>
      <c r="L593" s="146"/>
      <c r="M593" s="146"/>
      <c r="N593" s="146"/>
      <c r="O593" s="146"/>
      <c r="P593" s="146"/>
      <c r="Q593" s="30"/>
      <c r="R593" s="146"/>
      <c r="S593" s="147"/>
      <c r="T593" s="146"/>
      <c r="U593" s="146"/>
      <c r="V593" s="146"/>
      <c r="W593" s="146"/>
      <c r="X593" s="146"/>
      <c r="Y593" s="146"/>
      <c r="Z593" s="146"/>
      <c r="AA593" s="146"/>
      <c r="AB593" s="146"/>
      <c r="AC593" s="146"/>
      <c r="AD593" s="146"/>
      <c r="AE593" s="146"/>
      <c r="AF593" s="146"/>
      <c r="AG593" s="146"/>
      <c r="AH593" s="146"/>
      <c r="AI593" s="146"/>
    </row>
    <row r="594" spans="1:35" ht="13.5" customHeight="1" x14ac:dyDescent="0.25">
      <c r="A594" s="28"/>
      <c r="B594" s="28"/>
      <c r="C594" s="28"/>
      <c r="D594" s="28"/>
      <c r="E594" s="28"/>
      <c r="F594" s="28"/>
      <c r="G594" s="29"/>
      <c r="H594" s="28"/>
      <c r="I594" s="147"/>
      <c r="J594" s="147"/>
      <c r="K594" s="146"/>
      <c r="L594" s="146"/>
      <c r="M594" s="146"/>
      <c r="N594" s="146"/>
      <c r="O594" s="146"/>
      <c r="P594" s="146"/>
      <c r="Q594" s="30"/>
      <c r="R594" s="146"/>
      <c r="S594" s="147"/>
      <c r="T594" s="146"/>
      <c r="U594" s="146"/>
      <c r="V594" s="146"/>
      <c r="W594" s="146"/>
      <c r="X594" s="146"/>
      <c r="Y594" s="146"/>
      <c r="Z594" s="146"/>
      <c r="AA594" s="146"/>
      <c r="AB594" s="146"/>
      <c r="AC594" s="146"/>
      <c r="AD594" s="146"/>
      <c r="AE594" s="146"/>
      <c r="AF594" s="146"/>
      <c r="AG594" s="146"/>
      <c r="AH594" s="146"/>
      <c r="AI594" s="146"/>
    </row>
    <row r="595" spans="1:35" ht="13.5" customHeight="1" x14ac:dyDescent="0.25">
      <c r="A595" s="28"/>
      <c r="B595" s="28"/>
      <c r="C595" s="28"/>
      <c r="D595" s="28"/>
      <c r="E595" s="28"/>
      <c r="F595" s="28"/>
      <c r="G595" s="29"/>
      <c r="H595" s="28"/>
      <c r="I595" s="147"/>
      <c r="J595" s="147"/>
      <c r="K595" s="146"/>
      <c r="L595" s="146"/>
      <c r="M595" s="146"/>
      <c r="N595" s="146"/>
      <c r="O595" s="146"/>
      <c r="P595" s="146"/>
      <c r="Q595" s="30"/>
      <c r="R595" s="146"/>
      <c r="S595" s="147"/>
      <c r="T595" s="146"/>
      <c r="U595" s="146"/>
      <c r="V595" s="146"/>
      <c r="W595" s="146"/>
      <c r="X595" s="146"/>
      <c r="Y595" s="146"/>
      <c r="Z595" s="146"/>
      <c r="AA595" s="146"/>
      <c r="AB595" s="146"/>
      <c r="AC595" s="146"/>
      <c r="AD595" s="146"/>
      <c r="AE595" s="146"/>
      <c r="AF595" s="146"/>
      <c r="AG595" s="146"/>
      <c r="AH595" s="146"/>
      <c r="AI595" s="146"/>
    </row>
    <row r="596" spans="1:35" ht="13.5" customHeight="1" x14ac:dyDescent="0.25">
      <c r="A596" s="28"/>
      <c r="B596" s="28"/>
      <c r="C596" s="28"/>
      <c r="D596" s="28"/>
      <c r="E596" s="28"/>
      <c r="F596" s="28"/>
      <c r="G596" s="29"/>
      <c r="H596" s="28"/>
      <c r="I596" s="147"/>
      <c r="J596" s="147"/>
      <c r="K596" s="146"/>
      <c r="L596" s="146"/>
      <c r="M596" s="146"/>
      <c r="N596" s="146"/>
      <c r="O596" s="146"/>
      <c r="P596" s="146"/>
      <c r="Q596" s="30"/>
      <c r="R596" s="146"/>
      <c r="S596" s="147"/>
      <c r="T596" s="146"/>
      <c r="U596" s="146"/>
      <c r="V596" s="146"/>
      <c r="W596" s="146"/>
      <c r="X596" s="146"/>
      <c r="Y596" s="146"/>
      <c r="Z596" s="146"/>
      <c r="AA596" s="146"/>
      <c r="AB596" s="146"/>
      <c r="AC596" s="146"/>
      <c r="AD596" s="146"/>
      <c r="AE596" s="146"/>
      <c r="AF596" s="146"/>
      <c r="AG596" s="146"/>
      <c r="AH596" s="146"/>
      <c r="AI596" s="146"/>
    </row>
    <row r="597" spans="1:35" ht="13.5" customHeight="1" x14ac:dyDescent="0.25">
      <c r="A597" s="28"/>
      <c r="B597" s="28"/>
      <c r="C597" s="28"/>
      <c r="D597" s="28"/>
      <c r="E597" s="28"/>
      <c r="F597" s="28"/>
      <c r="G597" s="29"/>
      <c r="H597" s="28"/>
      <c r="I597" s="147"/>
      <c r="J597" s="147"/>
      <c r="K597" s="146"/>
      <c r="L597" s="146"/>
      <c r="M597" s="146"/>
      <c r="N597" s="146"/>
      <c r="O597" s="146"/>
      <c r="P597" s="146"/>
      <c r="Q597" s="30"/>
      <c r="R597" s="146"/>
      <c r="S597" s="147"/>
      <c r="T597" s="146"/>
      <c r="U597" s="146"/>
      <c r="V597" s="146"/>
      <c r="W597" s="146"/>
      <c r="X597" s="146"/>
      <c r="Y597" s="146"/>
      <c r="Z597" s="146"/>
      <c r="AA597" s="146"/>
      <c r="AB597" s="146"/>
      <c r="AC597" s="146"/>
      <c r="AD597" s="146"/>
      <c r="AE597" s="146"/>
      <c r="AF597" s="146"/>
      <c r="AG597" s="146"/>
      <c r="AH597" s="146"/>
      <c r="AI597" s="146"/>
    </row>
    <row r="598" spans="1:35" ht="13.5" customHeight="1" x14ac:dyDescent="0.25">
      <c r="A598" s="28"/>
      <c r="B598" s="28"/>
      <c r="C598" s="28"/>
      <c r="D598" s="28"/>
      <c r="E598" s="28"/>
      <c r="F598" s="28"/>
      <c r="G598" s="29"/>
      <c r="H598" s="28"/>
      <c r="I598" s="147"/>
      <c r="J598" s="147"/>
      <c r="K598" s="146"/>
      <c r="L598" s="146"/>
      <c r="M598" s="146"/>
      <c r="N598" s="146"/>
      <c r="O598" s="146"/>
      <c r="P598" s="146"/>
      <c r="Q598" s="30"/>
      <c r="R598" s="146"/>
      <c r="S598" s="147"/>
      <c r="T598" s="146"/>
      <c r="U598" s="146"/>
      <c r="V598" s="146"/>
      <c r="W598" s="146"/>
      <c r="X598" s="146"/>
      <c r="Y598" s="146"/>
      <c r="Z598" s="146"/>
      <c r="AA598" s="146"/>
      <c r="AB598" s="146"/>
      <c r="AC598" s="146"/>
      <c r="AD598" s="146"/>
      <c r="AE598" s="146"/>
      <c r="AF598" s="146"/>
      <c r="AG598" s="146"/>
      <c r="AH598" s="146"/>
      <c r="AI598" s="146"/>
    </row>
    <row r="599" spans="1:35" ht="13.5" customHeight="1" x14ac:dyDescent="0.25">
      <c r="A599" s="28"/>
      <c r="B599" s="28"/>
      <c r="C599" s="28"/>
      <c r="D599" s="28"/>
      <c r="E599" s="28"/>
      <c r="F599" s="28"/>
      <c r="G599" s="29"/>
      <c r="H599" s="28"/>
      <c r="I599" s="147"/>
      <c r="J599" s="147"/>
      <c r="K599" s="146"/>
      <c r="L599" s="146"/>
      <c r="M599" s="146"/>
      <c r="N599" s="146"/>
      <c r="O599" s="146"/>
      <c r="P599" s="146"/>
      <c r="Q599" s="30"/>
      <c r="R599" s="146"/>
      <c r="S599" s="147"/>
      <c r="T599" s="146"/>
      <c r="U599" s="146"/>
      <c r="V599" s="146"/>
      <c r="W599" s="146"/>
      <c r="X599" s="146"/>
      <c r="Y599" s="146"/>
      <c r="Z599" s="146"/>
      <c r="AA599" s="146"/>
      <c r="AB599" s="146"/>
      <c r="AC599" s="146"/>
      <c r="AD599" s="146"/>
      <c r="AE599" s="146"/>
      <c r="AF599" s="146"/>
      <c r="AG599" s="146"/>
      <c r="AH599" s="146"/>
      <c r="AI599" s="146"/>
    </row>
    <row r="600" spans="1:35" ht="13.5" customHeight="1" x14ac:dyDescent="0.25">
      <c r="A600" s="28"/>
      <c r="B600" s="28"/>
      <c r="C600" s="28"/>
      <c r="D600" s="28"/>
      <c r="E600" s="28"/>
      <c r="F600" s="28"/>
      <c r="G600" s="29"/>
      <c r="H600" s="28"/>
      <c r="I600" s="147"/>
      <c r="J600" s="147"/>
      <c r="K600" s="146"/>
      <c r="L600" s="146"/>
      <c r="M600" s="146"/>
      <c r="N600" s="146"/>
      <c r="O600" s="146"/>
      <c r="P600" s="146"/>
      <c r="Q600" s="30"/>
      <c r="R600" s="146"/>
      <c r="S600" s="147"/>
      <c r="T600" s="146"/>
      <c r="U600" s="146"/>
      <c r="V600" s="146"/>
      <c r="W600" s="146"/>
      <c r="X600" s="146"/>
      <c r="Y600" s="146"/>
      <c r="Z600" s="146"/>
      <c r="AA600" s="146"/>
      <c r="AB600" s="146"/>
      <c r="AC600" s="146"/>
      <c r="AD600" s="146"/>
      <c r="AE600" s="146"/>
      <c r="AF600" s="146"/>
      <c r="AG600" s="146"/>
      <c r="AH600" s="146"/>
      <c r="AI600" s="146"/>
    </row>
    <row r="601" spans="1:35" ht="13.5" customHeight="1" x14ac:dyDescent="0.25">
      <c r="A601" s="28"/>
      <c r="B601" s="28"/>
      <c r="C601" s="28"/>
      <c r="D601" s="28"/>
      <c r="E601" s="28"/>
      <c r="F601" s="28"/>
      <c r="G601" s="29"/>
      <c r="H601" s="28"/>
      <c r="I601" s="147"/>
      <c r="J601" s="147"/>
      <c r="K601" s="146"/>
      <c r="L601" s="146"/>
      <c r="M601" s="146"/>
      <c r="N601" s="146"/>
      <c r="O601" s="146"/>
      <c r="P601" s="146"/>
      <c r="Q601" s="30"/>
      <c r="R601" s="146"/>
      <c r="S601" s="147"/>
      <c r="T601" s="146"/>
      <c r="U601" s="146"/>
      <c r="V601" s="146"/>
      <c r="W601" s="146"/>
      <c r="X601" s="146"/>
      <c r="Y601" s="146"/>
      <c r="Z601" s="146"/>
      <c r="AA601" s="146"/>
      <c r="AB601" s="146"/>
      <c r="AC601" s="146"/>
      <c r="AD601" s="146"/>
      <c r="AE601" s="146"/>
      <c r="AF601" s="146"/>
      <c r="AG601" s="146"/>
      <c r="AH601" s="146"/>
      <c r="AI601" s="146"/>
    </row>
    <row r="602" spans="1:35" ht="13.5" customHeight="1" x14ac:dyDescent="0.25">
      <c r="A602" s="28"/>
      <c r="B602" s="28"/>
      <c r="C602" s="28"/>
      <c r="D602" s="28"/>
      <c r="E602" s="28"/>
      <c r="F602" s="28"/>
      <c r="G602" s="29"/>
      <c r="H602" s="28"/>
      <c r="I602" s="147"/>
      <c r="J602" s="147"/>
      <c r="K602" s="146"/>
      <c r="L602" s="146"/>
      <c r="M602" s="146"/>
      <c r="N602" s="146"/>
      <c r="O602" s="146"/>
      <c r="P602" s="146"/>
      <c r="Q602" s="30"/>
      <c r="R602" s="146"/>
      <c r="S602" s="147"/>
      <c r="T602" s="146"/>
      <c r="U602" s="146"/>
      <c r="V602" s="146"/>
      <c r="W602" s="146"/>
      <c r="X602" s="146"/>
      <c r="Y602" s="146"/>
      <c r="Z602" s="146"/>
      <c r="AA602" s="146"/>
      <c r="AB602" s="146"/>
      <c r="AC602" s="146"/>
      <c r="AD602" s="146"/>
      <c r="AE602" s="146"/>
      <c r="AF602" s="146"/>
      <c r="AG602" s="146"/>
      <c r="AH602" s="146"/>
      <c r="AI602" s="146"/>
    </row>
    <row r="603" spans="1:35" ht="13.5" customHeight="1" x14ac:dyDescent="0.25">
      <c r="A603" s="28"/>
      <c r="B603" s="28"/>
      <c r="C603" s="28"/>
      <c r="D603" s="28"/>
      <c r="E603" s="28"/>
      <c r="F603" s="28"/>
      <c r="G603" s="29"/>
      <c r="H603" s="28"/>
      <c r="I603" s="147"/>
      <c r="J603" s="147"/>
      <c r="K603" s="146"/>
      <c r="L603" s="146"/>
      <c r="M603" s="146"/>
      <c r="N603" s="146"/>
      <c r="O603" s="146"/>
      <c r="P603" s="146"/>
      <c r="Q603" s="30"/>
      <c r="R603" s="146"/>
      <c r="S603" s="147"/>
      <c r="T603" s="146"/>
      <c r="U603" s="146"/>
      <c r="V603" s="146"/>
      <c r="W603" s="146"/>
      <c r="X603" s="146"/>
      <c r="Y603" s="146"/>
      <c r="Z603" s="146"/>
      <c r="AA603" s="146"/>
      <c r="AB603" s="146"/>
      <c r="AC603" s="146"/>
      <c r="AD603" s="146"/>
      <c r="AE603" s="146"/>
      <c r="AF603" s="146"/>
      <c r="AG603" s="146"/>
      <c r="AH603" s="146"/>
      <c r="AI603" s="146"/>
    </row>
    <row r="604" spans="1:35" ht="13.5" customHeight="1" x14ac:dyDescent="0.25">
      <c r="A604" s="28"/>
      <c r="B604" s="28"/>
      <c r="C604" s="28"/>
      <c r="D604" s="28"/>
      <c r="E604" s="28"/>
      <c r="F604" s="28"/>
      <c r="G604" s="29"/>
      <c r="H604" s="28"/>
      <c r="I604" s="147"/>
      <c r="J604" s="147"/>
      <c r="K604" s="146"/>
      <c r="L604" s="146"/>
      <c r="M604" s="146"/>
      <c r="N604" s="146"/>
      <c r="O604" s="146"/>
      <c r="P604" s="146"/>
      <c r="Q604" s="30"/>
      <c r="R604" s="146"/>
      <c r="S604" s="147"/>
      <c r="T604" s="146"/>
      <c r="U604" s="146"/>
      <c r="V604" s="146"/>
      <c r="W604" s="146"/>
      <c r="X604" s="146"/>
      <c r="Y604" s="146"/>
      <c r="Z604" s="146"/>
      <c r="AA604" s="146"/>
      <c r="AB604" s="146"/>
      <c r="AC604" s="146"/>
      <c r="AD604" s="146"/>
      <c r="AE604" s="146"/>
      <c r="AF604" s="146"/>
      <c r="AG604" s="146"/>
      <c r="AH604" s="146"/>
      <c r="AI604" s="146"/>
    </row>
    <row r="605" spans="1:35" ht="13.5" customHeight="1" x14ac:dyDescent="0.25">
      <c r="A605" s="28"/>
      <c r="B605" s="28"/>
      <c r="C605" s="28"/>
      <c r="D605" s="28"/>
      <c r="E605" s="28"/>
      <c r="F605" s="28"/>
      <c r="G605" s="29"/>
      <c r="H605" s="28"/>
      <c r="I605" s="147"/>
      <c r="J605" s="147"/>
      <c r="K605" s="146"/>
      <c r="L605" s="146"/>
      <c r="M605" s="146"/>
      <c r="N605" s="146"/>
      <c r="O605" s="146"/>
      <c r="P605" s="146"/>
      <c r="Q605" s="30"/>
      <c r="R605" s="146"/>
      <c r="S605" s="147"/>
      <c r="T605" s="146"/>
      <c r="U605" s="146"/>
      <c r="V605" s="146"/>
      <c r="W605" s="146"/>
      <c r="X605" s="146"/>
      <c r="Y605" s="146"/>
      <c r="Z605" s="146"/>
      <c r="AA605" s="146"/>
      <c r="AB605" s="146"/>
      <c r="AC605" s="146"/>
      <c r="AD605" s="146"/>
      <c r="AE605" s="146"/>
      <c r="AF605" s="146"/>
      <c r="AG605" s="146"/>
      <c r="AH605" s="146"/>
      <c r="AI605" s="146"/>
    </row>
    <row r="606" spans="1:35" ht="13.5" customHeight="1" x14ac:dyDescent="0.25">
      <c r="A606" s="28"/>
      <c r="B606" s="28"/>
      <c r="C606" s="28"/>
      <c r="D606" s="28"/>
      <c r="E606" s="28"/>
      <c r="F606" s="28"/>
      <c r="G606" s="29"/>
      <c r="H606" s="28"/>
      <c r="I606" s="147"/>
      <c r="J606" s="147"/>
      <c r="K606" s="146"/>
      <c r="L606" s="146"/>
      <c r="M606" s="146"/>
      <c r="N606" s="146"/>
      <c r="O606" s="146"/>
      <c r="P606" s="146"/>
      <c r="Q606" s="30"/>
      <c r="R606" s="146"/>
      <c r="S606" s="147"/>
      <c r="T606" s="146"/>
      <c r="U606" s="146"/>
      <c r="V606" s="146"/>
      <c r="W606" s="146"/>
      <c r="X606" s="146"/>
      <c r="Y606" s="146"/>
      <c r="Z606" s="146"/>
      <c r="AA606" s="146"/>
      <c r="AB606" s="146"/>
      <c r="AC606" s="146"/>
      <c r="AD606" s="146"/>
      <c r="AE606" s="146"/>
      <c r="AF606" s="146"/>
      <c r="AG606" s="146"/>
      <c r="AH606" s="146"/>
      <c r="AI606" s="146"/>
    </row>
    <row r="607" spans="1:35" ht="13.5" customHeight="1" x14ac:dyDescent="0.25">
      <c r="A607" s="28"/>
      <c r="B607" s="28"/>
      <c r="C607" s="28"/>
      <c r="D607" s="28"/>
      <c r="E607" s="28"/>
      <c r="F607" s="28"/>
      <c r="G607" s="29"/>
      <c r="H607" s="28"/>
      <c r="I607" s="147"/>
      <c r="J607" s="147"/>
      <c r="K607" s="146"/>
      <c r="L607" s="146"/>
      <c r="M607" s="146"/>
      <c r="N607" s="146"/>
      <c r="O607" s="146"/>
      <c r="P607" s="146"/>
      <c r="Q607" s="30"/>
      <c r="R607" s="146"/>
      <c r="S607" s="147"/>
      <c r="T607" s="146"/>
      <c r="U607" s="146"/>
      <c r="V607" s="146"/>
      <c r="W607" s="146"/>
      <c r="X607" s="146"/>
      <c r="Y607" s="146"/>
      <c r="Z607" s="146"/>
      <c r="AA607" s="146"/>
      <c r="AB607" s="146"/>
      <c r="AC607" s="146"/>
      <c r="AD607" s="146"/>
      <c r="AE607" s="146"/>
      <c r="AF607" s="146"/>
      <c r="AG607" s="146"/>
      <c r="AH607" s="146"/>
      <c r="AI607" s="146"/>
    </row>
    <row r="608" spans="1:35" ht="13.5" customHeight="1" x14ac:dyDescent="0.25">
      <c r="A608" s="28"/>
      <c r="B608" s="28"/>
      <c r="C608" s="28"/>
      <c r="D608" s="28"/>
      <c r="E608" s="28"/>
      <c r="F608" s="28"/>
      <c r="G608" s="29"/>
      <c r="H608" s="28"/>
      <c r="I608" s="147"/>
      <c r="J608" s="147"/>
      <c r="K608" s="146"/>
      <c r="L608" s="146"/>
      <c r="M608" s="146"/>
      <c r="N608" s="146"/>
      <c r="O608" s="146"/>
      <c r="P608" s="146"/>
      <c r="Q608" s="30"/>
      <c r="R608" s="146"/>
      <c r="S608" s="147"/>
      <c r="T608" s="146"/>
      <c r="U608" s="146"/>
      <c r="V608" s="146"/>
      <c r="W608" s="146"/>
      <c r="X608" s="146"/>
      <c r="Y608" s="146"/>
      <c r="Z608" s="146"/>
      <c r="AA608" s="146"/>
      <c r="AB608" s="146"/>
      <c r="AC608" s="146"/>
      <c r="AD608" s="146"/>
      <c r="AE608" s="146"/>
      <c r="AF608" s="146"/>
      <c r="AG608" s="146"/>
      <c r="AH608" s="146"/>
      <c r="AI608" s="146"/>
    </row>
    <row r="609" spans="1:35" ht="13.5" customHeight="1" x14ac:dyDescent="0.25">
      <c r="A609" s="28"/>
      <c r="B609" s="28"/>
      <c r="C609" s="28"/>
      <c r="D609" s="28"/>
      <c r="E609" s="28"/>
      <c r="F609" s="28"/>
      <c r="G609" s="29"/>
      <c r="H609" s="28"/>
      <c r="I609" s="147"/>
      <c r="J609" s="147"/>
      <c r="K609" s="146"/>
      <c r="L609" s="146"/>
      <c r="M609" s="146"/>
      <c r="N609" s="146"/>
      <c r="O609" s="146"/>
      <c r="P609" s="146"/>
      <c r="Q609" s="30"/>
      <c r="R609" s="146"/>
      <c r="S609" s="147"/>
      <c r="T609" s="146"/>
      <c r="U609" s="146"/>
      <c r="V609" s="146"/>
      <c r="W609" s="146"/>
      <c r="X609" s="146"/>
      <c r="Y609" s="146"/>
      <c r="Z609" s="146"/>
      <c r="AA609" s="146"/>
      <c r="AB609" s="146"/>
      <c r="AC609" s="146"/>
      <c r="AD609" s="146"/>
      <c r="AE609" s="146"/>
      <c r="AF609" s="146"/>
      <c r="AG609" s="146"/>
      <c r="AH609" s="146"/>
      <c r="AI609" s="146"/>
    </row>
    <row r="610" spans="1:35" ht="13.5" customHeight="1" x14ac:dyDescent="0.25">
      <c r="A610" s="28"/>
      <c r="B610" s="28"/>
      <c r="C610" s="28"/>
      <c r="D610" s="28"/>
      <c r="E610" s="28"/>
      <c r="F610" s="28"/>
      <c r="G610" s="29"/>
      <c r="H610" s="28"/>
      <c r="I610" s="147"/>
      <c r="J610" s="147"/>
      <c r="K610" s="146"/>
      <c r="L610" s="146"/>
      <c r="M610" s="146"/>
      <c r="N610" s="146"/>
      <c r="O610" s="146"/>
      <c r="P610" s="146"/>
      <c r="Q610" s="30"/>
      <c r="R610" s="146"/>
      <c r="S610" s="147"/>
      <c r="T610" s="146"/>
      <c r="U610" s="146"/>
      <c r="V610" s="146"/>
      <c r="W610" s="146"/>
      <c r="X610" s="146"/>
      <c r="Y610" s="146"/>
      <c r="Z610" s="146"/>
      <c r="AA610" s="146"/>
      <c r="AB610" s="146"/>
      <c r="AC610" s="146"/>
      <c r="AD610" s="146"/>
      <c r="AE610" s="146"/>
      <c r="AF610" s="146"/>
      <c r="AG610" s="146"/>
      <c r="AH610" s="146"/>
      <c r="AI610" s="146"/>
    </row>
    <row r="611" spans="1:35" ht="13.5" customHeight="1" x14ac:dyDescent="0.25">
      <c r="A611" s="28"/>
      <c r="B611" s="28"/>
      <c r="C611" s="28"/>
      <c r="D611" s="28"/>
      <c r="E611" s="28"/>
      <c r="F611" s="28"/>
      <c r="G611" s="29"/>
      <c r="H611" s="28"/>
      <c r="I611" s="147"/>
      <c r="J611" s="147"/>
      <c r="K611" s="146"/>
      <c r="L611" s="146"/>
      <c r="M611" s="146"/>
      <c r="N611" s="146"/>
      <c r="O611" s="146"/>
      <c r="P611" s="146"/>
      <c r="Q611" s="30"/>
      <c r="R611" s="146"/>
      <c r="S611" s="147"/>
      <c r="T611" s="146"/>
      <c r="U611" s="146"/>
      <c r="V611" s="146"/>
      <c r="W611" s="146"/>
      <c r="X611" s="146"/>
      <c r="Y611" s="146"/>
      <c r="Z611" s="146"/>
      <c r="AA611" s="146"/>
      <c r="AB611" s="146"/>
      <c r="AC611" s="146"/>
      <c r="AD611" s="146"/>
      <c r="AE611" s="146"/>
      <c r="AF611" s="146"/>
      <c r="AG611" s="146"/>
      <c r="AH611" s="146"/>
      <c r="AI611" s="146"/>
    </row>
    <row r="612" spans="1:35" ht="13.5" customHeight="1" x14ac:dyDescent="0.25">
      <c r="A612" s="28"/>
      <c r="B612" s="28"/>
      <c r="C612" s="28"/>
      <c r="D612" s="28"/>
      <c r="E612" s="28"/>
      <c r="F612" s="28"/>
      <c r="G612" s="29"/>
      <c r="H612" s="28"/>
      <c r="I612" s="147"/>
      <c r="J612" s="147"/>
      <c r="K612" s="146"/>
      <c r="L612" s="146"/>
      <c r="M612" s="146"/>
      <c r="N612" s="146"/>
      <c r="O612" s="146"/>
      <c r="P612" s="146"/>
      <c r="Q612" s="30"/>
      <c r="R612" s="146"/>
      <c r="S612" s="147"/>
      <c r="T612" s="146"/>
      <c r="U612" s="146"/>
      <c r="V612" s="146"/>
      <c r="W612" s="146"/>
      <c r="X612" s="146"/>
      <c r="Y612" s="146"/>
      <c r="Z612" s="146"/>
      <c r="AA612" s="146"/>
      <c r="AB612" s="146"/>
      <c r="AC612" s="146"/>
      <c r="AD612" s="146"/>
      <c r="AE612" s="146"/>
      <c r="AF612" s="146"/>
      <c r="AG612" s="146"/>
      <c r="AH612" s="146"/>
      <c r="AI612" s="146"/>
    </row>
    <row r="613" spans="1:35" ht="13.5" customHeight="1" x14ac:dyDescent="0.25">
      <c r="A613" s="28"/>
      <c r="B613" s="28"/>
      <c r="C613" s="28"/>
      <c r="D613" s="28"/>
      <c r="E613" s="28"/>
      <c r="F613" s="28"/>
      <c r="G613" s="29"/>
      <c r="H613" s="28"/>
      <c r="I613" s="147"/>
      <c r="J613" s="147"/>
      <c r="K613" s="146"/>
      <c r="L613" s="146"/>
      <c r="M613" s="146"/>
      <c r="N613" s="146"/>
      <c r="O613" s="146"/>
      <c r="P613" s="146"/>
      <c r="Q613" s="30"/>
      <c r="R613" s="146"/>
      <c r="S613" s="147"/>
      <c r="T613" s="146"/>
      <c r="U613" s="146"/>
      <c r="V613" s="146"/>
      <c r="W613" s="146"/>
      <c r="X613" s="146"/>
      <c r="Y613" s="146"/>
      <c r="Z613" s="146"/>
      <c r="AA613" s="146"/>
      <c r="AB613" s="146"/>
      <c r="AC613" s="146"/>
      <c r="AD613" s="146"/>
      <c r="AE613" s="146"/>
      <c r="AF613" s="146"/>
      <c r="AG613" s="146"/>
      <c r="AH613" s="146"/>
      <c r="AI613" s="146"/>
    </row>
    <row r="614" spans="1:35" ht="13.5" customHeight="1" x14ac:dyDescent="0.25">
      <c r="A614" s="28"/>
      <c r="B614" s="28"/>
      <c r="C614" s="28"/>
      <c r="D614" s="28"/>
      <c r="E614" s="28"/>
      <c r="F614" s="28"/>
      <c r="G614" s="29"/>
      <c r="H614" s="28"/>
      <c r="I614" s="147"/>
      <c r="J614" s="147"/>
      <c r="K614" s="146"/>
      <c r="L614" s="146"/>
      <c r="M614" s="146"/>
      <c r="N614" s="146"/>
      <c r="O614" s="146"/>
      <c r="P614" s="146"/>
      <c r="Q614" s="30"/>
      <c r="R614" s="146"/>
      <c r="S614" s="147"/>
      <c r="T614" s="146"/>
      <c r="U614" s="146"/>
      <c r="V614" s="146"/>
      <c r="W614" s="146"/>
      <c r="X614" s="146"/>
      <c r="Y614" s="146"/>
      <c r="Z614" s="146"/>
      <c r="AA614" s="146"/>
      <c r="AB614" s="146"/>
      <c r="AC614" s="146"/>
      <c r="AD614" s="146"/>
      <c r="AE614" s="146"/>
      <c r="AF614" s="146"/>
      <c r="AG614" s="146"/>
      <c r="AH614" s="146"/>
      <c r="AI614" s="146"/>
    </row>
    <row r="615" spans="1:35" ht="13.5" customHeight="1" x14ac:dyDescent="0.25">
      <c r="A615" s="28"/>
      <c r="B615" s="28"/>
      <c r="C615" s="28"/>
      <c r="D615" s="28"/>
      <c r="E615" s="28"/>
      <c r="F615" s="28"/>
      <c r="G615" s="29"/>
      <c r="H615" s="28"/>
      <c r="I615" s="147"/>
      <c r="J615" s="147"/>
      <c r="K615" s="146"/>
      <c r="L615" s="146"/>
      <c r="M615" s="146"/>
      <c r="N615" s="146"/>
      <c r="O615" s="146"/>
      <c r="P615" s="146"/>
      <c r="Q615" s="30"/>
      <c r="R615" s="146"/>
      <c r="S615" s="147"/>
      <c r="T615" s="146"/>
      <c r="U615" s="146"/>
      <c r="V615" s="146"/>
      <c r="W615" s="146"/>
      <c r="X615" s="146"/>
      <c r="Y615" s="146"/>
      <c r="Z615" s="146"/>
      <c r="AA615" s="146"/>
      <c r="AB615" s="146"/>
      <c r="AC615" s="146"/>
      <c r="AD615" s="146"/>
      <c r="AE615" s="146"/>
      <c r="AF615" s="146"/>
      <c r="AG615" s="146"/>
      <c r="AH615" s="146"/>
      <c r="AI615" s="146"/>
    </row>
    <row r="616" spans="1:35" ht="13.5" customHeight="1" x14ac:dyDescent="0.25">
      <c r="A616" s="28"/>
      <c r="B616" s="28"/>
      <c r="C616" s="28"/>
      <c r="D616" s="28"/>
      <c r="E616" s="28"/>
      <c r="F616" s="28"/>
      <c r="G616" s="29"/>
      <c r="H616" s="28"/>
      <c r="I616" s="147"/>
      <c r="J616" s="147"/>
      <c r="K616" s="146"/>
      <c r="L616" s="146"/>
      <c r="M616" s="146"/>
      <c r="N616" s="146"/>
      <c r="O616" s="146"/>
      <c r="P616" s="146"/>
      <c r="Q616" s="30"/>
      <c r="R616" s="146"/>
      <c r="S616" s="147"/>
      <c r="T616" s="146"/>
      <c r="U616" s="146"/>
      <c r="V616" s="146"/>
      <c r="W616" s="146"/>
      <c r="X616" s="146"/>
      <c r="Y616" s="146"/>
      <c r="Z616" s="146"/>
      <c r="AA616" s="146"/>
      <c r="AB616" s="146"/>
      <c r="AC616" s="146"/>
      <c r="AD616" s="146"/>
      <c r="AE616" s="146"/>
      <c r="AF616" s="146"/>
      <c r="AG616" s="146"/>
      <c r="AH616" s="146"/>
      <c r="AI616" s="146"/>
    </row>
    <row r="617" spans="1:35" ht="13.5" customHeight="1" x14ac:dyDescent="0.25">
      <c r="A617" s="28"/>
      <c r="B617" s="28"/>
      <c r="C617" s="28"/>
      <c r="D617" s="28"/>
      <c r="E617" s="28"/>
      <c r="F617" s="28"/>
      <c r="G617" s="29"/>
      <c r="H617" s="28"/>
      <c r="I617" s="147"/>
      <c r="J617" s="147"/>
      <c r="K617" s="146"/>
      <c r="L617" s="146"/>
      <c r="M617" s="146"/>
      <c r="N617" s="146"/>
      <c r="O617" s="146"/>
      <c r="P617" s="146"/>
      <c r="Q617" s="30"/>
      <c r="R617" s="146"/>
      <c r="S617" s="147"/>
      <c r="T617" s="146"/>
      <c r="U617" s="146"/>
      <c r="V617" s="146"/>
      <c r="W617" s="146"/>
      <c r="X617" s="146"/>
      <c r="Y617" s="146"/>
      <c r="Z617" s="146"/>
      <c r="AA617" s="146"/>
      <c r="AB617" s="146"/>
      <c r="AC617" s="146"/>
      <c r="AD617" s="146"/>
      <c r="AE617" s="146"/>
      <c r="AF617" s="146"/>
      <c r="AG617" s="146"/>
      <c r="AH617" s="146"/>
      <c r="AI617" s="146"/>
    </row>
    <row r="618" spans="1:35" ht="13.5" customHeight="1" x14ac:dyDescent="0.25">
      <c r="A618" s="28"/>
      <c r="B618" s="28"/>
      <c r="C618" s="28"/>
      <c r="D618" s="28"/>
      <c r="E618" s="28"/>
      <c r="F618" s="28"/>
      <c r="G618" s="29"/>
      <c r="H618" s="28"/>
      <c r="I618" s="147"/>
      <c r="J618" s="147"/>
      <c r="K618" s="146"/>
      <c r="L618" s="146"/>
      <c r="M618" s="146"/>
      <c r="N618" s="146"/>
      <c r="O618" s="146"/>
      <c r="P618" s="146"/>
      <c r="Q618" s="30"/>
      <c r="R618" s="146"/>
      <c r="S618" s="147"/>
      <c r="T618" s="146"/>
      <c r="U618" s="146"/>
      <c r="V618" s="146"/>
      <c r="W618" s="146"/>
      <c r="X618" s="146"/>
      <c r="Y618" s="146"/>
      <c r="Z618" s="146"/>
      <c r="AA618" s="146"/>
      <c r="AB618" s="146"/>
      <c r="AC618" s="146"/>
      <c r="AD618" s="146"/>
      <c r="AE618" s="146"/>
      <c r="AF618" s="146"/>
      <c r="AG618" s="146"/>
      <c r="AH618" s="146"/>
      <c r="AI618" s="146"/>
    </row>
    <row r="619" spans="1:35" ht="13.5" customHeight="1" x14ac:dyDescent="0.25">
      <c r="A619" s="28"/>
      <c r="B619" s="28"/>
      <c r="C619" s="28"/>
      <c r="D619" s="28"/>
      <c r="E619" s="28"/>
      <c r="F619" s="28"/>
      <c r="G619" s="29"/>
      <c r="H619" s="28"/>
      <c r="I619" s="147"/>
      <c r="J619" s="147"/>
      <c r="K619" s="146"/>
      <c r="L619" s="146"/>
      <c r="M619" s="146"/>
      <c r="N619" s="146"/>
      <c r="O619" s="146"/>
      <c r="P619" s="146"/>
      <c r="Q619" s="30"/>
      <c r="R619" s="146"/>
      <c r="S619" s="147"/>
      <c r="T619" s="146"/>
      <c r="U619" s="146"/>
      <c r="V619" s="146"/>
      <c r="W619" s="146"/>
      <c r="X619" s="146"/>
      <c r="Y619" s="146"/>
      <c r="Z619" s="146"/>
      <c r="AA619" s="146"/>
      <c r="AB619" s="146"/>
      <c r="AC619" s="146"/>
      <c r="AD619" s="146"/>
      <c r="AE619" s="146"/>
      <c r="AF619" s="146"/>
      <c r="AG619" s="146"/>
      <c r="AH619" s="146"/>
      <c r="AI619" s="146"/>
    </row>
    <row r="620" spans="1:35" ht="13.5" customHeight="1" x14ac:dyDescent="0.25">
      <c r="A620" s="28"/>
      <c r="B620" s="28"/>
      <c r="C620" s="28"/>
      <c r="D620" s="28"/>
      <c r="E620" s="28"/>
      <c r="F620" s="28"/>
      <c r="G620" s="29"/>
      <c r="H620" s="28"/>
      <c r="I620" s="147"/>
      <c r="J620" s="147"/>
      <c r="K620" s="146"/>
      <c r="L620" s="146"/>
      <c r="M620" s="146"/>
      <c r="N620" s="146"/>
      <c r="O620" s="146"/>
      <c r="P620" s="146"/>
      <c r="Q620" s="30"/>
      <c r="R620" s="146"/>
      <c r="S620" s="147"/>
      <c r="T620" s="146"/>
      <c r="U620" s="146"/>
      <c r="V620" s="146"/>
      <c r="W620" s="146"/>
      <c r="X620" s="146"/>
      <c r="Y620" s="146"/>
      <c r="Z620" s="146"/>
      <c r="AA620" s="146"/>
      <c r="AB620" s="146"/>
      <c r="AC620" s="146"/>
      <c r="AD620" s="146"/>
      <c r="AE620" s="146"/>
      <c r="AF620" s="146"/>
      <c r="AG620" s="146"/>
      <c r="AH620" s="146"/>
      <c r="AI620" s="146"/>
    </row>
    <row r="621" spans="1:35" ht="13.5" customHeight="1" x14ac:dyDescent="0.25">
      <c r="A621" s="28"/>
      <c r="B621" s="28"/>
      <c r="C621" s="28"/>
      <c r="D621" s="28"/>
      <c r="E621" s="28"/>
      <c r="F621" s="28"/>
      <c r="G621" s="29"/>
      <c r="H621" s="28"/>
      <c r="I621" s="147"/>
      <c r="J621" s="147"/>
      <c r="K621" s="146"/>
      <c r="L621" s="146"/>
      <c r="M621" s="146"/>
      <c r="N621" s="146"/>
      <c r="O621" s="146"/>
      <c r="P621" s="146"/>
      <c r="Q621" s="30"/>
      <c r="R621" s="146"/>
      <c r="S621" s="147"/>
      <c r="T621" s="146"/>
      <c r="U621" s="146"/>
      <c r="V621" s="146"/>
      <c r="W621" s="146"/>
      <c r="X621" s="146"/>
      <c r="Y621" s="146"/>
      <c r="Z621" s="146"/>
      <c r="AA621" s="146"/>
      <c r="AB621" s="146"/>
      <c r="AC621" s="146"/>
      <c r="AD621" s="146"/>
      <c r="AE621" s="146"/>
      <c r="AF621" s="146"/>
      <c r="AG621" s="146"/>
      <c r="AH621" s="146"/>
      <c r="AI621" s="146"/>
    </row>
    <row r="622" spans="1:35" ht="13.5" customHeight="1" x14ac:dyDescent="0.25">
      <c r="A622" s="28"/>
      <c r="B622" s="28"/>
      <c r="C622" s="28"/>
      <c r="D622" s="28"/>
      <c r="E622" s="28"/>
      <c r="F622" s="28"/>
      <c r="G622" s="29"/>
      <c r="H622" s="28"/>
      <c r="I622" s="147"/>
      <c r="J622" s="147"/>
      <c r="K622" s="146"/>
      <c r="L622" s="146"/>
      <c r="M622" s="146"/>
      <c r="N622" s="146"/>
      <c r="O622" s="146"/>
      <c r="P622" s="146"/>
      <c r="Q622" s="30"/>
      <c r="R622" s="146"/>
      <c r="S622" s="147"/>
      <c r="T622" s="146"/>
      <c r="U622" s="146"/>
      <c r="V622" s="146"/>
      <c r="W622" s="146"/>
      <c r="X622" s="146"/>
      <c r="Y622" s="146"/>
      <c r="Z622" s="146"/>
      <c r="AA622" s="146"/>
      <c r="AB622" s="146"/>
      <c r="AC622" s="146"/>
      <c r="AD622" s="146"/>
      <c r="AE622" s="146"/>
      <c r="AF622" s="146"/>
      <c r="AG622" s="146"/>
      <c r="AH622" s="146"/>
      <c r="AI622" s="146"/>
    </row>
    <row r="623" spans="1:35" ht="13.5" customHeight="1" x14ac:dyDescent="0.25">
      <c r="A623" s="28"/>
      <c r="B623" s="28"/>
      <c r="C623" s="28"/>
      <c r="D623" s="28"/>
      <c r="E623" s="28"/>
      <c r="F623" s="28"/>
      <c r="G623" s="29"/>
      <c r="H623" s="28"/>
      <c r="I623" s="147"/>
      <c r="J623" s="147"/>
      <c r="K623" s="146"/>
      <c r="L623" s="146"/>
      <c r="M623" s="146"/>
      <c r="N623" s="146"/>
      <c r="O623" s="146"/>
      <c r="P623" s="146"/>
      <c r="Q623" s="30"/>
      <c r="R623" s="146"/>
      <c r="S623" s="147"/>
      <c r="T623" s="146"/>
      <c r="U623" s="146"/>
      <c r="V623" s="146"/>
      <c r="W623" s="146"/>
      <c r="X623" s="146"/>
      <c r="Y623" s="146"/>
      <c r="Z623" s="146"/>
      <c r="AA623" s="146"/>
      <c r="AB623" s="146"/>
      <c r="AC623" s="146"/>
      <c r="AD623" s="146"/>
      <c r="AE623" s="146"/>
      <c r="AF623" s="146"/>
      <c r="AG623" s="146"/>
      <c r="AH623" s="146"/>
      <c r="AI623" s="146"/>
    </row>
    <row r="624" spans="1:35" ht="13.5" customHeight="1" x14ac:dyDescent="0.25">
      <c r="A624" s="28"/>
      <c r="B624" s="28"/>
      <c r="C624" s="28"/>
      <c r="D624" s="28"/>
      <c r="E624" s="28"/>
      <c r="F624" s="28"/>
      <c r="G624" s="29"/>
      <c r="H624" s="28"/>
      <c r="I624" s="147"/>
      <c r="J624" s="147"/>
      <c r="K624" s="146"/>
      <c r="L624" s="146"/>
      <c r="M624" s="146"/>
      <c r="N624" s="146"/>
      <c r="O624" s="146"/>
      <c r="P624" s="146"/>
      <c r="Q624" s="30"/>
      <c r="R624" s="146"/>
      <c r="S624" s="147"/>
      <c r="T624" s="146"/>
      <c r="U624" s="146"/>
      <c r="V624" s="146"/>
      <c r="W624" s="146"/>
      <c r="X624" s="146"/>
      <c r="Y624" s="146"/>
      <c r="Z624" s="146"/>
      <c r="AA624" s="146"/>
      <c r="AB624" s="146"/>
      <c r="AC624" s="146"/>
      <c r="AD624" s="146"/>
      <c r="AE624" s="146"/>
      <c r="AF624" s="146"/>
      <c r="AG624" s="146"/>
      <c r="AH624" s="146"/>
      <c r="AI624" s="146"/>
    </row>
    <row r="625" spans="1:35" ht="13.5" customHeight="1" x14ac:dyDescent="0.25">
      <c r="A625" s="28"/>
      <c r="B625" s="28"/>
      <c r="C625" s="28"/>
      <c r="D625" s="28"/>
      <c r="E625" s="28"/>
      <c r="F625" s="28"/>
      <c r="G625" s="29"/>
      <c r="H625" s="28"/>
      <c r="I625" s="147"/>
      <c r="J625" s="147"/>
      <c r="K625" s="146"/>
      <c r="L625" s="146"/>
      <c r="M625" s="146"/>
      <c r="N625" s="146"/>
      <c r="O625" s="146"/>
      <c r="P625" s="146"/>
      <c r="Q625" s="30"/>
      <c r="R625" s="146"/>
      <c r="S625" s="147"/>
      <c r="T625" s="146"/>
      <c r="U625" s="146"/>
      <c r="V625" s="146"/>
      <c r="W625" s="146"/>
      <c r="X625" s="146"/>
      <c r="Y625" s="146"/>
      <c r="Z625" s="146"/>
      <c r="AA625" s="146"/>
      <c r="AB625" s="146"/>
      <c r="AC625" s="146"/>
      <c r="AD625" s="146"/>
      <c r="AE625" s="146"/>
      <c r="AF625" s="146"/>
      <c r="AG625" s="146"/>
      <c r="AH625" s="146"/>
      <c r="AI625" s="146"/>
    </row>
    <row r="626" spans="1:35" ht="13.5" customHeight="1" x14ac:dyDescent="0.25">
      <c r="A626" s="28"/>
      <c r="B626" s="28"/>
      <c r="C626" s="28"/>
      <c r="D626" s="28"/>
      <c r="E626" s="28"/>
      <c r="F626" s="28"/>
      <c r="G626" s="29"/>
      <c r="H626" s="28"/>
      <c r="I626" s="147"/>
      <c r="J626" s="147"/>
      <c r="K626" s="146"/>
      <c r="L626" s="146"/>
      <c r="M626" s="146"/>
      <c r="N626" s="146"/>
      <c r="O626" s="146"/>
      <c r="P626" s="146"/>
      <c r="Q626" s="30"/>
      <c r="R626" s="146"/>
      <c r="S626" s="147"/>
      <c r="T626" s="146"/>
      <c r="U626" s="146"/>
      <c r="V626" s="146"/>
      <c r="W626" s="146"/>
      <c r="X626" s="146"/>
      <c r="Y626" s="146"/>
      <c r="Z626" s="146"/>
      <c r="AA626" s="146"/>
      <c r="AB626" s="146"/>
      <c r="AC626" s="146"/>
      <c r="AD626" s="146"/>
      <c r="AE626" s="146"/>
      <c r="AF626" s="146"/>
      <c r="AG626" s="146"/>
      <c r="AH626" s="146"/>
      <c r="AI626" s="146"/>
    </row>
    <row r="627" spans="1:35" ht="13.5" customHeight="1" x14ac:dyDescent="0.25">
      <c r="A627" s="28"/>
      <c r="B627" s="28"/>
      <c r="C627" s="28"/>
      <c r="D627" s="28"/>
      <c r="E627" s="28"/>
      <c r="F627" s="28"/>
      <c r="G627" s="29"/>
      <c r="H627" s="28"/>
      <c r="I627" s="147"/>
      <c r="J627" s="147"/>
      <c r="K627" s="146"/>
      <c r="L627" s="146"/>
      <c r="M627" s="146"/>
      <c r="N627" s="146"/>
      <c r="O627" s="146"/>
      <c r="P627" s="146"/>
      <c r="Q627" s="30"/>
      <c r="R627" s="146"/>
      <c r="S627" s="147"/>
      <c r="T627" s="146"/>
      <c r="U627" s="146"/>
      <c r="V627" s="146"/>
      <c r="W627" s="146"/>
      <c r="X627" s="146"/>
      <c r="Y627" s="146"/>
      <c r="Z627" s="146"/>
      <c r="AA627" s="146"/>
      <c r="AB627" s="146"/>
      <c r="AC627" s="146"/>
      <c r="AD627" s="146"/>
      <c r="AE627" s="146"/>
      <c r="AF627" s="146"/>
      <c r="AG627" s="146"/>
      <c r="AH627" s="146"/>
      <c r="AI627" s="146"/>
    </row>
    <row r="628" spans="1:35" ht="13.5" customHeight="1" x14ac:dyDescent="0.25">
      <c r="A628" s="28"/>
      <c r="B628" s="28"/>
      <c r="C628" s="28"/>
      <c r="D628" s="28"/>
      <c r="E628" s="28"/>
      <c r="F628" s="28"/>
      <c r="G628" s="29"/>
      <c r="H628" s="28"/>
      <c r="I628" s="147"/>
      <c r="J628" s="147"/>
      <c r="K628" s="146"/>
      <c r="L628" s="146"/>
      <c r="M628" s="146"/>
      <c r="N628" s="146"/>
      <c r="O628" s="146"/>
      <c r="P628" s="146"/>
      <c r="Q628" s="30"/>
      <c r="R628" s="146"/>
      <c r="S628" s="147"/>
      <c r="T628" s="146"/>
      <c r="U628" s="146"/>
      <c r="V628" s="146"/>
      <c r="W628" s="146"/>
      <c r="X628" s="146"/>
      <c r="Y628" s="146"/>
      <c r="Z628" s="146"/>
      <c r="AA628" s="146"/>
      <c r="AB628" s="146"/>
      <c r="AC628" s="146"/>
      <c r="AD628" s="146"/>
      <c r="AE628" s="146"/>
      <c r="AF628" s="146"/>
      <c r="AG628" s="146"/>
      <c r="AH628" s="146"/>
      <c r="AI628" s="146"/>
    </row>
    <row r="629" spans="1:35" ht="13.5" customHeight="1" x14ac:dyDescent="0.25">
      <c r="A629" s="28"/>
      <c r="B629" s="28"/>
      <c r="C629" s="28"/>
      <c r="D629" s="28"/>
      <c r="E629" s="28"/>
      <c r="F629" s="28"/>
      <c r="G629" s="29"/>
      <c r="H629" s="28"/>
      <c r="I629" s="147"/>
      <c r="J629" s="147"/>
      <c r="K629" s="146"/>
      <c r="L629" s="146"/>
      <c r="M629" s="146"/>
      <c r="N629" s="146"/>
      <c r="O629" s="146"/>
      <c r="P629" s="146"/>
      <c r="Q629" s="30"/>
      <c r="R629" s="146"/>
      <c r="S629" s="147"/>
      <c r="T629" s="146"/>
      <c r="U629" s="146"/>
      <c r="V629" s="146"/>
      <c r="W629" s="146"/>
      <c r="X629" s="146"/>
      <c r="Y629" s="146"/>
      <c r="Z629" s="146"/>
      <c r="AA629" s="146"/>
      <c r="AB629" s="146"/>
      <c r="AC629" s="146"/>
      <c r="AD629" s="146"/>
      <c r="AE629" s="146"/>
      <c r="AF629" s="146"/>
      <c r="AG629" s="146"/>
      <c r="AH629" s="146"/>
      <c r="AI629" s="146"/>
    </row>
    <row r="630" spans="1:35" ht="13.5" customHeight="1" x14ac:dyDescent="0.25">
      <c r="A630" s="28"/>
      <c r="B630" s="28"/>
      <c r="C630" s="28"/>
      <c r="D630" s="28"/>
      <c r="E630" s="28"/>
      <c r="F630" s="28"/>
      <c r="G630" s="29"/>
      <c r="H630" s="28"/>
      <c r="I630" s="147"/>
      <c r="J630" s="147"/>
      <c r="K630" s="146"/>
      <c r="L630" s="146"/>
      <c r="M630" s="146"/>
      <c r="N630" s="146"/>
      <c r="O630" s="146"/>
      <c r="P630" s="146"/>
      <c r="Q630" s="30"/>
      <c r="R630" s="146"/>
      <c r="S630" s="147"/>
      <c r="T630" s="146"/>
      <c r="U630" s="146"/>
      <c r="V630" s="146"/>
      <c r="W630" s="146"/>
      <c r="X630" s="146"/>
      <c r="Y630" s="146"/>
      <c r="Z630" s="146"/>
      <c r="AA630" s="146"/>
      <c r="AB630" s="146"/>
      <c r="AC630" s="146"/>
      <c r="AD630" s="146"/>
      <c r="AE630" s="146"/>
      <c r="AF630" s="146"/>
      <c r="AG630" s="146"/>
      <c r="AH630" s="146"/>
      <c r="AI630" s="146"/>
    </row>
    <row r="631" spans="1:35" ht="13.5" customHeight="1" x14ac:dyDescent="0.25">
      <c r="A631" s="28"/>
      <c r="B631" s="28"/>
      <c r="C631" s="28"/>
      <c r="D631" s="28"/>
      <c r="E631" s="28"/>
      <c r="F631" s="28"/>
      <c r="G631" s="29"/>
      <c r="H631" s="28"/>
      <c r="I631" s="147"/>
      <c r="J631" s="147"/>
      <c r="K631" s="146"/>
      <c r="L631" s="146"/>
      <c r="M631" s="146"/>
      <c r="N631" s="146"/>
      <c r="O631" s="146"/>
      <c r="P631" s="146"/>
      <c r="Q631" s="30"/>
      <c r="R631" s="146"/>
      <c r="S631" s="147"/>
      <c r="T631" s="146"/>
      <c r="U631" s="146"/>
      <c r="V631" s="146"/>
      <c r="W631" s="146"/>
      <c r="X631" s="146"/>
      <c r="Y631" s="146"/>
      <c r="Z631" s="146"/>
      <c r="AA631" s="146"/>
      <c r="AB631" s="146"/>
      <c r="AC631" s="146"/>
      <c r="AD631" s="146"/>
      <c r="AE631" s="146"/>
      <c r="AF631" s="146"/>
      <c r="AG631" s="146"/>
      <c r="AH631" s="146"/>
      <c r="AI631" s="146"/>
    </row>
    <row r="632" spans="1:35" ht="13.5" customHeight="1" x14ac:dyDescent="0.25">
      <c r="A632" s="28"/>
      <c r="B632" s="28"/>
      <c r="C632" s="28"/>
      <c r="D632" s="28"/>
      <c r="E632" s="28"/>
      <c r="F632" s="28"/>
      <c r="G632" s="29"/>
      <c r="H632" s="28"/>
      <c r="I632" s="147"/>
      <c r="J632" s="147"/>
      <c r="K632" s="146"/>
      <c r="L632" s="146"/>
      <c r="M632" s="146"/>
      <c r="N632" s="146"/>
      <c r="O632" s="146"/>
      <c r="P632" s="146"/>
      <c r="Q632" s="30"/>
      <c r="R632" s="146"/>
      <c r="S632" s="147"/>
      <c r="T632" s="146"/>
      <c r="U632" s="146"/>
      <c r="V632" s="146"/>
      <c r="W632" s="146"/>
      <c r="X632" s="146"/>
      <c r="Y632" s="146"/>
      <c r="Z632" s="146"/>
      <c r="AA632" s="146"/>
      <c r="AB632" s="146"/>
      <c r="AC632" s="146"/>
      <c r="AD632" s="146"/>
      <c r="AE632" s="146"/>
      <c r="AF632" s="146"/>
      <c r="AG632" s="146"/>
      <c r="AH632" s="146"/>
      <c r="AI632" s="146"/>
    </row>
    <row r="633" spans="1:35" ht="13.5" customHeight="1" x14ac:dyDescent="0.25">
      <c r="A633" s="28"/>
      <c r="B633" s="28"/>
      <c r="C633" s="28"/>
      <c r="D633" s="28"/>
      <c r="E633" s="28"/>
      <c r="F633" s="28"/>
      <c r="G633" s="29"/>
      <c r="H633" s="28"/>
      <c r="I633" s="147"/>
      <c r="J633" s="147"/>
      <c r="K633" s="146"/>
      <c r="L633" s="146"/>
      <c r="M633" s="146"/>
      <c r="N633" s="146"/>
      <c r="O633" s="146"/>
      <c r="P633" s="146"/>
      <c r="Q633" s="30"/>
      <c r="R633" s="146"/>
      <c r="S633" s="147"/>
      <c r="T633" s="146"/>
      <c r="U633" s="146"/>
      <c r="V633" s="146"/>
      <c r="W633" s="146"/>
      <c r="X633" s="146"/>
      <c r="Y633" s="146"/>
      <c r="Z633" s="146"/>
      <c r="AA633" s="146"/>
      <c r="AB633" s="146"/>
      <c r="AC633" s="146"/>
      <c r="AD633" s="146"/>
      <c r="AE633" s="146"/>
      <c r="AF633" s="146"/>
      <c r="AG633" s="146"/>
      <c r="AH633" s="146"/>
      <c r="AI633" s="146"/>
    </row>
    <row r="634" spans="1:35" ht="13.5" customHeight="1" x14ac:dyDescent="0.25">
      <c r="A634" s="28"/>
      <c r="B634" s="28"/>
      <c r="C634" s="28"/>
      <c r="D634" s="28"/>
      <c r="E634" s="28"/>
      <c r="F634" s="28"/>
      <c r="G634" s="29"/>
      <c r="H634" s="28"/>
      <c r="I634" s="147"/>
      <c r="J634" s="147"/>
      <c r="K634" s="146"/>
      <c r="L634" s="146"/>
      <c r="M634" s="146"/>
      <c r="N634" s="146"/>
      <c r="O634" s="146"/>
      <c r="P634" s="146"/>
      <c r="Q634" s="30"/>
      <c r="R634" s="146"/>
      <c r="S634" s="147"/>
      <c r="T634" s="146"/>
      <c r="U634" s="146"/>
      <c r="V634" s="146"/>
      <c r="W634" s="146"/>
      <c r="X634" s="146"/>
      <c r="Y634" s="146"/>
      <c r="Z634" s="146"/>
      <c r="AA634" s="146"/>
      <c r="AB634" s="146"/>
      <c r="AC634" s="146"/>
      <c r="AD634" s="146"/>
      <c r="AE634" s="146"/>
      <c r="AF634" s="146"/>
      <c r="AG634" s="146"/>
      <c r="AH634" s="146"/>
      <c r="AI634" s="146"/>
    </row>
    <row r="635" spans="1:35" ht="13.5" customHeight="1" x14ac:dyDescent="0.25">
      <c r="A635" s="28"/>
      <c r="B635" s="28"/>
      <c r="C635" s="28"/>
      <c r="D635" s="28"/>
      <c r="E635" s="28"/>
      <c r="F635" s="28"/>
      <c r="G635" s="29"/>
      <c r="H635" s="28"/>
      <c r="I635" s="147"/>
      <c r="J635" s="147"/>
      <c r="K635" s="146"/>
      <c r="L635" s="146"/>
      <c r="M635" s="146"/>
      <c r="N635" s="146"/>
      <c r="O635" s="146"/>
      <c r="P635" s="146"/>
      <c r="Q635" s="30"/>
      <c r="R635" s="146"/>
      <c r="S635" s="147"/>
      <c r="T635" s="146"/>
      <c r="U635" s="146"/>
      <c r="V635" s="146"/>
      <c r="W635" s="146"/>
      <c r="X635" s="146"/>
      <c r="Y635" s="146"/>
      <c r="Z635" s="146"/>
      <c r="AA635" s="146"/>
      <c r="AB635" s="146"/>
      <c r="AC635" s="146"/>
      <c r="AD635" s="146"/>
      <c r="AE635" s="146"/>
      <c r="AF635" s="146"/>
      <c r="AG635" s="146"/>
      <c r="AH635" s="146"/>
      <c r="AI635" s="146"/>
    </row>
    <row r="636" spans="1:35" ht="13.5" customHeight="1" x14ac:dyDescent="0.25">
      <c r="A636" s="28"/>
      <c r="B636" s="28"/>
      <c r="C636" s="28"/>
      <c r="D636" s="28"/>
      <c r="E636" s="28"/>
      <c r="F636" s="28"/>
      <c r="G636" s="29"/>
      <c r="H636" s="28"/>
      <c r="I636" s="147"/>
      <c r="J636" s="147"/>
      <c r="K636" s="146"/>
      <c r="L636" s="146"/>
      <c r="M636" s="146"/>
      <c r="N636" s="146"/>
      <c r="O636" s="146"/>
      <c r="P636" s="146"/>
      <c r="Q636" s="30"/>
      <c r="R636" s="146"/>
      <c r="S636" s="147"/>
      <c r="T636" s="146"/>
      <c r="U636" s="146"/>
      <c r="V636" s="146"/>
      <c r="W636" s="146"/>
      <c r="X636" s="146"/>
      <c r="Y636" s="146"/>
      <c r="Z636" s="146"/>
      <c r="AA636" s="146"/>
      <c r="AB636" s="146"/>
      <c r="AC636" s="146"/>
      <c r="AD636" s="146"/>
      <c r="AE636" s="146"/>
      <c r="AF636" s="146"/>
      <c r="AG636" s="146"/>
      <c r="AH636" s="146"/>
      <c r="AI636" s="146"/>
    </row>
    <row r="637" spans="1:35" ht="13.5" customHeight="1" x14ac:dyDescent="0.25">
      <c r="A637" s="28"/>
      <c r="B637" s="28"/>
      <c r="C637" s="28"/>
      <c r="D637" s="28"/>
      <c r="E637" s="28"/>
      <c r="F637" s="28"/>
      <c r="G637" s="29"/>
      <c r="H637" s="28"/>
      <c r="I637" s="147"/>
      <c r="J637" s="147"/>
      <c r="K637" s="146"/>
      <c r="L637" s="146"/>
      <c r="M637" s="146"/>
      <c r="N637" s="146"/>
      <c r="O637" s="146"/>
      <c r="P637" s="146"/>
      <c r="Q637" s="30"/>
      <c r="R637" s="146"/>
      <c r="S637" s="147"/>
      <c r="T637" s="146"/>
      <c r="U637" s="146"/>
      <c r="V637" s="146"/>
      <c r="W637" s="146"/>
      <c r="X637" s="146"/>
      <c r="Y637" s="146"/>
      <c r="Z637" s="146"/>
      <c r="AA637" s="146"/>
      <c r="AB637" s="146"/>
      <c r="AC637" s="146"/>
      <c r="AD637" s="146"/>
      <c r="AE637" s="146"/>
      <c r="AF637" s="146"/>
      <c r="AG637" s="146"/>
      <c r="AH637" s="146"/>
      <c r="AI637" s="146"/>
    </row>
    <row r="638" spans="1:35" ht="13.5" customHeight="1" x14ac:dyDescent="0.25">
      <c r="A638" s="28"/>
      <c r="B638" s="28"/>
      <c r="C638" s="28"/>
      <c r="D638" s="28"/>
      <c r="E638" s="28"/>
      <c r="F638" s="28"/>
      <c r="G638" s="29"/>
      <c r="H638" s="28"/>
      <c r="I638" s="147"/>
      <c r="J638" s="147"/>
      <c r="K638" s="146"/>
      <c r="L638" s="146"/>
      <c r="M638" s="146"/>
      <c r="N638" s="146"/>
      <c r="O638" s="146"/>
      <c r="P638" s="146"/>
      <c r="Q638" s="30"/>
      <c r="R638" s="146"/>
      <c r="S638" s="147"/>
      <c r="T638" s="146"/>
      <c r="U638" s="146"/>
      <c r="V638" s="146"/>
      <c r="W638" s="146"/>
      <c r="X638" s="146"/>
      <c r="Y638" s="146"/>
      <c r="Z638" s="146"/>
      <c r="AA638" s="146"/>
      <c r="AB638" s="146"/>
      <c r="AC638" s="146"/>
      <c r="AD638" s="146"/>
      <c r="AE638" s="146"/>
      <c r="AF638" s="146"/>
      <c r="AG638" s="146"/>
      <c r="AH638" s="146"/>
      <c r="AI638" s="146"/>
    </row>
    <row r="639" spans="1:35" ht="13.5" customHeight="1" x14ac:dyDescent="0.25">
      <c r="A639" s="28"/>
      <c r="B639" s="28"/>
      <c r="C639" s="28"/>
      <c r="D639" s="28"/>
      <c r="E639" s="28"/>
      <c r="F639" s="28"/>
      <c r="G639" s="29"/>
      <c r="H639" s="28"/>
      <c r="I639" s="147"/>
      <c r="J639" s="147"/>
      <c r="K639" s="146"/>
      <c r="L639" s="146"/>
      <c r="M639" s="146"/>
      <c r="N639" s="146"/>
      <c r="O639" s="146"/>
      <c r="P639" s="146"/>
      <c r="Q639" s="30"/>
      <c r="R639" s="146"/>
      <c r="S639" s="147"/>
      <c r="T639" s="146"/>
      <c r="U639" s="146"/>
      <c r="V639" s="146"/>
      <c r="W639" s="146"/>
      <c r="X639" s="146"/>
      <c r="Y639" s="146"/>
      <c r="Z639" s="146"/>
      <c r="AA639" s="146"/>
      <c r="AB639" s="146"/>
      <c r="AC639" s="146"/>
      <c r="AD639" s="146"/>
      <c r="AE639" s="146"/>
      <c r="AF639" s="146"/>
      <c r="AG639" s="146"/>
      <c r="AH639" s="146"/>
      <c r="AI639" s="146"/>
    </row>
    <row r="640" spans="1:35" ht="13.5" customHeight="1" x14ac:dyDescent="0.25">
      <c r="A640" s="28"/>
      <c r="B640" s="28"/>
      <c r="C640" s="28"/>
      <c r="D640" s="28"/>
      <c r="E640" s="28"/>
      <c r="F640" s="28"/>
      <c r="G640" s="29"/>
      <c r="H640" s="28"/>
      <c r="I640" s="147"/>
      <c r="J640" s="147"/>
      <c r="K640" s="146"/>
      <c r="L640" s="146"/>
      <c r="M640" s="146"/>
      <c r="N640" s="146"/>
      <c r="O640" s="146"/>
      <c r="P640" s="146"/>
      <c r="Q640" s="30"/>
      <c r="R640" s="146"/>
      <c r="S640" s="147"/>
      <c r="T640" s="146"/>
      <c r="U640" s="146"/>
      <c r="V640" s="146"/>
      <c r="W640" s="146"/>
      <c r="X640" s="146"/>
      <c r="Y640" s="146"/>
      <c r="Z640" s="146"/>
      <c r="AA640" s="146"/>
      <c r="AB640" s="146"/>
      <c r="AC640" s="146"/>
      <c r="AD640" s="146"/>
      <c r="AE640" s="146"/>
      <c r="AF640" s="146"/>
      <c r="AG640" s="146"/>
      <c r="AH640" s="146"/>
      <c r="AI640" s="146"/>
    </row>
    <row r="641" spans="1:35" ht="13.5" customHeight="1" x14ac:dyDescent="0.25">
      <c r="A641" s="28"/>
      <c r="B641" s="28"/>
      <c r="C641" s="28"/>
      <c r="D641" s="28"/>
      <c r="E641" s="28"/>
      <c r="F641" s="28"/>
      <c r="G641" s="29"/>
      <c r="H641" s="28"/>
      <c r="I641" s="147"/>
      <c r="J641" s="147"/>
      <c r="K641" s="146"/>
      <c r="L641" s="146"/>
      <c r="M641" s="146"/>
      <c r="N641" s="146"/>
      <c r="O641" s="146"/>
      <c r="P641" s="146"/>
      <c r="Q641" s="30"/>
      <c r="R641" s="146"/>
      <c r="S641" s="147"/>
      <c r="T641" s="146"/>
      <c r="U641" s="146"/>
      <c r="V641" s="146"/>
      <c r="W641" s="146"/>
      <c r="X641" s="146"/>
      <c r="Y641" s="146"/>
      <c r="Z641" s="146"/>
      <c r="AA641" s="146"/>
      <c r="AB641" s="146"/>
      <c r="AC641" s="146"/>
      <c r="AD641" s="146"/>
      <c r="AE641" s="146"/>
      <c r="AF641" s="146"/>
      <c r="AG641" s="146"/>
      <c r="AH641" s="146"/>
      <c r="AI641" s="146"/>
    </row>
    <row r="642" spans="1:35" ht="13.5" customHeight="1" x14ac:dyDescent="0.25">
      <c r="A642" s="28"/>
      <c r="B642" s="28"/>
      <c r="C642" s="28"/>
      <c r="D642" s="28"/>
      <c r="E642" s="28"/>
      <c r="F642" s="28"/>
      <c r="G642" s="29"/>
      <c r="H642" s="28"/>
      <c r="I642" s="147"/>
      <c r="J642" s="147"/>
      <c r="K642" s="146"/>
      <c r="L642" s="146"/>
      <c r="M642" s="146"/>
      <c r="N642" s="146"/>
      <c r="O642" s="146"/>
      <c r="P642" s="146"/>
      <c r="Q642" s="30"/>
      <c r="R642" s="146"/>
      <c r="S642" s="147"/>
      <c r="T642" s="146"/>
      <c r="U642" s="146"/>
      <c r="V642" s="146"/>
      <c r="W642" s="146"/>
      <c r="X642" s="146"/>
      <c r="Y642" s="146"/>
      <c r="Z642" s="146"/>
      <c r="AA642" s="146"/>
      <c r="AB642" s="146"/>
      <c r="AC642" s="146"/>
      <c r="AD642" s="146"/>
      <c r="AE642" s="146"/>
      <c r="AF642" s="146"/>
      <c r="AG642" s="146"/>
      <c r="AH642" s="146"/>
      <c r="AI642" s="146"/>
    </row>
    <row r="643" spans="1:35" ht="13.5" customHeight="1" x14ac:dyDescent="0.25">
      <c r="A643" s="28"/>
      <c r="B643" s="28"/>
      <c r="C643" s="28"/>
      <c r="D643" s="28"/>
      <c r="E643" s="28"/>
      <c r="F643" s="28"/>
      <c r="G643" s="29"/>
      <c r="H643" s="28"/>
      <c r="I643" s="147"/>
      <c r="J643" s="147"/>
      <c r="K643" s="146"/>
      <c r="L643" s="146"/>
      <c r="M643" s="146"/>
      <c r="N643" s="146"/>
      <c r="O643" s="146"/>
      <c r="P643" s="146"/>
      <c r="Q643" s="30"/>
      <c r="R643" s="146"/>
      <c r="S643" s="147"/>
      <c r="T643" s="146"/>
      <c r="U643" s="146"/>
      <c r="V643" s="146"/>
      <c r="W643" s="146"/>
      <c r="X643" s="146"/>
      <c r="Y643" s="146"/>
      <c r="Z643" s="146"/>
      <c r="AA643" s="146"/>
      <c r="AB643" s="146"/>
      <c r="AC643" s="146"/>
      <c r="AD643" s="146"/>
      <c r="AE643" s="146"/>
      <c r="AF643" s="146"/>
      <c r="AG643" s="146"/>
      <c r="AH643" s="146"/>
      <c r="AI643" s="146"/>
    </row>
    <row r="644" spans="1:35" ht="13.5" customHeight="1" x14ac:dyDescent="0.25">
      <c r="A644" s="28"/>
      <c r="B644" s="28"/>
      <c r="C644" s="28"/>
      <c r="D644" s="28"/>
      <c r="E644" s="28"/>
      <c r="F644" s="28"/>
      <c r="G644" s="29"/>
      <c r="H644" s="28"/>
      <c r="I644" s="147"/>
      <c r="J644" s="147"/>
      <c r="K644" s="146"/>
      <c r="L644" s="146"/>
      <c r="M644" s="146"/>
      <c r="N644" s="146"/>
      <c r="O644" s="146"/>
      <c r="P644" s="146"/>
      <c r="Q644" s="30"/>
      <c r="R644" s="146"/>
      <c r="S644" s="147"/>
      <c r="T644" s="146"/>
      <c r="U644" s="146"/>
      <c r="V644" s="146"/>
      <c r="W644" s="146"/>
      <c r="X644" s="146"/>
      <c r="Y644" s="146"/>
      <c r="Z644" s="146"/>
      <c r="AA644" s="146"/>
      <c r="AB644" s="146"/>
      <c r="AC644" s="146"/>
      <c r="AD644" s="146"/>
      <c r="AE644" s="146"/>
      <c r="AF644" s="146"/>
      <c r="AG644" s="146"/>
      <c r="AH644" s="146"/>
      <c r="AI644" s="146"/>
    </row>
    <row r="645" spans="1:35" ht="13.5" customHeight="1" x14ac:dyDescent="0.25">
      <c r="A645" s="28"/>
      <c r="B645" s="28"/>
      <c r="C645" s="28"/>
      <c r="D645" s="28"/>
      <c r="E645" s="28"/>
      <c r="F645" s="28"/>
      <c r="G645" s="29"/>
      <c r="H645" s="28"/>
      <c r="I645" s="147"/>
      <c r="J645" s="147"/>
      <c r="K645" s="146"/>
      <c r="L645" s="146"/>
      <c r="M645" s="146"/>
      <c r="N645" s="146"/>
      <c r="O645" s="146"/>
      <c r="P645" s="146"/>
      <c r="Q645" s="30"/>
      <c r="R645" s="146"/>
      <c r="S645" s="147"/>
      <c r="T645" s="146"/>
      <c r="U645" s="146"/>
      <c r="V645" s="146"/>
      <c r="W645" s="146"/>
      <c r="X645" s="146"/>
      <c r="Y645" s="146"/>
      <c r="Z645" s="146"/>
      <c r="AA645" s="146"/>
      <c r="AB645" s="146"/>
      <c r="AC645" s="146"/>
      <c r="AD645" s="146"/>
      <c r="AE645" s="146"/>
      <c r="AF645" s="146"/>
      <c r="AG645" s="146"/>
      <c r="AH645" s="146"/>
      <c r="AI645" s="146"/>
    </row>
    <row r="646" spans="1:35" ht="13.5" customHeight="1" x14ac:dyDescent="0.25">
      <c r="A646" s="28"/>
      <c r="B646" s="28"/>
      <c r="C646" s="28"/>
      <c r="D646" s="28"/>
      <c r="E646" s="28"/>
      <c r="F646" s="28"/>
      <c r="G646" s="29"/>
      <c r="H646" s="28"/>
      <c r="I646" s="147"/>
      <c r="J646" s="147"/>
      <c r="K646" s="146"/>
      <c r="L646" s="146"/>
      <c r="M646" s="146"/>
      <c r="N646" s="146"/>
      <c r="O646" s="146"/>
      <c r="P646" s="146"/>
      <c r="Q646" s="30"/>
      <c r="R646" s="146"/>
      <c r="S646" s="147"/>
      <c r="T646" s="146"/>
      <c r="U646" s="146"/>
      <c r="V646" s="146"/>
      <c r="W646" s="146"/>
      <c r="X646" s="146"/>
      <c r="Y646" s="146"/>
      <c r="Z646" s="146"/>
      <c r="AA646" s="146"/>
      <c r="AB646" s="146"/>
      <c r="AC646" s="146"/>
      <c r="AD646" s="146"/>
      <c r="AE646" s="146"/>
      <c r="AF646" s="146"/>
      <c r="AG646" s="146"/>
      <c r="AH646" s="146"/>
      <c r="AI646" s="146"/>
    </row>
    <row r="647" spans="1:35" ht="13.5" customHeight="1" x14ac:dyDescent="0.25">
      <c r="A647" s="28"/>
      <c r="B647" s="28"/>
      <c r="C647" s="28"/>
      <c r="D647" s="28"/>
      <c r="E647" s="28"/>
      <c r="F647" s="28"/>
      <c r="G647" s="29"/>
      <c r="H647" s="28"/>
      <c r="I647" s="147"/>
      <c r="J647" s="147"/>
      <c r="K647" s="146"/>
      <c r="L647" s="146"/>
      <c r="M647" s="146"/>
      <c r="N647" s="146"/>
      <c r="O647" s="146"/>
      <c r="P647" s="146"/>
      <c r="Q647" s="30"/>
      <c r="R647" s="146"/>
      <c r="S647" s="147"/>
      <c r="T647" s="146"/>
      <c r="U647" s="146"/>
      <c r="V647" s="146"/>
      <c r="W647" s="146"/>
      <c r="X647" s="146"/>
      <c r="Y647" s="146"/>
      <c r="Z647" s="146"/>
      <c r="AA647" s="146"/>
      <c r="AB647" s="146"/>
      <c r="AC647" s="146"/>
      <c r="AD647" s="146"/>
      <c r="AE647" s="146"/>
      <c r="AF647" s="146"/>
      <c r="AG647" s="146"/>
      <c r="AH647" s="146"/>
      <c r="AI647" s="146"/>
    </row>
    <row r="648" spans="1:35" ht="13.5" customHeight="1" x14ac:dyDescent="0.25">
      <c r="A648" s="28"/>
      <c r="B648" s="28"/>
      <c r="C648" s="28"/>
      <c r="D648" s="28"/>
      <c r="E648" s="28"/>
      <c r="F648" s="28"/>
      <c r="G648" s="29"/>
      <c r="H648" s="28"/>
      <c r="I648" s="147"/>
      <c r="J648" s="147"/>
      <c r="K648" s="146"/>
      <c r="L648" s="146"/>
      <c r="M648" s="146"/>
      <c r="N648" s="146"/>
      <c r="O648" s="146"/>
      <c r="P648" s="146"/>
      <c r="Q648" s="30"/>
      <c r="R648" s="146"/>
      <c r="S648" s="147"/>
      <c r="T648" s="146"/>
      <c r="U648" s="146"/>
      <c r="V648" s="146"/>
      <c r="W648" s="146"/>
      <c r="X648" s="146"/>
      <c r="Y648" s="146"/>
      <c r="Z648" s="146"/>
      <c r="AA648" s="146"/>
      <c r="AB648" s="146"/>
      <c r="AC648" s="146"/>
      <c r="AD648" s="146"/>
      <c r="AE648" s="146"/>
      <c r="AF648" s="146"/>
      <c r="AG648" s="146"/>
      <c r="AH648" s="146"/>
      <c r="AI648" s="146"/>
    </row>
    <row r="649" spans="1:35" ht="13.5" customHeight="1" x14ac:dyDescent="0.25">
      <c r="A649" s="28"/>
      <c r="B649" s="28"/>
      <c r="C649" s="28"/>
      <c r="D649" s="28"/>
      <c r="E649" s="28"/>
      <c r="F649" s="28"/>
      <c r="G649" s="29"/>
      <c r="H649" s="28"/>
      <c r="I649" s="147"/>
      <c r="J649" s="147"/>
      <c r="K649" s="146"/>
      <c r="L649" s="146"/>
      <c r="M649" s="146"/>
      <c r="N649" s="146"/>
      <c r="O649" s="146"/>
      <c r="P649" s="146"/>
      <c r="Q649" s="30"/>
      <c r="R649" s="146"/>
      <c r="S649" s="147"/>
      <c r="T649" s="146"/>
      <c r="U649" s="146"/>
      <c r="V649" s="146"/>
      <c r="W649" s="146"/>
      <c r="X649" s="146"/>
      <c r="Y649" s="146"/>
      <c r="Z649" s="146"/>
      <c r="AA649" s="146"/>
      <c r="AB649" s="146"/>
      <c r="AC649" s="146"/>
      <c r="AD649" s="146"/>
      <c r="AE649" s="146"/>
      <c r="AF649" s="146"/>
      <c r="AG649" s="146"/>
      <c r="AH649" s="146"/>
      <c r="AI649" s="146"/>
    </row>
    <row r="650" spans="1:35" ht="13.5" customHeight="1" x14ac:dyDescent="0.25">
      <c r="A650" s="28"/>
      <c r="B650" s="28"/>
      <c r="C650" s="28"/>
      <c r="D650" s="28"/>
      <c r="E650" s="28"/>
      <c r="F650" s="28"/>
      <c r="G650" s="29"/>
      <c r="H650" s="28"/>
      <c r="I650" s="147"/>
      <c r="J650" s="147"/>
      <c r="K650" s="146"/>
      <c r="L650" s="146"/>
      <c r="M650" s="146"/>
      <c r="N650" s="146"/>
      <c r="O650" s="146"/>
      <c r="P650" s="146"/>
      <c r="Q650" s="30"/>
      <c r="R650" s="146"/>
      <c r="S650" s="147"/>
      <c r="T650" s="146"/>
      <c r="U650" s="146"/>
      <c r="V650" s="146"/>
      <c r="W650" s="146"/>
      <c r="X650" s="146"/>
      <c r="Y650" s="146"/>
      <c r="Z650" s="146"/>
      <c r="AA650" s="146"/>
      <c r="AB650" s="146"/>
      <c r="AC650" s="146"/>
      <c r="AD650" s="146"/>
      <c r="AE650" s="146"/>
      <c r="AF650" s="146"/>
      <c r="AG650" s="146"/>
      <c r="AH650" s="146"/>
      <c r="AI650" s="146"/>
    </row>
    <row r="651" spans="1:35" ht="13.5" customHeight="1" x14ac:dyDescent="0.25">
      <c r="A651" s="28"/>
      <c r="B651" s="28"/>
      <c r="C651" s="28"/>
      <c r="D651" s="28"/>
      <c r="E651" s="28"/>
      <c r="F651" s="28"/>
      <c r="G651" s="29"/>
      <c r="H651" s="28"/>
      <c r="I651" s="147"/>
      <c r="J651" s="147"/>
      <c r="K651" s="146"/>
      <c r="L651" s="146"/>
      <c r="M651" s="146"/>
      <c r="N651" s="146"/>
      <c r="O651" s="146"/>
      <c r="P651" s="146"/>
      <c r="Q651" s="30"/>
      <c r="R651" s="146"/>
      <c r="S651" s="147"/>
      <c r="T651" s="146"/>
      <c r="U651" s="146"/>
      <c r="V651" s="146"/>
      <c r="W651" s="146"/>
      <c r="X651" s="146"/>
      <c r="Y651" s="146"/>
      <c r="Z651" s="146"/>
      <c r="AA651" s="146"/>
      <c r="AB651" s="146"/>
      <c r="AC651" s="146"/>
      <c r="AD651" s="146"/>
      <c r="AE651" s="146"/>
      <c r="AF651" s="146"/>
      <c r="AG651" s="146"/>
      <c r="AH651" s="146"/>
      <c r="AI651" s="146"/>
    </row>
    <row r="652" spans="1:35" ht="13.5" customHeight="1" x14ac:dyDescent="0.25">
      <c r="A652" s="28"/>
      <c r="B652" s="28"/>
      <c r="C652" s="28"/>
      <c r="D652" s="28"/>
      <c r="E652" s="28"/>
      <c r="F652" s="28"/>
      <c r="G652" s="29"/>
      <c r="H652" s="28"/>
      <c r="I652" s="147"/>
      <c r="J652" s="147"/>
      <c r="K652" s="146"/>
      <c r="L652" s="146"/>
      <c r="M652" s="146"/>
      <c r="N652" s="146"/>
      <c r="O652" s="146"/>
      <c r="P652" s="146"/>
      <c r="Q652" s="30"/>
      <c r="R652" s="146"/>
      <c r="S652" s="147"/>
      <c r="T652" s="146"/>
      <c r="U652" s="146"/>
      <c r="V652" s="146"/>
      <c r="W652" s="146"/>
      <c r="X652" s="146"/>
      <c r="Y652" s="146"/>
      <c r="Z652" s="146"/>
      <c r="AA652" s="146"/>
      <c r="AB652" s="146"/>
      <c r="AC652" s="146"/>
      <c r="AD652" s="146"/>
      <c r="AE652" s="146"/>
      <c r="AF652" s="146"/>
      <c r="AG652" s="146"/>
      <c r="AH652" s="146"/>
      <c r="AI652" s="146"/>
    </row>
    <row r="653" spans="1:35" ht="13.5" customHeight="1" x14ac:dyDescent="0.25">
      <c r="A653" s="28"/>
      <c r="B653" s="28"/>
      <c r="C653" s="28"/>
      <c r="D653" s="28"/>
      <c r="E653" s="28"/>
      <c r="F653" s="28"/>
      <c r="G653" s="29"/>
      <c r="H653" s="28"/>
      <c r="I653" s="147"/>
      <c r="J653" s="147"/>
      <c r="K653" s="146"/>
      <c r="L653" s="146"/>
      <c r="M653" s="146"/>
      <c r="N653" s="146"/>
      <c r="O653" s="146"/>
      <c r="P653" s="146"/>
      <c r="Q653" s="30"/>
      <c r="R653" s="146"/>
      <c r="S653" s="147"/>
      <c r="T653" s="146"/>
      <c r="U653" s="146"/>
      <c r="V653" s="146"/>
      <c r="W653" s="146"/>
      <c r="X653" s="146"/>
      <c r="Y653" s="146"/>
      <c r="Z653" s="146"/>
      <c r="AA653" s="146"/>
      <c r="AB653" s="146"/>
      <c r="AC653" s="146"/>
      <c r="AD653" s="146"/>
      <c r="AE653" s="146"/>
      <c r="AF653" s="146"/>
      <c r="AG653" s="146"/>
      <c r="AH653" s="146"/>
      <c r="AI653" s="146"/>
    </row>
    <row r="654" spans="1:35" ht="13.5" customHeight="1" x14ac:dyDescent="0.25">
      <c r="A654" s="28"/>
      <c r="B654" s="28"/>
      <c r="C654" s="28"/>
      <c r="D654" s="28"/>
      <c r="E654" s="28"/>
      <c r="F654" s="28"/>
      <c r="G654" s="29"/>
      <c r="H654" s="28"/>
      <c r="I654" s="147"/>
      <c r="J654" s="147"/>
      <c r="K654" s="146"/>
      <c r="L654" s="146"/>
      <c r="M654" s="146"/>
      <c r="N654" s="146"/>
      <c r="O654" s="146"/>
      <c r="P654" s="146"/>
      <c r="Q654" s="30"/>
      <c r="R654" s="146"/>
      <c r="S654" s="147"/>
      <c r="T654" s="146"/>
      <c r="U654" s="146"/>
      <c r="V654" s="146"/>
      <c r="W654" s="146"/>
      <c r="X654" s="146"/>
      <c r="Y654" s="146"/>
      <c r="Z654" s="146"/>
      <c r="AA654" s="146"/>
      <c r="AB654" s="146"/>
      <c r="AC654" s="146"/>
      <c r="AD654" s="146"/>
      <c r="AE654" s="146"/>
      <c r="AF654" s="146"/>
      <c r="AG654" s="146"/>
      <c r="AH654" s="146"/>
      <c r="AI654" s="146"/>
    </row>
    <row r="655" spans="1:35" ht="13.5" customHeight="1" x14ac:dyDescent="0.25">
      <c r="A655" s="28"/>
      <c r="B655" s="28"/>
      <c r="C655" s="28"/>
      <c r="D655" s="28"/>
      <c r="E655" s="28"/>
      <c r="F655" s="28"/>
      <c r="G655" s="29"/>
      <c r="H655" s="28"/>
      <c r="I655" s="147"/>
      <c r="J655" s="147"/>
      <c r="K655" s="146"/>
      <c r="L655" s="146"/>
      <c r="M655" s="146"/>
      <c r="N655" s="146"/>
      <c r="O655" s="146"/>
      <c r="P655" s="146"/>
      <c r="Q655" s="30"/>
      <c r="R655" s="146"/>
      <c r="S655" s="147"/>
      <c r="T655" s="146"/>
      <c r="U655" s="146"/>
      <c r="V655" s="146"/>
      <c r="W655" s="146"/>
      <c r="X655" s="146"/>
      <c r="Y655" s="146"/>
      <c r="Z655" s="146"/>
      <c r="AA655" s="146"/>
      <c r="AB655" s="146"/>
      <c r="AC655" s="146"/>
      <c r="AD655" s="146"/>
      <c r="AE655" s="146"/>
      <c r="AF655" s="146"/>
      <c r="AG655" s="146"/>
      <c r="AH655" s="146"/>
      <c r="AI655" s="146"/>
    </row>
    <row r="656" spans="1:35" ht="13.5" customHeight="1" x14ac:dyDescent="0.25">
      <c r="A656" s="28"/>
      <c r="B656" s="28"/>
      <c r="C656" s="28"/>
      <c r="D656" s="28"/>
      <c r="E656" s="28"/>
      <c r="F656" s="28"/>
      <c r="G656" s="29"/>
      <c r="H656" s="28"/>
      <c r="I656" s="147"/>
      <c r="J656" s="147"/>
      <c r="K656" s="146"/>
      <c r="L656" s="146"/>
      <c r="M656" s="146"/>
      <c r="N656" s="146"/>
      <c r="O656" s="146"/>
      <c r="P656" s="146"/>
      <c r="Q656" s="30"/>
      <c r="R656" s="146"/>
      <c r="S656" s="147"/>
      <c r="T656" s="146"/>
      <c r="U656" s="146"/>
      <c r="V656" s="146"/>
      <c r="W656" s="146"/>
      <c r="X656" s="146"/>
      <c r="Y656" s="146"/>
      <c r="Z656" s="146"/>
      <c r="AA656" s="146"/>
      <c r="AB656" s="146"/>
      <c r="AC656" s="146"/>
      <c r="AD656" s="146"/>
      <c r="AE656" s="146"/>
      <c r="AF656" s="146"/>
      <c r="AG656" s="146"/>
      <c r="AH656" s="146"/>
      <c r="AI656" s="146"/>
    </row>
    <row r="657" spans="1:35" ht="13.5" customHeight="1" x14ac:dyDescent="0.25">
      <c r="A657" s="28"/>
      <c r="B657" s="28"/>
      <c r="C657" s="28"/>
      <c r="D657" s="28"/>
      <c r="E657" s="28"/>
      <c r="F657" s="28"/>
      <c r="G657" s="29"/>
      <c r="H657" s="28"/>
      <c r="I657" s="147"/>
      <c r="J657" s="147"/>
      <c r="K657" s="146"/>
      <c r="L657" s="146"/>
      <c r="M657" s="146"/>
      <c r="N657" s="146"/>
      <c r="O657" s="146"/>
      <c r="P657" s="146"/>
      <c r="Q657" s="30"/>
      <c r="R657" s="146"/>
      <c r="S657" s="147"/>
      <c r="T657" s="146"/>
      <c r="U657" s="146"/>
      <c r="V657" s="146"/>
      <c r="W657" s="146"/>
      <c r="X657" s="146"/>
      <c r="Y657" s="146"/>
      <c r="Z657" s="146"/>
      <c r="AA657" s="146"/>
      <c r="AB657" s="146"/>
      <c r="AC657" s="146"/>
      <c r="AD657" s="146"/>
      <c r="AE657" s="146"/>
      <c r="AF657" s="146"/>
      <c r="AG657" s="146"/>
      <c r="AH657" s="146"/>
      <c r="AI657" s="146"/>
    </row>
    <row r="658" spans="1:35" ht="13.5" customHeight="1" x14ac:dyDescent="0.25">
      <c r="A658" s="28"/>
      <c r="B658" s="28"/>
      <c r="C658" s="28"/>
      <c r="D658" s="28"/>
      <c r="E658" s="28"/>
      <c r="F658" s="28"/>
      <c r="G658" s="29"/>
      <c r="H658" s="28"/>
      <c r="I658" s="147"/>
      <c r="J658" s="147"/>
      <c r="K658" s="146"/>
      <c r="L658" s="146"/>
      <c r="M658" s="146"/>
      <c r="N658" s="146"/>
      <c r="O658" s="146"/>
      <c r="P658" s="146"/>
      <c r="Q658" s="30"/>
      <c r="R658" s="146"/>
      <c r="S658" s="147"/>
      <c r="T658" s="146"/>
      <c r="U658" s="146"/>
      <c r="V658" s="146"/>
      <c r="W658" s="146"/>
      <c r="X658" s="146"/>
      <c r="Y658" s="146"/>
      <c r="Z658" s="146"/>
      <c r="AA658" s="146"/>
      <c r="AB658" s="146"/>
      <c r="AC658" s="146"/>
      <c r="AD658" s="146"/>
      <c r="AE658" s="146"/>
      <c r="AF658" s="146"/>
      <c r="AG658" s="146"/>
      <c r="AH658" s="146"/>
      <c r="AI658" s="146"/>
    </row>
    <row r="659" spans="1:35" ht="13.5" customHeight="1" x14ac:dyDescent="0.25">
      <c r="A659" s="28"/>
      <c r="B659" s="28"/>
      <c r="C659" s="28"/>
      <c r="D659" s="28"/>
      <c r="E659" s="28"/>
      <c r="F659" s="28"/>
      <c r="G659" s="29"/>
      <c r="H659" s="28"/>
      <c r="I659" s="147"/>
      <c r="J659" s="147"/>
      <c r="K659" s="146"/>
      <c r="L659" s="146"/>
      <c r="M659" s="146"/>
      <c r="N659" s="146"/>
      <c r="O659" s="146"/>
      <c r="P659" s="146"/>
      <c r="Q659" s="30"/>
      <c r="R659" s="146"/>
      <c r="S659" s="147"/>
      <c r="T659" s="146"/>
      <c r="U659" s="146"/>
      <c r="V659" s="146"/>
      <c r="W659" s="146"/>
      <c r="X659" s="146"/>
      <c r="Y659" s="146"/>
      <c r="Z659" s="146"/>
      <c r="AA659" s="146"/>
      <c r="AB659" s="146"/>
      <c r="AC659" s="146"/>
      <c r="AD659" s="146"/>
      <c r="AE659" s="146"/>
      <c r="AF659" s="146"/>
      <c r="AG659" s="146"/>
      <c r="AH659" s="146"/>
      <c r="AI659" s="146"/>
    </row>
    <row r="660" spans="1:35" ht="13.5" customHeight="1" x14ac:dyDescent="0.25">
      <c r="A660" s="28"/>
      <c r="B660" s="28"/>
      <c r="C660" s="28"/>
      <c r="D660" s="28"/>
      <c r="E660" s="28"/>
      <c r="F660" s="28"/>
      <c r="G660" s="29"/>
      <c r="H660" s="28"/>
      <c r="I660" s="147"/>
      <c r="J660" s="147"/>
      <c r="K660" s="146"/>
      <c r="L660" s="146"/>
      <c r="M660" s="146"/>
      <c r="N660" s="146"/>
      <c r="O660" s="146"/>
      <c r="P660" s="146"/>
      <c r="Q660" s="30"/>
      <c r="R660" s="146"/>
      <c r="S660" s="147"/>
      <c r="T660" s="146"/>
      <c r="U660" s="146"/>
      <c r="V660" s="146"/>
      <c r="W660" s="146"/>
      <c r="X660" s="146"/>
      <c r="Y660" s="146"/>
      <c r="Z660" s="146"/>
      <c r="AA660" s="146"/>
      <c r="AB660" s="146"/>
      <c r="AC660" s="146"/>
      <c r="AD660" s="146"/>
      <c r="AE660" s="146"/>
      <c r="AF660" s="146"/>
      <c r="AG660" s="146"/>
      <c r="AH660" s="146"/>
      <c r="AI660" s="146"/>
    </row>
    <row r="661" spans="1:35" ht="13.5" customHeight="1" x14ac:dyDescent="0.25">
      <c r="A661" s="28"/>
      <c r="B661" s="28"/>
      <c r="C661" s="28"/>
      <c r="D661" s="28"/>
      <c r="E661" s="28"/>
      <c r="F661" s="28"/>
      <c r="G661" s="29"/>
      <c r="H661" s="28"/>
      <c r="I661" s="147"/>
      <c r="J661" s="147"/>
      <c r="K661" s="146"/>
      <c r="L661" s="146"/>
      <c r="M661" s="146"/>
      <c r="N661" s="146"/>
      <c r="O661" s="146"/>
      <c r="P661" s="146"/>
      <c r="Q661" s="30"/>
      <c r="R661" s="146"/>
      <c r="S661" s="147"/>
      <c r="T661" s="146"/>
      <c r="U661" s="146"/>
      <c r="V661" s="146"/>
      <c r="W661" s="146"/>
      <c r="X661" s="146"/>
      <c r="Y661" s="146"/>
      <c r="Z661" s="146"/>
      <c r="AA661" s="146"/>
      <c r="AB661" s="146"/>
      <c r="AC661" s="146"/>
      <c r="AD661" s="146"/>
      <c r="AE661" s="146"/>
      <c r="AF661" s="146"/>
      <c r="AG661" s="146"/>
      <c r="AH661" s="146"/>
      <c r="AI661" s="146"/>
    </row>
    <row r="662" spans="1:35" ht="13.5" customHeight="1" x14ac:dyDescent="0.25">
      <c r="A662" s="28"/>
      <c r="B662" s="28"/>
      <c r="C662" s="28"/>
      <c r="D662" s="28"/>
      <c r="E662" s="28"/>
      <c r="F662" s="28"/>
      <c r="G662" s="29"/>
      <c r="H662" s="28"/>
      <c r="I662" s="147"/>
      <c r="J662" s="147"/>
      <c r="K662" s="146"/>
      <c r="L662" s="146"/>
      <c r="M662" s="146"/>
      <c r="N662" s="146"/>
      <c r="O662" s="146"/>
      <c r="P662" s="146"/>
      <c r="Q662" s="30"/>
      <c r="R662" s="146"/>
      <c r="S662" s="147"/>
      <c r="T662" s="146"/>
      <c r="U662" s="146"/>
      <c r="V662" s="146"/>
      <c r="W662" s="146"/>
      <c r="X662" s="146"/>
      <c r="Y662" s="146"/>
      <c r="Z662" s="146"/>
      <c r="AA662" s="146"/>
      <c r="AB662" s="146"/>
      <c r="AC662" s="146"/>
      <c r="AD662" s="146"/>
      <c r="AE662" s="146"/>
      <c r="AF662" s="146"/>
      <c r="AG662" s="146"/>
      <c r="AH662" s="146"/>
      <c r="AI662" s="146"/>
    </row>
    <row r="663" spans="1:35" ht="13.5" customHeight="1" x14ac:dyDescent="0.25">
      <c r="A663" s="28"/>
      <c r="B663" s="28"/>
      <c r="C663" s="28"/>
      <c r="D663" s="28"/>
      <c r="E663" s="28"/>
      <c r="F663" s="28"/>
      <c r="G663" s="29"/>
      <c r="H663" s="28"/>
      <c r="I663" s="147"/>
      <c r="J663" s="147"/>
      <c r="K663" s="146"/>
      <c r="L663" s="146"/>
      <c r="M663" s="146"/>
      <c r="N663" s="146"/>
      <c r="O663" s="146"/>
      <c r="P663" s="146"/>
      <c r="Q663" s="30"/>
      <c r="R663" s="146"/>
      <c r="S663" s="147"/>
      <c r="T663" s="146"/>
      <c r="U663" s="146"/>
      <c r="V663" s="146"/>
      <c r="W663" s="146"/>
      <c r="X663" s="146"/>
      <c r="Y663" s="146"/>
      <c r="Z663" s="146"/>
      <c r="AA663" s="146"/>
      <c r="AB663" s="146"/>
      <c r="AC663" s="146"/>
      <c r="AD663" s="146"/>
      <c r="AE663" s="146"/>
      <c r="AF663" s="146"/>
      <c r="AG663" s="146"/>
      <c r="AH663" s="146"/>
      <c r="AI663" s="146"/>
    </row>
    <row r="664" spans="1:35" ht="13.5" customHeight="1" x14ac:dyDescent="0.25">
      <c r="A664" s="28"/>
      <c r="B664" s="28"/>
      <c r="C664" s="28"/>
      <c r="D664" s="28"/>
      <c r="E664" s="28"/>
      <c r="F664" s="28"/>
      <c r="G664" s="29"/>
      <c r="H664" s="28"/>
      <c r="I664" s="147"/>
      <c r="J664" s="147"/>
      <c r="K664" s="146"/>
      <c r="L664" s="146"/>
      <c r="M664" s="146"/>
      <c r="N664" s="146"/>
      <c r="O664" s="146"/>
      <c r="P664" s="146"/>
      <c r="Q664" s="30"/>
      <c r="R664" s="146"/>
      <c r="S664" s="147"/>
      <c r="T664" s="146"/>
      <c r="U664" s="146"/>
      <c r="V664" s="146"/>
      <c r="W664" s="146"/>
      <c r="X664" s="146"/>
      <c r="Y664" s="146"/>
      <c r="Z664" s="146"/>
      <c r="AA664" s="146"/>
      <c r="AB664" s="146"/>
      <c r="AC664" s="146"/>
      <c r="AD664" s="146"/>
      <c r="AE664" s="146"/>
      <c r="AF664" s="146"/>
      <c r="AG664" s="146"/>
      <c r="AH664" s="146"/>
      <c r="AI664" s="146"/>
    </row>
    <row r="665" spans="1:35" ht="13.5" customHeight="1" x14ac:dyDescent="0.25">
      <c r="A665" s="28"/>
      <c r="B665" s="28"/>
      <c r="C665" s="28"/>
      <c r="D665" s="28"/>
      <c r="E665" s="28"/>
      <c r="F665" s="28"/>
      <c r="G665" s="29"/>
      <c r="H665" s="28"/>
      <c r="I665" s="147"/>
      <c r="J665" s="147"/>
      <c r="K665" s="146"/>
      <c r="L665" s="146"/>
      <c r="M665" s="146"/>
      <c r="N665" s="146"/>
      <c r="O665" s="146"/>
      <c r="P665" s="146"/>
      <c r="Q665" s="30"/>
      <c r="R665" s="146"/>
      <c r="S665" s="147"/>
      <c r="T665" s="146"/>
      <c r="U665" s="146"/>
      <c r="V665" s="146"/>
      <c r="W665" s="146"/>
      <c r="X665" s="146"/>
      <c r="Y665" s="146"/>
      <c r="Z665" s="146"/>
      <c r="AA665" s="146"/>
      <c r="AB665" s="146"/>
      <c r="AC665" s="146"/>
      <c r="AD665" s="146"/>
      <c r="AE665" s="146"/>
      <c r="AF665" s="146"/>
      <c r="AG665" s="146"/>
      <c r="AH665" s="146"/>
      <c r="AI665" s="146"/>
    </row>
    <row r="666" spans="1:35" ht="13.5" customHeight="1" x14ac:dyDescent="0.25">
      <c r="A666" s="28"/>
      <c r="B666" s="28"/>
      <c r="C666" s="28"/>
      <c r="D666" s="28"/>
      <c r="E666" s="28"/>
      <c r="F666" s="28"/>
      <c r="G666" s="29"/>
      <c r="H666" s="28"/>
      <c r="I666" s="147"/>
      <c r="J666" s="147"/>
      <c r="K666" s="146"/>
      <c r="L666" s="146"/>
      <c r="M666" s="146"/>
      <c r="N666" s="146"/>
      <c r="O666" s="146"/>
      <c r="P666" s="146"/>
      <c r="Q666" s="30"/>
      <c r="R666" s="146"/>
      <c r="S666" s="147"/>
      <c r="T666" s="146"/>
      <c r="U666" s="146"/>
      <c r="V666" s="146"/>
      <c r="W666" s="146"/>
      <c r="X666" s="146"/>
      <c r="Y666" s="146"/>
      <c r="Z666" s="146"/>
      <c r="AA666" s="146"/>
      <c r="AB666" s="146"/>
      <c r="AC666" s="146"/>
      <c r="AD666" s="146"/>
      <c r="AE666" s="146"/>
      <c r="AF666" s="146"/>
      <c r="AG666" s="146"/>
      <c r="AH666" s="146"/>
      <c r="AI666" s="146"/>
    </row>
    <row r="667" spans="1:35" ht="13.5" customHeight="1" x14ac:dyDescent="0.25">
      <c r="A667" s="28"/>
      <c r="B667" s="28"/>
      <c r="C667" s="28"/>
      <c r="D667" s="28"/>
      <c r="E667" s="28"/>
      <c r="F667" s="28"/>
      <c r="G667" s="29"/>
      <c r="H667" s="28"/>
      <c r="I667" s="147"/>
      <c r="J667" s="147"/>
      <c r="K667" s="146"/>
      <c r="L667" s="146"/>
      <c r="M667" s="146"/>
      <c r="N667" s="146"/>
      <c r="O667" s="146"/>
      <c r="P667" s="146"/>
      <c r="Q667" s="30"/>
      <c r="R667" s="146"/>
      <c r="S667" s="147"/>
      <c r="T667" s="146"/>
      <c r="U667" s="146"/>
      <c r="V667" s="146"/>
      <c r="W667" s="146"/>
      <c r="X667" s="146"/>
      <c r="Y667" s="146"/>
      <c r="Z667" s="146"/>
      <c r="AA667" s="146"/>
      <c r="AB667" s="146"/>
      <c r="AC667" s="146"/>
      <c r="AD667" s="146"/>
      <c r="AE667" s="146"/>
      <c r="AF667" s="146"/>
      <c r="AG667" s="146"/>
      <c r="AH667" s="146"/>
      <c r="AI667" s="146"/>
    </row>
    <row r="668" spans="1:35" ht="13.5" customHeight="1" x14ac:dyDescent="0.25">
      <c r="A668" s="28"/>
      <c r="B668" s="28"/>
      <c r="C668" s="28"/>
      <c r="D668" s="28"/>
      <c r="E668" s="28"/>
      <c r="F668" s="28"/>
      <c r="G668" s="29"/>
      <c r="H668" s="28"/>
      <c r="I668" s="147"/>
      <c r="J668" s="147"/>
      <c r="K668" s="146"/>
      <c r="L668" s="146"/>
      <c r="M668" s="146"/>
      <c r="N668" s="146"/>
      <c r="O668" s="146"/>
      <c r="P668" s="146"/>
      <c r="Q668" s="30"/>
      <c r="R668" s="146"/>
      <c r="S668" s="147"/>
      <c r="T668" s="146"/>
      <c r="U668" s="146"/>
      <c r="V668" s="146"/>
      <c r="W668" s="146"/>
      <c r="X668" s="146"/>
      <c r="Y668" s="146"/>
      <c r="Z668" s="146"/>
      <c r="AA668" s="146"/>
      <c r="AB668" s="146"/>
      <c r="AC668" s="146"/>
      <c r="AD668" s="146"/>
      <c r="AE668" s="146"/>
      <c r="AF668" s="146"/>
      <c r="AG668" s="146"/>
      <c r="AH668" s="146"/>
      <c r="AI668" s="146"/>
    </row>
    <row r="669" spans="1:35" ht="13.5" customHeight="1" x14ac:dyDescent="0.25">
      <c r="A669" s="28"/>
      <c r="B669" s="28"/>
      <c r="C669" s="28"/>
      <c r="D669" s="28"/>
      <c r="E669" s="28"/>
      <c r="F669" s="28"/>
      <c r="G669" s="29"/>
      <c r="H669" s="28"/>
      <c r="I669" s="147"/>
      <c r="J669" s="147"/>
      <c r="K669" s="146"/>
      <c r="L669" s="146"/>
      <c r="M669" s="146"/>
      <c r="N669" s="146"/>
      <c r="O669" s="146"/>
      <c r="P669" s="146"/>
      <c r="Q669" s="30"/>
      <c r="R669" s="146"/>
      <c r="S669" s="147"/>
      <c r="T669" s="146"/>
      <c r="U669" s="146"/>
      <c r="V669" s="146"/>
      <c r="W669" s="146"/>
      <c r="X669" s="146"/>
      <c r="Y669" s="146"/>
      <c r="Z669" s="146"/>
      <c r="AA669" s="146"/>
      <c r="AB669" s="146"/>
      <c r="AC669" s="146"/>
      <c r="AD669" s="146"/>
      <c r="AE669" s="146"/>
      <c r="AF669" s="146"/>
      <c r="AG669" s="146"/>
      <c r="AH669" s="146"/>
      <c r="AI669" s="146"/>
    </row>
    <row r="670" spans="1:35" ht="13.5" customHeight="1" x14ac:dyDescent="0.25">
      <c r="A670" s="28"/>
      <c r="B670" s="28"/>
      <c r="C670" s="28"/>
      <c r="D670" s="28"/>
      <c r="E670" s="28"/>
      <c r="F670" s="28"/>
      <c r="G670" s="29"/>
      <c r="H670" s="28"/>
      <c r="I670" s="147"/>
      <c r="J670" s="147"/>
      <c r="K670" s="146"/>
      <c r="L670" s="146"/>
      <c r="M670" s="146"/>
      <c r="N670" s="146"/>
      <c r="O670" s="146"/>
      <c r="P670" s="146"/>
      <c r="Q670" s="30"/>
      <c r="R670" s="146"/>
      <c r="S670" s="147"/>
      <c r="T670" s="146"/>
      <c r="U670" s="146"/>
      <c r="V670" s="146"/>
      <c r="W670" s="146"/>
      <c r="X670" s="146"/>
      <c r="Y670" s="146"/>
      <c r="Z670" s="146"/>
      <c r="AA670" s="146"/>
      <c r="AB670" s="146"/>
      <c r="AC670" s="146"/>
      <c r="AD670" s="146"/>
      <c r="AE670" s="146"/>
      <c r="AF670" s="146"/>
      <c r="AG670" s="146"/>
      <c r="AH670" s="146"/>
      <c r="AI670" s="146"/>
    </row>
    <row r="671" spans="1:35" ht="13.5" customHeight="1" x14ac:dyDescent="0.25">
      <c r="A671" s="28"/>
      <c r="B671" s="28"/>
      <c r="C671" s="28"/>
      <c r="D671" s="28"/>
      <c r="E671" s="28"/>
      <c r="F671" s="28"/>
      <c r="G671" s="29"/>
      <c r="H671" s="28"/>
      <c r="I671" s="147"/>
      <c r="J671" s="147"/>
      <c r="K671" s="146"/>
      <c r="L671" s="146"/>
      <c r="M671" s="146"/>
      <c r="N671" s="146"/>
      <c r="O671" s="146"/>
      <c r="P671" s="146"/>
      <c r="Q671" s="30"/>
      <c r="R671" s="146"/>
      <c r="S671" s="147"/>
      <c r="T671" s="146"/>
      <c r="U671" s="146"/>
      <c r="V671" s="146"/>
      <c r="W671" s="146"/>
      <c r="X671" s="146"/>
      <c r="Y671" s="146"/>
      <c r="Z671" s="146"/>
      <c r="AA671" s="146"/>
      <c r="AB671" s="146"/>
      <c r="AC671" s="146"/>
      <c r="AD671" s="146"/>
      <c r="AE671" s="146"/>
      <c r="AF671" s="146"/>
      <c r="AG671" s="146"/>
      <c r="AH671" s="146"/>
      <c r="AI671" s="146"/>
    </row>
    <row r="672" spans="1:35" ht="13.5" customHeight="1" x14ac:dyDescent="0.25">
      <c r="A672" s="28"/>
      <c r="B672" s="28"/>
      <c r="C672" s="28"/>
      <c r="D672" s="28"/>
      <c r="E672" s="28"/>
      <c r="F672" s="28"/>
      <c r="G672" s="29"/>
      <c r="H672" s="28"/>
      <c r="I672" s="147"/>
      <c r="J672" s="147"/>
      <c r="K672" s="146"/>
      <c r="L672" s="146"/>
      <c r="M672" s="146"/>
      <c r="N672" s="146"/>
      <c r="O672" s="146"/>
      <c r="P672" s="146"/>
      <c r="Q672" s="30"/>
      <c r="R672" s="146"/>
      <c r="S672" s="147"/>
      <c r="T672" s="146"/>
      <c r="U672" s="146"/>
      <c r="V672" s="146"/>
      <c r="W672" s="146"/>
      <c r="X672" s="146"/>
      <c r="Y672" s="146"/>
      <c r="Z672" s="146"/>
      <c r="AA672" s="146"/>
      <c r="AB672" s="146"/>
      <c r="AC672" s="146"/>
      <c r="AD672" s="146"/>
      <c r="AE672" s="146"/>
      <c r="AF672" s="146"/>
      <c r="AG672" s="146"/>
      <c r="AH672" s="146"/>
      <c r="AI672" s="146"/>
    </row>
    <row r="673" spans="1:35" ht="13.5" customHeight="1" x14ac:dyDescent="0.25">
      <c r="A673" s="28"/>
      <c r="B673" s="28"/>
      <c r="C673" s="28"/>
      <c r="D673" s="28"/>
      <c r="E673" s="28"/>
      <c r="F673" s="28"/>
      <c r="G673" s="29"/>
      <c r="H673" s="28"/>
      <c r="I673" s="147"/>
      <c r="J673" s="147"/>
      <c r="K673" s="146"/>
      <c r="L673" s="146"/>
      <c r="M673" s="146"/>
      <c r="N673" s="146"/>
      <c r="O673" s="146"/>
      <c r="P673" s="146"/>
      <c r="Q673" s="30"/>
      <c r="R673" s="146"/>
      <c r="S673" s="147"/>
      <c r="T673" s="146"/>
      <c r="U673" s="146"/>
      <c r="V673" s="146"/>
      <c r="W673" s="146"/>
      <c r="X673" s="146"/>
      <c r="Y673" s="146"/>
      <c r="Z673" s="146"/>
      <c r="AA673" s="146"/>
      <c r="AB673" s="146"/>
      <c r="AC673" s="146"/>
      <c r="AD673" s="146"/>
      <c r="AE673" s="146"/>
      <c r="AF673" s="146"/>
      <c r="AG673" s="146"/>
      <c r="AH673" s="146"/>
      <c r="AI673" s="146"/>
    </row>
    <row r="674" spans="1:35" ht="13.5" customHeight="1" x14ac:dyDescent="0.25">
      <c r="A674" s="28"/>
      <c r="B674" s="28"/>
      <c r="C674" s="28"/>
      <c r="D674" s="28"/>
      <c r="E674" s="28"/>
      <c r="F674" s="28"/>
      <c r="G674" s="29"/>
      <c r="H674" s="28"/>
      <c r="I674" s="147"/>
      <c r="J674" s="147"/>
      <c r="K674" s="146"/>
      <c r="L674" s="146"/>
      <c r="M674" s="146"/>
      <c r="N674" s="146"/>
      <c r="O674" s="146"/>
      <c r="P674" s="146"/>
      <c r="Q674" s="30"/>
      <c r="R674" s="146"/>
      <c r="S674" s="147"/>
      <c r="T674" s="146"/>
      <c r="U674" s="146"/>
      <c r="V674" s="146"/>
      <c r="W674" s="146"/>
      <c r="X674" s="146"/>
      <c r="Y674" s="146"/>
      <c r="Z674" s="146"/>
      <c r="AA674" s="146"/>
      <c r="AB674" s="146"/>
      <c r="AC674" s="146"/>
      <c r="AD674" s="146"/>
      <c r="AE674" s="146"/>
      <c r="AF674" s="146"/>
      <c r="AG674" s="146"/>
      <c r="AH674" s="146"/>
      <c r="AI674" s="146"/>
    </row>
    <row r="675" spans="1:35" ht="13.5" customHeight="1" x14ac:dyDescent="0.25">
      <c r="A675" s="28"/>
      <c r="B675" s="28"/>
      <c r="C675" s="28"/>
      <c r="D675" s="28"/>
      <c r="E675" s="28"/>
      <c r="F675" s="28"/>
      <c r="G675" s="29"/>
      <c r="H675" s="28"/>
      <c r="I675" s="147"/>
      <c r="J675" s="147"/>
      <c r="K675" s="146"/>
      <c r="L675" s="146"/>
      <c r="M675" s="146"/>
      <c r="N675" s="146"/>
      <c r="O675" s="146"/>
      <c r="P675" s="146"/>
      <c r="Q675" s="30"/>
      <c r="R675" s="146"/>
      <c r="S675" s="147"/>
      <c r="T675" s="146"/>
      <c r="U675" s="146"/>
      <c r="V675" s="146"/>
      <c r="W675" s="146"/>
      <c r="X675" s="146"/>
      <c r="Y675" s="146"/>
      <c r="Z675" s="146"/>
      <c r="AA675" s="146"/>
      <c r="AB675" s="146"/>
      <c r="AC675" s="146"/>
      <c r="AD675" s="146"/>
      <c r="AE675" s="146"/>
      <c r="AF675" s="146"/>
      <c r="AG675" s="146"/>
      <c r="AH675" s="146"/>
      <c r="AI675" s="146"/>
    </row>
    <row r="676" spans="1:35" ht="13.5" customHeight="1" x14ac:dyDescent="0.25">
      <c r="A676" s="28"/>
      <c r="B676" s="28"/>
      <c r="C676" s="28"/>
      <c r="D676" s="28"/>
      <c r="E676" s="28"/>
      <c r="F676" s="28"/>
      <c r="G676" s="29"/>
      <c r="H676" s="28"/>
      <c r="I676" s="147"/>
      <c r="J676" s="147"/>
      <c r="K676" s="146"/>
      <c r="L676" s="146"/>
      <c r="M676" s="146"/>
      <c r="N676" s="146"/>
      <c r="O676" s="146"/>
      <c r="P676" s="146"/>
      <c r="Q676" s="30"/>
      <c r="R676" s="146"/>
      <c r="S676" s="147"/>
      <c r="T676" s="146"/>
      <c r="U676" s="146"/>
      <c r="V676" s="146"/>
      <c r="W676" s="146"/>
      <c r="X676" s="146"/>
      <c r="Y676" s="146"/>
      <c r="Z676" s="146"/>
      <c r="AA676" s="146"/>
      <c r="AB676" s="146"/>
      <c r="AC676" s="146"/>
      <c r="AD676" s="146"/>
      <c r="AE676" s="146"/>
      <c r="AF676" s="146"/>
      <c r="AG676" s="146"/>
      <c r="AH676" s="146"/>
      <c r="AI676" s="146"/>
    </row>
    <row r="677" spans="1:35" ht="13.5" customHeight="1" x14ac:dyDescent="0.25">
      <c r="A677" s="28"/>
      <c r="B677" s="28"/>
      <c r="C677" s="28"/>
      <c r="D677" s="28"/>
      <c r="E677" s="28"/>
      <c r="F677" s="28"/>
      <c r="G677" s="29"/>
      <c r="H677" s="28"/>
      <c r="I677" s="147"/>
      <c r="J677" s="147"/>
      <c r="K677" s="146"/>
      <c r="L677" s="146"/>
      <c r="M677" s="146"/>
      <c r="N677" s="146"/>
      <c r="O677" s="146"/>
      <c r="P677" s="146"/>
      <c r="Q677" s="30"/>
      <c r="R677" s="146"/>
      <c r="S677" s="147"/>
      <c r="T677" s="146"/>
      <c r="U677" s="146"/>
      <c r="V677" s="146"/>
      <c r="W677" s="146"/>
      <c r="X677" s="146"/>
      <c r="Y677" s="146"/>
      <c r="Z677" s="146"/>
      <c r="AA677" s="146"/>
      <c r="AB677" s="146"/>
      <c r="AC677" s="146"/>
      <c r="AD677" s="146"/>
      <c r="AE677" s="146"/>
      <c r="AF677" s="146"/>
      <c r="AG677" s="146"/>
      <c r="AH677" s="146"/>
      <c r="AI677" s="146"/>
    </row>
    <row r="678" spans="1:35" ht="13.5" customHeight="1" x14ac:dyDescent="0.25">
      <c r="A678" s="28"/>
      <c r="B678" s="28"/>
      <c r="C678" s="28"/>
      <c r="D678" s="28"/>
      <c r="E678" s="28"/>
      <c r="F678" s="28"/>
      <c r="G678" s="29"/>
      <c r="H678" s="28"/>
      <c r="I678" s="147"/>
      <c r="J678" s="147"/>
      <c r="K678" s="146"/>
      <c r="L678" s="146"/>
      <c r="M678" s="146"/>
      <c r="N678" s="146"/>
      <c r="O678" s="146"/>
      <c r="P678" s="146"/>
      <c r="Q678" s="30"/>
      <c r="R678" s="146"/>
      <c r="S678" s="147"/>
      <c r="T678" s="146"/>
      <c r="U678" s="146"/>
      <c r="V678" s="146"/>
      <c r="W678" s="146"/>
      <c r="X678" s="146"/>
      <c r="Y678" s="146"/>
      <c r="Z678" s="146"/>
      <c r="AA678" s="146"/>
      <c r="AB678" s="146"/>
      <c r="AC678" s="146"/>
      <c r="AD678" s="146"/>
      <c r="AE678" s="146"/>
      <c r="AF678" s="146"/>
      <c r="AG678" s="146"/>
      <c r="AH678" s="146"/>
      <c r="AI678" s="146"/>
    </row>
    <row r="679" spans="1:35" ht="13.5" customHeight="1" x14ac:dyDescent="0.25">
      <c r="A679" s="28"/>
      <c r="B679" s="28"/>
      <c r="C679" s="28"/>
      <c r="D679" s="28"/>
      <c r="E679" s="28"/>
      <c r="F679" s="28"/>
      <c r="G679" s="29"/>
      <c r="H679" s="28"/>
      <c r="I679" s="147"/>
      <c r="J679" s="147"/>
      <c r="K679" s="146"/>
      <c r="L679" s="146"/>
      <c r="M679" s="146"/>
      <c r="N679" s="146"/>
      <c r="O679" s="146"/>
      <c r="P679" s="146"/>
      <c r="Q679" s="30"/>
      <c r="R679" s="146"/>
      <c r="S679" s="147"/>
      <c r="T679" s="146"/>
      <c r="U679" s="146"/>
      <c r="V679" s="146"/>
      <c r="W679" s="146"/>
      <c r="X679" s="146"/>
      <c r="Y679" s="146"/>
      <c r="Z679" s="146"/>
      <c r="AA679" s="146"/>
      <c r="AB679" s="146"/>
      <c r="AC679" s="146"/>
      <c r="AD679" s="146"/>
      <c r="AE679" s="146"/>
      <c r="AF679" s="146"/>
      <c r="AG679" s="146"/>
      <c r="AH679" s="146"/>
      <c r="AI679" s="146"/>
    </row>
    <row r="680" spans="1:35" ht="13.5" customHeight="1" x14ac:dyDescent="0.25">
      <c r="A680" s="28"/>
      <c r="B680" s="28"/>
      <c r="C680" s="28"/>
      <c r="D680" s="28"/>
      <c r="E680" s="28"/>
      <c r="F680" s="28"/>
      <c r="G680" s="29"/>
      <c r="H680" s="28"/>
      <c r="I680" s="147"/>
      <c r="J680" s="147"/>
      <c r="K680" s="146"/>
      <c r="L680" s="146"/>
      <c r="M680" s="146"/>
      <c r="N680" s="146"/>
      <c r="O680" s="146"/>
      <c r="P680" s="146"/>
      <c r="Q680" s="30"/>
      <c r="R680" s="146"/>
      <c r="S680" s="147"/>
      <c r="T680" s="146"/>
      <c r="U680" s="146"/>
      <c r="V680" s="146"/>
      <c r="W680" s="146"/>
      <c r="X680" s="146"/>
      <c r="Y680" s="146"/>
      <c r="Z680" s="146"/>
      <c r="AA680" s="146"/>
      <c r="AB680" s="146"/>
      <c r="AC680" s="146"/>
      <c r="AD680" s="146"/>
      <c r="AE680" s="146"/>
      <c r="AF680" s="146"/>
      <c r="AG680" s="146"/>
      <c r="AH680" s="146"/>
      <c r="AI680" s="146"/>
    </row>
    <row r="681" spans="1:35" ht="13.5" customHeight="1" x14ac:dyDescent="0.25">
      <c r="A681" s="28"/>
      <c r="B681" s="28"/>
      <c r="C681" s="28"/>
      <c r="D681" s="28"/>
      <c r="E681" s="28"/>
      <c r="F681" s="28"/>
      <c r="G681" s="29"/>
      <c r="H681" s="28"/>
      <c r="I681" s="147"/>
      <c r="J681" s="147"/>
      <c r="K681" s="146"/>
      <c r="L681" s="146"/>
      <c r="M681" s="146"/>
      <c r="N681" s="146"/>
      <c r="O681" s="146"/>
      <c r="P681" s="146"/>
      <c r="Q681" s="30"/>
      <c r="R681" s="146"/>
      <c r="S681" s="147"/>
      <c r="T681" s="146"/>
      <c r="U681" s="146"/>
      <c r="V681" s="146"/>
      <c r="W681" s="146"/>
      <c r="X681" s="146"/>
      <c r="Y681" s="146"/>
      <c r="Z681" s="146"/>
      <c r="AA681" s="146"/>
      <c r="AB681" s="146"/>
      <c r="AC681" s="146"/>
      <c r="AD681" s="146"/>
      <c r="AE681" s="146"/>
      <c r="AF681" s="146"/>
      <c r="AG681" s="146"/>
      <c r="AH681" s="146"/>
      <c r="AI681" s="146"/>
    </row>
    <row r="682" spans="1:35" ht="13.5" customHeight="1" x14ac:dyDescent="0.25">
      <c r="A682" s="28"/>
      <c r="B682" s="28"/>
      <c r="C682" s="28"/>
      <c r="D682" s="28"/>
      <c r="E682" s="28"/>
      <c r="F682" s="28"/>
      <c r="G682" s="29"/>
      <c r="H682" s="28"/>
      <c r="I682" s="147"/>
      <c r="J682" s="147"/>
      <c r="K682" s="146"/>
      <c r="L682" s="146"/>
      <c r="M682" s="146"/>
      <c r="N682" s="146"/>
      <c r="O682" s="146"/>
      <c r="P682" s="146"/>
      <c r="Q682" s="30"/>
      <c r="R682" s="146"/>
      <c r="S682" s="147"/>
      <c r="T682" s="146"/>
      <c r="U682" s="146"/>
      <c r="V682" s="146"/>
      <c r="W682" s="146"/>
      <c r="X682" s="146"/>
      <c r="Y682" s="146"/>
      <c r="Z682" s="146"/>
      <c r="AA682" s="146"/>
      <c r="AB682" s="146"/>
      <c r="AC682" s="146"/>
      <c r="AD682" s="146"/>
      <c r="AE682" s="146"/>
      <c r="AF682" s="146"/>
      <c r="AG682" s="146"/>
      <c r="AH682" s="146"/>
      <c r="AI682" s="146"/>
    </row>
    <row r="683" spans="1:35" ht="13.5" customHeight="1" x14ac:dyDescent="0.25">
      <c r="A683" s="28"/>
      <c r="B683" s="28"/>
      <c r="C683" s="28"/>
      <c r="D683" s="28"/>
      <c r="E683" s="28"/>
      <c r="F683" s="28"/>
      <c r="G683" s="29"/>
      <c r="H683" s="28"/>
      <c r="I683" s="147"/>
      <c r="J683" s="147"/>
      <c r="K683" s="146"/>
      <c r="L683" s="146"/>
      <c r="M683" s="146"/>
      <c r="N683" s="146"/>
      <c r="O683" s="146"/>
      <c r="P683" s="146"/>
      <c r="Q683" s="30"/>
      <c r="R683" s="146"/>
      <c r="S683" s="147"/>
      <c r="T683" s="146"/>
      <c r="U683" s="146"/>
      <c r="V683" s="146"/>
      <c r="W683" s="146"/>
      <c r="X683" s="146"/>
      <c r="Y683" s="146"/>
      <c r="Z683" s="146"/>
      <c r="AA683" s="146"/>
      <c r="AB683" s="146"/>
      <c r="AC683" s="146"/>
      <c r="AD683" s="146"/>
      <c r="AE683" s="146"/>
      <c r="AF683" s="146"/>
      <c r="AG683" s="146"/>
      <c r="AH683" s="146"/>
      <c r="AI683" s="146"/>
    </row>
    <row r="684" spans="1:35" ht="13.5" customHeight="1" x14ac:dyDescent="0.25">
      <c r="A684" s="28"/>
      <c r="B684" s="28"/>
      <c r="C684" s="28"/>
      <c r="D684" s="28"/>
      <c r="E684" s="28"/>
      <c r="F684" s="28"/>
      <c r="G684" s="29"/>
      <c r="H684" s="28"/>
      <c r="I684" s="147"/>
      <c r="J684" s="147"/>
      <c r="K684" s="146"/>
      <c r="L684" s="146"/>
      <c r="M684" s="146"/>
      <c r="N684" s="146"/>
      <c r="O684" s="146"/>
      <c r="P684" s="146"/>
      <c r="Q684" s="30"/>
      <c r="R684" s="146"/>
      <c r="S684" s="147"/>
      <c r="T684" s="146"/>
      <c r="U684" s="146"/>
      <c r="V684" s="146"/>
      <c r="W684" s="146"/>
      <c r="X684" s="146"/>
      <c r="Y684" s="146"/>
      <c r="Z684" s="146"/>
      <c r="AA684" s="146"/>
      <c r="AB684" s="146"/>
      <c r="AC684" s="146"/>
      <c r="AD684" s="146"/>
      <c r="AE684" s="146"/>
      <c r="AF684" s="146"/>
      <c r="AG684" s="146"/>
      <c r="AH684" s="146"/>
      <c r="AI684" s="146"/>
    </row>
    <row r="685" spans="1:35" ht="13.5" customHeight="1" x14ac:dyDescent="0.25">
      <c r="A685" s="28"/>
      <c r="B685" s="28"/>
      <c r="C685" s="28"/>
      <c r="D685" s="28"/>
      <c r="E685" s="28"/>
      <c r="F685" s="28"/>
      <c r="G685" s="29"/>
      <c r="H685" s="28"/>
      <c r="I685" s="147"/>
      <c r="J685" s="147"/>
      <c r="K685" s="146"/>
      <c r="L685" s="146"/>
      <c r="M685" s="146"/>
      <c r="N685" s="146"/>
      <c r="O685" s="146"/>
      <c r="P685" s="146"/>
      <c r="Q685" s="30"/>
      <c r="R685" s="146"/>
      <c r="S685" s="147"/>
      <c r="T685" s="146"/>
      <c r="U685" s="146"/>
      <c r="V685" s="146"/>
      <c r="W685" s="146"/>
      <c r="X685" s="146"/>
      <c r="Y685" s="146"/>
      <c r="Z685" s="146"/>
      <c r="AA685" s="146"/>
      <c r="AB685" s="146"/>
      <c r="AC685" s="146"/>
      <c r="AD685" s="146"/>
      <c r="AE685" s="146"/>
      <c r="AF685" s="146"/>
      <c r="AG685" s="146"/>
      <c r="AH685" s="146"/>
      <c r="AI685" s="146"/>
    </row>
    <row r="686" spans="1:35" ht="13.5" customHeight="1" x14ac:dyDescent="0.25">
      <c r="A686" s="28"/>
      <c r="B686" s="28"/>
      <c r="C686" s="28"/>
      <c r="D686" s="28"/>
      <c r="E686" s="28"/>
      <c r="F686" s="28"/>
      <c r="G686" s="29"/>
      <c r="H686" s="28"/>
      <c r="I686" s="147"/>
      <c r="J686" s="147"/>
      <c r="K686" s="146"/>
      <c r="L686" s="146"/>
      <c r="M686" s="146"/>
      <c r="N686" s="146"/>
      <c r="O686" s="146"/>
      <c r="P686" s="146"/>
      <c r="Q686" s="30"/>
      <c r="R686" s="146"/>
      <c r="S686" s="147"/>
      <c r="T686" s="146"/>
      <c r="U686" s="146"/>
      <c r="V686" s="146"/>
      <c r="W686" s="146"/>
      <c r="X686" s="146"/>
      <c r="Y686" s="146"/>
      <c r="Z686" s="146"/>
      <c r="AA686" s="146"/>
      <c r="AB686" s="146"/>
      <c r="AC686" s="146"/>
      <c r="AD686" s="146"/>
      <c r="AE686" s="146"/>
      <c r="AF686" s="146"/>
      <c r="AG686" s="146"/>
      <c r="AH686" s="146"/>
      <c r="AI686" s="146"/>
    </row>
    <row r="687" spans="1:35" ht="13.5" customHeight="1" x14ac:dyDescent="0.25">
      <c r="A687" s="28"/>
      <c r="B687" s="28"/>
      <c r="C687" s="28"/>
      <c r="D687" s="28"/>
      <c r="E687" s="28"/>
      <c r="F687" s="28"/>
      <c r="G687" s="29"/>
      <c r="H687" s="28"/>
      <c r="I687" s="147"/>
      <c r="J687" s="147"/>
      <c r="K687" s="146"/>
      <c r="L687" s="146"/>
      <c r="M687" s="146"/>
      <c r="N687" s="146"/>
      <c r="O687" s="146"/>
      <c r="P687" s="146"/>
      <c r="Q687" s="30"/>
      <c r="R687" s="146"/>
      <c r="S687" s="147"/>
      <c r="T687" s="146"/>
      <c r="U687" s="146"/>
      <c r="V687" s="146"/>
      <c r="W687" s="146"/>
      <c r="X687" s="146"/>
      <c r="Y687" s="146"/>
      <c r="Z687" s="146"/>
      <c r="AA687" s="146"/>
      <c r="AB687" s="146"/>
      <c r="AC687" s="146"/>
      <c r="AD687" s="146"/>
      <c r="AE687" s="146"/>
      <c r="AF687" s="146"/>
      <c r="AG687" s="146"/>
      <c r="AH687" s="146"/>
      <c r="AI687" s="146"/>
    </row>
    <row r="688" spans="1:35" ht="13.5" customHeight="1" x14ac:dyDescent="0.25">
      <c r="A688" s="28"/>
      <c r="B688" s="28"/>
      <c r="C688" s="28"/>
      <c r="D688" s="28"/>
      <c r="E688" s="28"/>
      <c r="F688" s="28"/>
      <c r="G688" s="29"/>
      <c r="H688" s="28"/>
      <c r="I688" s="147"/>
      <c r="J688" s="147"/>
      <c r="K688" s="146"/>
      <c r="L688" s="146"/>
      <c r="M688" s="146"/>
      <c r="N688" s="146"/>
      <c r="O688" s="146"/>
      <c r="P688" s="146"/>
      <c r="Q688" s="30"/>
      <c r="R688" s="146"/>
      <c r="S688" s="147"/>
      <c r="T688" s="146"/>
      <c r="U688" s="146"/>
      <c r="V688" s="146"/>
      <c r="W688" s="146"/>
      <c r="X688" s="146"/>
      <c r="Y688" s="146"/>
      <c r="Z688" s="146"/>
      <c r="AA688" s="146"/>
      <c r="AB688" s="146"/>
      <c r="AC688" s="146"/>
      <c r="AD688" s="146"/>
      <c r="AE688" s="146"/>
      <c r="AF688" s="146"/>
      <c r="AG688" s="146"/>
      <c r="AH688" s="146"/>
      <c r="AI688" s="146"/>
    </row>
    <row r="689" spans="1:35" ht="13.5" customHeight="1" x14ac:dyDescent="0.25">
      <c r="A689" s="28"/>
      <c r="B689" s="28"/>
      <c r="C689" s="28"/>
      <c r="D689" s="28"/>
      <c r="E689" s="28"/>
      <c r="F689" s="28"/>
      <c r="G689" s="29"/>
      <c r="H689" s="28"/>
      <c r="I689" s="147"/>
      <c r="J689" s="147"/>
      <c r="K689" s="146"/>
      <c r="L689" s="146"/>
      <c r="M689" s="146"/>
      <c r="N689" s="146"/>
      <c r="O689" s="146"/>
      <c r="P689" s="146"/>
      <c r="Q689" s="30"/>
      <c r="R689" s="146"/>
      <c r="S689" s="147"/>
      <c r="T689" s="146"/>
      <c r="U689" s="146"/>
      <c r="V689" s="146"/>
      <c r="W689" s="146"/>
      <c r="X689" s="146"/>
      <c r="Y689" s="146"/>
      <c r="Z689" s="146"/>
      <c r="AA689" s="146"/>
      <c r="AB689" s="146"/>
      <c r="AC689" s="146"/>
      <c r="AD689" s="146"/>
      <c r="AE689" s="146"/>
      <c r="AF689" s="146"/>
      <c r="AG689" s="146"/>
      <c r="AH689" s="146"/>
      <c r="AI689" s="146"/>
    </row>
    <row r="690" spans="1:35" ht="13.5" customHeight="1" x14ac:dyDescent="0.25">
      <c r="A690" s="28"/>
      <c r="B690" s="28"/>
      <c r="C690" s="28"/>
      <c r="D690" s="28"/>
      <c r="E690" s="28"/>
      <c r="F690" s="28"/>
      <c r="G690" s="29"/>
      <c r="H690" s="28"/>
      <c r="I690" s="147"/>
      <c r="J690" s="147"/>
      <c r="K690" s="146"/>
      <c r="L690" s="146"/>
      <c r="M690" s="146"/>
      <c r="N690" s="146"/>
      <c r="O690" s="146"/>
      <c r="P690" s="146"/>
      <c r="Q690" s="30"/>
      <c r="R690" s="146"/>
      <c r="S690" s="147"/>
      <c r="T690" s="146"/>
      <c r="U690" s="146"/>
      <c r="V690" s="146"/>
      <c r="W690" s="146"/>
      <c r="X690" s="146"/>
      <c r="Y690" s="146"/>
      <c r="Z690" s="146"/>
      <c r="AA690" s="146"/>
      <c r="AB690" s="146"/>
      <c r="AC690" s="146"/>
      <c r="AD690" s="146"/>
      <c r="AE690" s="146"/>
      <c r="AF690" s="146"/>
      <c r="AG690" s="146"/>
      <c r="AH690" s="146"/>
      <c r="AI690" s="146"/>
    </row>
    <row r="691" spans="1:35" ht="13.5" customHeight="1" x14ac:dyDescent="0.25">
      <c r="A691" s="28"/>
      <c r="B691" s="28"/>
      <c r="C691" s="28"/>
      <c r="D691" s="28"/>
      <c r="E691" s="28"/>
      <c r="F691" s="28"/>
      <c r="G691" s="29"/>
      <c r="H691" s="28"/>
      <c r="I691" s="147"/>
      <c r="J691" s="147"/>
      <c r="K691" s="146"/>
      <c r="L691" s="146"/>
      <c r="M691" s="146"/>
      <c r="N691" s="146"/>
      <c r="O691" s="146"/>
      <c r="P691" s="146"/>
      <c r="Q691" s="30"/>
      <c r="R691" s="146"/>
      <c r="S691" s="147"/>
      <c r="T691" s="146"/>
      <c r="U691" s="146"/>
      <c r="V691" s="146"/>
      <c r="W691" s="146"/>
      <c r="X691" s="146"/>
      <c r="Y691" s="146"/>
      <c r="Z691" s="146"/>
      <c r="AA691" s="146"/>
      <c r="AB691" s="146"/>
      <c r="AC691" s="146"/>
      <c r="AD691" s="146"/>
      <c r="AE691" s="146"/>
      <c r="AF691" s="146"/>
      <c r="AG691" s="146"/>
      <c r="AH691" s="146"/>
      <c r="AI691" s="146"/>
    </row>
    <row r="692" spans="1:35" ht="13.5" customHeight="1" x14ac:dyDescent="0.25">
      <c r="A692" s="28"/>
      <c r="B692" s="28"/>
      <c r="C692" s="28"/>
      <c r="D692" s="28"/>
      <c r="E692" s="28"/>
      <c r="F692" s="28"/>
      <c r="G692" s="29"/>
      <c r="H692" s="28"/>
      <c r="I692" s="147"/>
      <c r="J692" s="147"/>
      <c r="K692" s="146"/>
      <c r="L692" s="146"/>
      <c r="M692" s="146"/>
      <c r="N692" s="146"/>
      <c r="O692" s="146"/>
      <c r="P692" s="146"/>
      <c r="Q692" s="30"/>
      <c r="R692" s="146"/>
      <c r="S692" s="147"/>
      <c r="T692" s="146"/>
      <c r="U692" s="146"/>
      <c r="V692" s="146"/>
      <c r="W692" s="146"/>
      <c r="X692" s="146"/>
      <c r="Y692" s="146"/>
      <c r="Z692" s="146"/>
      <c r="AA692" s="146"/>
      <c r="AB692" s="146"/>
      <c r="AC692" s="146"/>
      <c r="AD692" s="146"/>
      <c r="AE692" s="146"/>
      <c r="AF692" s="146"/>
      <c r="AG692" s="146"/>
      <c r="AH692" s="146"/>
      <c r="AI692" s="146"/>
    </row>
    <row r="693" spans="1:35" ht="13.5" customHeight="1" x14ac:dyDescent="0.25">
      <c r="A693" s="28"/>
      <c r="B693" s="28"/>
      <c r="C693" s="28"/>
      <c r="D693" s="28"/>
      <c r="E693" s="28"/>
      <c r="F693" s="28"/>
      <c r="G693" s="29"/>
      <c r="H693" s="28"/>
      <c r="I693" s="147"/>
      <c r="J693" s="147"/>
      <c r="K693" s="146"/>
      <c r="L693" s="146"/>
      <c r="M693" s="146"/>
      <c r="N693" s="146"/>
      <c r="O693" s="146"/>
      <c r="P693" s="146"/>
      <c r="Q693" s="30"/>
      <c r="R693" s="146"/>
      <c r="S693" s="147"/>
      <c r="T693" s="146"/>
      <c r="U693" s="146"/>
      <c r="V693" s="146"/>
      <c r="W693" s="146"/>
      <c r="X693" s="146"/>
      <c r="Y693" s="146"/>
      <c r="Z693" s="146"/>
      <c r="AA693" s="146"/>
      <c r="AB693" s="146"/>
      <c r="AC693" s="146"/>
      <c r="AD693" s="146"/>
      <c r="AE693" s="146"/>
      <c r="AF693" s="146"/>
      <c r="AG693" s="146"/>
      <c r="AH693" s="146"/>
      <c r="AI693" s="146"/>
    </row>
    <row r="694" spans="1:35" ht="13.5" customHeight="1" x14ac:dyDescent="0.25">
      <c r="A694" s="28"/>
      <c r="B694" s="28"/>
      <c r="C694" s="28"/>
      <c r="D694" s="28"/>
      <c r="E694" s="28"/>
      <c r="F694" s="28"/>
      <c r="G694" s="29"/>
      <c r="H694" s="28"/>
      <c r="I694" s="147"/>
      <c r="J694" s="147"/>
      <c r="K694" s="146"/>
      <c r="L694" s="146"/>
      <c r="M694" s="146"/>
      <c r="N694" s="146"/>
      <c r="O694" s="146"/>
      <c r="P694" s="146"/>
      <c r="Q694" s="30"/>
      <c r="R694" s="146"/>
      <c r="S694" s="147"/>
      <c r="T694" s="146"/>
      <c r="U694" s="146"/>
      <c r="V694" s="146"/>
      <c r="W694" s="146"/>
      <c r="X694" s="146"/>
      <c r="Y694" s="146"/>
      <c r="Z694" s="146"/>
      <c r="AA694" s="146"/>
      <c r="AB694" s="146"/>
      <c r="AC694" s="146"/>
      <c r="AD694" s="146"/>
      <c r="AE694" s="146"/>
      <c r="AF694" s="146"/>
      <c r="AG694" s="146"/>
      <c r="AH694" s="146"/>
      <c r="AI694" s="146"/>
    </row>
    <row r="695" spans="1:35" ht="13.5" customHeight="1" x14ac:dyDescent="0.25">
      <c r="A695" s="28"/>
      <c r="B695" s="28"/>
      <c r="C695" s="28"/>
      <c r="D695" s="28"/>
      <c r="E695" s="28"/>
      <c r="F695" s="28"/>
      <c r="G695" s="29"/>
      <c r="H695" s="28"/>
      <c r="I695" s="147"/>
      <c r="J695" s="147"/>
      <c r="K695" s="146"/>
      <c r="L695" s="146"/>
      <c r="M695" s="146"/>
      <c r="N695" s="146"/>
      <c r="O695" s="146"/>
      <c r="P695" s="146"/>
      <c r="Q695" s="30"/>
      <c r="R695" s="146"/>
      <c r="S695" s="147"/>
      <c r="T695" s="146"/>
      <c r="U695" s="146"/>
      <c r="V695" s="146"/>
      <c r="W695" s="146"/>
      <c r="X695" s="146"/>
      <c r="Y695" s="146"/>
      <c r="Z695" s="146"/>
      <c r="AA695" s="146"/>
      <c r="AB695" s="146"/>
      <c r="AC695" s="146"/>
      <c r="AD695" s="146"/>
      <c r="AE695" s="146"/>
      <c r="AF695" s="146"/>
      <c r="AG695" s="146"/>
      <c r="AH695" s="146"/>
      <c r="AI695" s="146"/>
    </row>
    <row r="696" spans="1:35" ht="13.5" customHeight="1" x14ac:dyDescent="0.25">
      <c r="A696" s="28"/>
      <c r="B696" s="28"/>
      <c r="C696" s="28"/>
      <c r="D696" s="28"/>
      <c r="E696" s="28"/>
      <c r="F696" s="28"/>
      <c r="G696" s="29"/>
      <c r="H696" s="28"/>
      <c r="I696" s="147"/>
      <c r="J696" s="147"/>
      <c r="K696" s="146"/>
      <c r="L696" s="146"/>
      <c r="M696" s="146"/>
      <c r="N696" s="146"/>
      <c r="O696" s="146"/>
      <c r="P696" s="146"/>
      <c r="Q696" s="30"/>
      <c r="R696" s="146"/>
      <c r="S696" s="147"/>
      <c r="T696" s="146"/>
      <c r="U696" s="146"/>
      <c r="V696" s="146"/>
      <c r="W696" s="146"/>
      <c r="X696" s="146"/>
      <c r="Y696" s="146"/>
      <c r="Z696" s="146"/>
      <c r="AA696" s="146"/>
      <c r="AB696" s="146"/>
      <c r="AC696" s="146"/>
      <c r="AD696" s="146"/>
      <c r="AE696" s="146"/>
      <c r="AF696" s="146"/>
      <c r="AG696" s="146"/>
      <c r="AH696" s="146"/>
      <c r="AI696" s="146"/>
    </row>
    <row r="697" spans="1:35" ht="13.5" customHeight="1" x14ac:dyDescent="0.25">
      <c r="A697" s="28"/>
      <c r="B697" s="28"/>
      <c r="C697" s="28"/>
      <c r="D697" s="28"/>
      <c r="E697" s="28"/>
      <c r="F697" s="28"/>
      <c r="G697" s="29"/>
      <c r="H697" s="28"/>
      <c r="I697" s="147"/>
      <c r="J697" s="147"/>
      <c r="K697" s="146"/>
      <c r="L697" s="146"/>
      <c r="M697" s="146"/>
      <c r="N697" s="146"/>
      <c r="O697" s="146"/>
      <c r="P697" s="146"/>
      <c r="Q697" s="30"/>
      <c r="R697" s="146"/>
      <c r="S697" s="147"/>
      <c r="T697" s="146"/>
      <c r="U697" s="146"/>
      <c r="V697" s="146"/>
      <c r="W697" s="146"/>
      <c r="X697" s="146"/>
      <c r="Y697" s="146"/>
      <c r="Z697" s="146"/>
      <c r="AA697" s="146"/>
      <c r="AB697" s="146"/>
      <c r="AC697" s="146"/>
      <c r="AD697" s="146"/>
      <c r="AE697" s="146"/>
      <c r="AF697" s="146"/>
      <c r="AG697" s="146"/>
      <c r="AH697" s="146"/>
      <c r="AI697" s="146"/>
    </row>
    <row r="698" spans="1:35" ht="13.5" customHeight="1" x14ac:dyDescent="0.25">
      <c r="A698" s="28"/>
      <c r="B698" s="28"/>
      <c r="C698" s="28"/>
      <c r="D698" s="28"/>
      <c r="E698" s="28"/>
      <c r="F698" s="28"/>
      <c r="G698" s="29"/>
      <c r="H698" s="28"/>
      <c r="I698" s="147"/>
      <c r="J698" s="147"/>
      <c r="K698" s="146"/>
      <c r="L698" s="146"/>
      <c r="M698" s="146"/>
      <c r="N698" s="146"/>
      <c r="O698" s="146"/>
      <c r="P698" s="146"/>
      <c r="Q698" s="30"/>
      <c r="R698" s="146"/>
      <c r="S698" s="147"/>
      <c r="T698" s="146"/>
      <c r="U698" s="146"/>
      <c r="V698" s="146"/>
      <c r="W698" s="146"/>
      <c r="X698" s="146"/>
      <c r="Y698" s="146"/>
      <c r="Z698" s="146"/>
      <c r="AA698" s="146"/>
      <c r="AB698" s="146"/>
      <c r="AC698" s="146"/>
      <c r="AD698" s="146"/>
      <c r="AE698" s="146"/>
      <c r="AF698" s="146"/>
      <c r="AG698" s="146"/>
      <c r="AH698" s="146"/>
      <c r="AI698" s="146"/>
    </row>
    <row r="699" spans="1:35" ht="13.5" customHeight="1" x14ac:dyDescent="0.25">
      <c r="A699" s="28"/>
      <c r="B699" s="28"/>
      <c r="C699" s="28"/>
      <c r="D699" s="28"/>
      <c r="E699" s="28"/>
      <c r="F699" s="28"/>
      <c r="G699" s="29"/>
      <c r="H699" s="28"/>
      <c r="I699" s="147"/>
      <c r="J699" s="147"/>
      <c r="K699" s="146"/>
      <c r="L699" s="146"/>
      <c r="M699" s="146"/>
      <c r="N699" s="146"/>
      <c r="O699" s="146"/>
      <c r="P699" s="146"/>
      <c r="Q699" s="30"/>
      <c r="R699" s="146"/>
      <c r="S699" s="147"/>
      <c r="T699" s="146"/>
      <c r="U699" s="146"/>
      <c r="V699" s="146"/>
      <c r="W699" s="146"/>
      <c r="X699" s="146"/>
      <c r="Y699" s="146"/>
      <c r="Z699" s="146"/>
      <c r="AA699" s="146"/>
      <c r="AB699" s="146"/>
      <c r="AC699" s="146"/>
      <c r="AD699" s="146"/>
      <c r="AE699" s="146"/>
      <c r="AF699" s="146"/>
      <c r="AG699" s="146"/>
      <c r="AH699" s="146"/>
      <c r="AI699" s="146"/>
    </row>
    <row r="700" spans="1:35" ht="13.5" customHeight="1" x14ac:dyDescent="0.25">
      <c r="A700" s="28"/>
      <c r="B700" s="28"/>
      <c r="C700" s="28"/>
      <c r="D700" s="28"/>
      <c r="E700" s="28"/>
      <c r="F700" s="28"/>
      <c r="G700" s="29"/>
      <c r="H700" s="28"/>
      <c r="I700" s="147"/>
      <c r="J700" s="147"/>
      <c r="K700" s="146"/>
      <c r="L700" s="146"/>
      <c r="M700" s="146"/>
      <c r="N700" s="146"/>
      <c r="O700" s="146"/>
      <c r="P700" s="146"/>
      <c r="Q700" s="30"/>
      <c r="R700" s="146"/>
      <c r="S700" s="147"/>
      <c r="T700" s="146"/>
      <c r="U700" s="146"/>
      <c r="V700" s="146"/>
      <c r="W700" s="146"/>
      <c r="X700" s="146"/>
      <c r="Y700" s="146"/>
      <c r="Z700" s="146"/>
      <c r="AA700" s="146"/>
      <c r="AB700" s="146"/>
      <c r="AC700" s="146"/>
      <c r="AD700" s="146"/>
      <c r="AE700" s="146"/>
      <c r="AF700" s="146"/>
      <c r="AG700" s="146"/>
      <c r="AH700" s="146"/>
      <c r="AI700" s="146"/>
    </row>
    <row r="701" spans="1:35" ht="13.5" customHeight="1" x14ac:dyDescent="0.25">
      <c r="A701" s="28"/>
      <c r="B701" s="28"/>
      <c r="C701" s="28"/>
      <c r="D701" s="28"/>
      <c r="E701" s="28"/>
      <c r="F701" s="28"/>
      <c r="G701" s="29"/>
      <c r="H701" s="28"/>
      <c r="I701" s="147"/>
      <c r="J701" s="147"/>
      <c r="K701" s="146"/>
      <c r="L701" s="146"/>
      <c r="M701" s="146"/>
      <c r="N701" s="146"/>
      <c r="O701" s="146"/>
      <c r="P701" s="146"/>
      <c r="Q701" s="30"/>
      <c r="R701" s="146"/>
      <c r="S701" s="147"/>
      <c r="T701" s="146"/>
      <c r="U701" s="146"/>
      <c r="V701" s="146"/>
      <c r="W701" s="146"/>
      <c r="X701" s="146"/>
      <c r="Y701" s="146"/>
      <c r="Z701" s="146"/>
      <c r="AA701" s="146"/>
      <c r="AB701" s="146"/>
      <c r="AC701" s="146"/>
      <c r="AD701" s="146"/>
      <c r="AE701" s="146"/>
      <c r="AF701" s="146"/>
      <c r="AG701" s="146"/>
      <c r="AH701" s="146"/>
      <c r="AI701" s="146"/>
    </row>
    <row r="702" spans="1:35" ht="13.5" customHeight="1" x14ac:dyDescent="0.25">
      <c r="A702" s="28"/>
      <c r="B702" s="28"/>
      <c r="C702" s="28"/>
      <c r="D702" s="28"/>
      <c r="E702" s="28"/>
      <c r="F702" s="28"/>
      <c r="G702" s="29"/>
      <c r="H702" s="28"/>
      <c r="I702" s="147"/>
      <c r="J702" s="147"/>
      <c r="K702" s="146"/>
      <c r="L702" s="146"/>
      <c r="M702" s="146"/>
      <c r="N702" s="146"/>
      <c r="O702" s="146"/>
      <c r="P702" s="146"/>
      <c r="Q702" s="30"/>
      <c r="R702" s="146"/>
      <c r="S702" s="147"/>
      <c r="T702" s="146"/>
      <c r="U702" s="146"/>
      <c r="V702" s="146"/>
      <c r="W702" s="146"/>
      <c r="X702" s="146"/>
      <c r="Y702" s="146"/>
      <c r="Z702" s="146"/>
      <c r="AA702" s="146"/>
      <c r="AB702" s="146"/>
      <c r="AC702" s="146"/>
      <c r="AD702" s="146"/>
      <c r="AE702" s="146"/>
      <c r="AF702" s="146"/>
      <c r="AG702" s="146"/>
      <c r="AH702" s="146"/>
      <c r="AI702" s="146"/>
    </row>
    <row r="703" spans="1:35" ht="13.5" customHeight="1" x14ac:dyDescent="0.25">
      <c r="A703" s="28"/>
      <c r="B703" s="28"/>
      <c r="C703" s="28"/>
      <c r="D703" s="28"/>
      <c r="E703" s="28"/>
      <c r="F703" s="28"/>
      <c r="G703" s="29"/>
      <c r="H703" s="28"/>
      <c r="I703" s="147"/>
      <c r="J703" s="147"/>
      <c r="K703" s="146"/>
      <c r="L703" s="146"/>
      <c r="M703" s="146"/>
      <c r="N703" s="146"/>
      <c r="O703" s="146"/>
      <c r="P703" s="146"/>
      <c r="Q703" s="30"/>
      <c r="R703" s="146"/>
      <c r="S703" s="147"/>
      <c r="T703" s="146"/>
      <c r="U703" s="146"/>
      <c r="V703" s="146"/>
      <c r="W703" s="146"/>
      <c r="X703" s="146"/>
      <c r="Y703" s="146"/>
      <c r="Z703" s="146"/>
      <c r="AA703" s="146"/>
      <c r="AB703" s="146"/>
      <c r="AC703" s="146"/>
      <c r="AD703" s="146"/>
      <c r="AE703" s="146"/>
      <c r="AF703" s="146"/>
      <c r="AG703" s="146"/>
      <c r="AH703" s="146"/>
      <c r="AI703" s="146"/>
    </row>
    <row r="704" spans="1:35" ht="13.5" customHeight="1" x14ac:dyDescent="0.25">
      <c r="A704" s="28"/>
      <c r="B704" s="28"/>
      <c r="C704" s="28"/>
      <c r="D704" s="28"/>
      <c r="E704" s="28"/>
      <c r="F704" s="28"/>
      <c r="G704" s="29"/>
      <c r="H704" s="28"/>
      <c r="I704" s="147"/>
      <c r="J704" s="147"/>
      <c r="K704" s="146"/>
      <c r="L704" s="146"/>
      <c r="M704" s="146"/>
      <c r="N704" s="146"/>
      <c r="O704" s="146"/>
      <c r="P704" s="146"/>
      <c r="Q704" s="30"/>
      <c r="R704" s="146"/>
      <c r="S704" s="147"/>
      <c r="T704" s="146"/>
      <c r="U704" s="146"/>
      <c r="V704" s="146"/>
      <c r="W704" s="146"/>
      <c r="X704" s="146"/>
      <c r="Y704" s="146"/>
      <c r="Z704" s="146"/>
      <c r="AA704" s="146"/>
      <c r="AB704" s="146"/>
      <c r="AC704" s="146"/>
      <c r="AD704" s="146"/>
      <c r="AE704" s="146"/>
      <c r="AF704" s="146"/>
      <c r="AG704" s="146"/>
      <c r="AH704" s="146"/>
      <c r="AI704" s="146"/>
    </row>
    <row r="705" spans="1:35" ht="13.5" customHeight="1" x14ac:dyDescent="0.25">
      <c r="A705" s="28"/>
      <c r="B705" s="28"/>
      <c r="C705" s="28"/>
      <c r="D705" s="28"/>
      <c r="E705" s="28"/>
      <c r="F705" s="28"/>
      <c r="G705" s="29"/>
      <c r="H705" s="28"/>
      <c r="I705" s="147"/>
      <c r="J705" s="147"/>
      <c r="K705" s="146"/>
      <c r="L705" s="146"/>
      <c r="M705" s="146"/>
      <c r="N705" s="146"/>
      <c r="O705" s="146"/>
      <c r="P705" s="146"/>
      <c r="Q705" s="30"/>
      <c r="R705" s="146"/>
      <c r="S705" s="147"/>
      <c r="T705" s="146"/>
      <c r="U705" s="146"/>
      <c r="V705" s="146"/>
      <c r="W705" s="146"/>
      <c r="X705" s="146"/>
      <c r="Y705" s="146"/>
      <c r="Z705" s="146"/>
      <c r="AA705" s="146"/>
      <c r="AB705" s="146"/>
      <c r="AC705" s="146"/>
      <c r="AD705" s="146"/>
      <c r="AE705" s="146"/>
      <c r="AF705" s="146"/>
      <c r="AG705" s="146"/>
      <c r="AH705" s="146"/>
      <c r="AI705" s="146"/>
    </row>
    <row r="706" spans="1:35" ht="13.5" customHeight="1" x14ac:dyDescent="0.25">
      <c r="A706" s="28"/>
      <c r="B706" s="28"/>
      <c r="C706" s="28"/>
      <c r="D706" s="28"/>
      <c r="E706" s="28"/>
      <c r="F706" s="28"/>
      <c r="G706" s="29"/>
      <c r="H706" s="28"/>
      <c r="I706" s="147"/>
      <c r="J706" s="147"/>
      <c r="K706" s="146"/>
      <c r="L706" s="146"/>
      <c r="M706" s="146"/>
      <c r="N706" s="146"/>
      <c r="O706" s="146"/>
      <c r="P706" s="146"/>
      <c r="Q706" s="30"/>
      <c r="R706" s="146"/>
      <c r="S706" s="147"/>
      <c r="T706" s="146"/>
      <c r="U706" s="146"/>
      <c r="V706" s="146"/>
      <c r="W706" s="146"/>
      <c r="X706" s="146"/>
      <c r="Y706" s="146"/>
      <c r="Z706" s="146"/>
      <c r="AA706" s="146"/>
      <c r="AB706" s="146"/>
      <c r="AC706" s="146"/>
      <c r="AD706" s="146"/>
      <c r="AE706" s="146"/>
      <c r="AF706" s="146"/>
      <c r="AG706" s="146"/>
      <c r="AH706" s="146"/>
      <c r="AI706" s="146"/>
    </row>
    <row r="707" spans="1:35" ht="13.5" customHeight="1" x14ac:dyDescent="0.25">
      <c r="A707" s="28"/>
      <c r="B707" s="28"/>
      <c r="C707" s="28"/>
      <c r="D707" s="28"/>
      <c r="E707" s="28"/>
      <c r="F707" s="28"/>
      <c r="G707" s="29"/>
      <c r="H707" s="28"/>
      <c r="I707" s="147"/>
      <c r="J707" s="147"/>
      <c r="K707" s="146"/>
      <c r="L707" s="146"/>
      <c r="M707" s="146"/>
      <c r="N707" s="146"/>
      <c r="O707" s="146"/>
      <c r="P707" s="146"/>
      <c r="Q707" s="30"/>
      <c r="R707" s="146"/>
      <c r="S707" s="147"/>
      <c r="T707" s="146"/>
      <c r="U707" s="146"/>
      <c r="V707" s="146"/>
      <c r="W707" s="146"/>
      <c r="X707" s="146"/>
      <c r="Y707" s="146"/>
      <c r="Z707" s="146"/>
      <c r="AA707" s="146"/>
      <c r="AB707" s="146"/>
      <c r="AC707" s="146"/>
      <c r="AD707" s="146"/>
      <c r="AE707" s="146"/>
      <c r="AF707" s="146"/>
      <c r="AG707" s="146"/>
      <c r="AH707" s="146"/>
      <c r="AI707" s="146"/>
    </row>
    <row r="708" spans="1:35" ht="13.5" customHeight="1" x14ac:dyDescent="0.25">
      <c r="A708" s="28"/>
      <c r="B708" s="28"/>
      <c r="C708" s="28"/>
      <c r="D708" s="28"/>
      <c r="E708" s="28"/>
      <c r="F708" s="28"/>
      <c r="G708" s="29"/>
      <c r="H708" s="28"/>
      <c r="I708" s="147"/>
      <c r="J708" s="147"/>
      <c r="K708" s="146"/>
      <c r="L708" s="146"/>
      <c r="M708" s="146"/>
      <c r="N708" s="146"/>
      <c r="O708" s="146"/>
      <c r="P708" s="146"/>
      <c r="Q708" s="30"/>
      <c r="R708" s="146"/>
      <c r="S708" s="147"/>
      <c r="T708" s="146"/>
      <c r="U708" s="146"/>
      <c r="V708" s="146"/>
      <c r="W708" s="146"/>
      <c r="X708" s="146"/>
      <c r="Y708" s="146"/>
      <c r="Z708" s="146"/>
      <c r="AA708" s="146"/>
      <c r="AB708" s="146"/>
      <c r="AC708" s="146"/>
      <c r="AD708" s="146"/>
      <c r="AE708" s="146"/>
      <c r="AF708" s="146"/>
      <c r="AG708" s="146"/>
      <c r="AH708" s="146"/>
      <c r="AI708" s="146"/>
    </row>
    <row r="709" spans="1:35" ht="13.5" customHeight="1" x14ac:dyDescent="0.25">
      <c r="A709" s="28"/>
      <c r="B709" s="28"/>
      <c r="C709" s="28"/>
      <c r="D709" s="28"/>
      <c r="E709" s="28"/>
      <c r="F709" s="28"/>
      <c r="G709" s="29"/>
      <c r="H709" s="28"/>
      <c r="I709" s="147"/>
      <c r="J709" s="147"/>
      <c r="K709" s="146"/>
      <c r="L709" s="146"/>
      <c r="M709" s="146"/>
      <c r="N709" s="146"/>
      <c r="O709" s="146"/>
      <c r="P709" s="146"/>
      <c r="Q709" s="30"/>
      <c r="R709" s="146"/>
      <c r="S709" s="147"/>
      <c r="T709" s="146"/>
      <c r="U709" s="146"/>
      <c r="V709" s="146"/>
      <c r="W709" s="146"/>
      <c r="X709" s="146"/>
      <c r="Y709" s="146"/>
      <c r="Z709" s="146"/>
      <c r="AA709" s="146"/>
      <c r="AB709" s="146"/>
      <c r="AC709" s="146"/>
      <c r="AD709" s="146"/>
      <c r="AE709" s="146"/>
      <c r="AF709" s="146"/>
      <c r="AG709" s="146"/>
      <c r="AH709" s="146"/>
      <c r="AI709" s="146"/>
    </row>
    <row r="710" spans="1:35" ht="13.5" customHeight="1" x14ac:dyDescent="0.25">
      <c r="A710" s="28"/>
      <c r="B710" s="28"/>
      <c r="C710" s="28"/>
      <c r="D710" s="28"/>
      <c r="E710" s="28"/>
      <c r="F710" s="28"/>
      <c r="G710" s="29"/>
      <c r="H710" s="28"/>
      <c r="I710" s="147"/>
      <c r="J710" s="147"/>
      <c r="K710" s="146"/>
      <c r="L710" s="146"/>
      <c r="M710" s="146"/>
      <c r="N710" s="146"/>
      <c r="O710" s="146"/>
      <c r="P710" s="146"/>
      <c r="Q710" s="30"/>
      <c r="R710" s="146"/>
      <c r="S710" s="147"/>
      <c r="T710" s="146"/>
      <c r="U710" s="146"/>
      <c r="V710" s="146"/>
      <c r="W710" s="146"/>
      <c r="X710" s="146"/>
      <c r="Y710" s="146"/>
      <c r="Z710" s="146"/>
      <c r="AA710" s="146"/>
      <c r="AB710" s="146"/>
      <c r="AC710" s="146"/>
      <c r="AD710" s="146"/>
      <c r="AE710" s="146"/>
      <c r="AF710" s="146"/>
      <c r="AG710" s="146"/>
      <c r="AH710" s="146"/>
      <c r="AI710" s="146"/>
    </row>
    <row r="711" spans="1:35" ht="13.5" customHeight="1" x14ac:dyDescent="0.25">
      <c r="A711" s="28"/>
      <c r="B711" s="28"/>
      <c r="C711" s="28"/>
      <c r="D711" s="28"/>
      <c r="E711" s="28"/>
      <c r="F711" s="28"/>
      <c r="G711" s="29"/>
      <c r="H711" s="28"/>
      <c r="I711" s="147"/>
      <c r="J711" s="147"/>
      <c r="K711" s="146"/>
      <c r="L711" s="146"/>
      <c r="M711" s="146"/>
      <c r="N711" s="146"/>
      <c r="O711" s="146"/>
      <c r="P711" s="146"/>
      <c r="Q711" s="30"/>
      <c r="R711" s="146"/>
      <c r="S711" s="147"/>
      <c r="T711" s="146"/>
      <c r="U711" s="146"/>
      <c r="V711" s="146"/>
      <c r="W711" s="146"/>
      <c r="X711" s="146"/>
      <c r="Y711" s="146"/>
      <c r="Z711" s="146"/>
      <c r="AA711" s="146"/>
      <c r="AB711" s="146"/>
      <c r="AC711" s="146"/>
      <c r="AD711" s="146"/>
      <c r="AE711" s="146"/>
      <c r="AF711" s="146"/>
      <c r="AG711" s="146"/>
      <c r="AH711" s="146"/>
      <c r="AI711" s="146"/>
    </row>
    <row r="712" spans="1:35" ht="13.5" customHeight="1" x14ac:dyDescent="0.25">
      <c r="A712" s="28"/>
      <c r="B712" s="28"/>
      <c r="C712" s="28"/>
      <c r="D712" s="28"/>
      <c r="E712" s="28"/>
      <c r="F712" s="28"/>
      <c r="G712" s="29"/>
      <c r="H712" s="28"/>
      <c r="I712" s="147"/>
      <c r="J712" s="147"/>
      <c r="K712" s="146"/>
      <c r="L712" s="146"/>
      <c r="M712" s="146"/>
      <c r="N712" s="146"/>
      <c r="O712" s="146"/>
      <c r="P712" s="146"/>
      <c r="Q712" s="30"/>
      <c r="R712" s="146"/>
      <c r="S712" s="147"/>
      <c r="T712" s="146"/>
      <c r="U712" s="146"/>
      <c r="V712" s="146"/>
      <c r="W712" s="146"/>
      <c r="X712" s="146"/>
      <c r="Y712" s="146"/>
      <c r="Z712" s="146"/>
      <c r="AA712" s="146"/>
      <c r="AB712" s="146"/>
      <c r="AC712" s="146"/>
      <c r="AD712" s="146"/>
      <c r="AE712" s="146"/>
      <c r="AF712" s="146"/>
      <c r="AG712" s="146"/>
      <c r="AH712" s="146"/>
      <c r="AI712" s="146"/>
    </row>
    <row r="713" spans="1:35" ht="13.5" customHeight="1" x14ac:dyDescent="0.25">
      <c r="A713" s="28"/>
      <c r="B713" s="28"/>
      <c r="C713" s="28"/>
      <c r="D713" s="28"/>
      <c r="E713" s="28"/>
      <c r="F713" s="28"/>
      <c r="G713" s="29"/>
      <c r="H713" s="28"/>
      <c r="I713" s="147"/>
      <c r="J713" s="147"/>
      <c r="K713" s="146"/>
      <c r="L713" s="146"/>
      <c r="M713" s="146"/>
      <c r="N713" s="146"/>
      <c r="O713" s="146"/>
      <c r="P713" s="146"/>
      <c r="Q713" s="30"/>
      <c r="R713" s="146"/>
      <c r="S713" s="147"/>
      <c r="T713" s="146"/>
      <c r="U713" s="146"/>
      <c r="V713" s="146"/>
      <c r="W713" s="146"/>
      <c r="X713" s="146"/>
      <c r="Y713" s="146"/>
      <c r="Z713" s="146"/>
      <c r="AA713" s="146"/>
      <c r="AB713" s="146"/>
      <c r="AC713" s="146"/>
      <c r="AD713" s="146"/>
      <c r="AE713" s="146"/>
      <c r="AF713" s="146"/>
      <c r="AG713" s="146"/>
      <c r="AH713" s="146"/>
      <c r="AI713" s="146"/>
    </row>
    <row r="714" spans="1:35" ht="13.5" customHeight="1" x14ac:dyDescent="0.25">
      <c r="A714" s="28"/>
      <c r="B714" s="28"/>
      <c r="C714" s="28"/>
      <c r="D714" s="28"/>
      <c r="E714" s="28"/>
      <c r="F714" s="28"/>
      <c r="G714" s="29"/>
      <c r="H714" s="28"/>
      <c r="I714" s="147"/>
      <c r="J714" s="147"/>
      <c r="K714" s="146"/>
      <c r="L714" s="146"/>
      <c r="M714" s="146"/>
      <c r="N714" s="146"/>
      <c r="O714" s="146"/>
      <c r="P714" s="146"/>
      <c r="Q714" s="30"/>
      <c r="R714" s="146"/>
      <c r="S714" s="147"/>
      <c r="T714" s="146"/>
      <c r="U714" s="146"/>
      <c r="V714" s="146"/>
      <c r="W714" s="146"/>
      <c r="X714" s="146"/>
      <c r="Y714" s="146"/>
      <c r="Z714" s="146"/>
      <c r="AA714" s="146"/>
      <c r="AB714" s="146"/>
      <c r="AC714" s="146"/>
      <c r="AD714" s="146"/>
      <c r="AE714" s="146"/>
      <c r="AF714" s="146"/>
      <c r="AG714" s="146"/>
      <c r="AH714" s="146"/>
      <c r="AI714" s="146"/>
    </row>
    <row r="715" spans="1:35" ht="13.5" customHeight="1" x14ac:dyDescent="0.25">
      <c r="A715" s="28"/>
      <c r="B715" s="28"/>
      <c r="C715" s="28"/>
      <c r="D715" s="28"/>
      <c r="E715" s="28"/>
      <c r="F715" s="28"/>
      <c r="G715" s="29"/>
      <c r="H715" s="28"/>
      <c r="I715" s="147"/>
      <c r="J715" s="147"/>
      <c r="K715" s="146"/>
      <c r="L715" s="146"/>
      <c r="M715" s="146"/>
      <c r="N715" s="146"/>
      <c r="O715" s="146"/>
      <c r="P715" s="146"/>
      <c r="Q715" s="30"/>
      <c r="R715" s="146"/>
      <c r="S715" s="147"/>
      <c r="T715" s="146"/>
      <c r="U715" s="146"/>
      <c r="V715" s="146"/>
      <c r="W715" s="146"/>
      <c r="X715" s="146"/>
      <c r="Y715" s="146"/>
      <c r="Z715" s="146"/>
      <c r="AA715" s="146"/>
      <c r="AB715" s="146"/>
      <c r="AC715" s="146"/>
      <c r="AD715" s="146"/>
      <c r="AE715" s="146"/>
      <c r="AF715" s="146"/>
      <c r="AG715" s="146"/>
      <c r="AH715" s="146"/>
      <c r="AI715" s="146"/>
    </row>
    <row r="716" spans="1:35" ht="13.5" customHeight="1" x14ac:dyDescent="0.25">
      <c r="A716" s="28"/>
      <c r="B716" s="28"/>
      <c r="C716" s="28"/>
      <c r="D716" s="28"/>
      <c r="E716" s="28"/>
      <c r="F716" s="28"/>
      <c r="G716" s="29"/>
      <c r="H716" s="28"/>
      <c r="I716" s="147"/>
      <c r="J716" s="147"/>
      <c r="K716" s="146"/>
      <c r="L716" s="146"/>
      <c r="M716" s="146"/>
      <c r="N716" s="146"/>
      <c r="O716" s="146"/>
      <c r="P716" s="146"/>
      <c r="Q716" s="30"/>
      <c r="R716" s="146"/>
      <c r="S716" s="147"/>
      <c r="T716" s="146"/>
      <c r="U716" s="146"/>
      <c r="V716" s="146"/>
      <c r="W716" s="146"/>
      <c r="X716" s="146"/>
      <c r="Y716" s="146"/>
      <c r="Z716" s="146"/>
      <c r="AA716" s="146"/>
      <c r="AB716" s="146"/>
      <c r="AC716" s="146"/>
      <c r="AD716" s="146"/>
      <c r="AE716" s="146"/>
      <c r="AF716" s="146"/>
      <c r="AG716" s="146"/>
      <c r="AH716" s="146"/>
      <c r="AI716" s="146"/>
    </row>
    <row r="717" spans="1:35" ht="13.5" customHeight="1" x14ac:dyDescent="0.25">
      <c r="A717" s="28"/>
      <c r="B717" s="28"/>
      <c r="C717" s="28"/>
      <c r="D717" s="28"/>
      <c r="E717" s="28"/>
      <c r="F717" s="28"/>
      <c r="G717" s="29"/>
      <c r="H717" s="28"/>
      <c r="I717" s="147"/>
      <c r="J717" s="147"/>
      <c r="K717" s="146"/>
      <c r="L717" s="146"/>
      <c r="M717" s="146"/>
      <c r="N717" s="146"/>
      <c r="O717" s="146"/>
      <c r="P717" s="146"/>
      <c r="Q717" s="30"/>
      <c r="R717" s="146"/>
      <c r="S717" s="147"/>
      <c r="T717" s="146"/>
      <c r="U717" s="146"/>
      <c r="V717" s="146"/>
      <c r="W717" s="146"/>
      <c r="X717" s="146"/>
      <c r="Y717" s="146"/>
      <c r="Z717" s="146"/>
      <c r="AA717" s="146"/>
      <c r="AB717" s="146"/>
      <c r="AC717" s="146"/>
      <c r="AD717" s="146"/>
      <c r="AE717" s="146"/>
      <c r="AF717" s="146"/>
      <c r="AG717" s="146"/>
      <c r="AH717" s="146"/>
      <c r="AI717" s="146"/>
    </row>
    <row r="718" spans="1:35" ht="13.5" customHeight="1" x14ac:dyDescent="0.25">
      <c r="A718" s="28"/>
      <c r="B718" s="28"/>
      <c r="C718" s="28"/>
      <c r="D718" s="28"/>
      <c r="E718" s="28"/>
      <c r="F718" s="28"/>
      <c r="G718" s="29"/>
      <c r="H718" s="28"/>
      <c r="I718" s="147"/>
      <c r="J718" s="147"/>
      <c r="K718" s="146"/>
      <c r="L718" s="146"/>
      <c r="M718" s="146"/>
      <c r="N718" s="146"/>
      <c r="O718" s="146"/>
      <c r="P718" s="146"/>
      <c r="Q718" s="30"/>
      <c r="R718" s="146"/>
      <c r="S718" s="147"/>
      <c r="T718" s="146"/>
      <c r="U718" s="146"/>
      <c r="V718" s="146"/>
      <c r="W718" s="146"/>
      <c r="X718" s="146"/>
      <c r="Y718" s="146"/>
      <c r="Z718" s="146"/>
      <c r="AA718" s="146"/>
      <c r="AB718" s="146"/>
      <c r="AC718" s="146"/>
      <c r="AD718" s="146"/>
      <c r="AE718" s="146"/>
      <c r="AF718" s="146"/>
      <c r="AG718" s="146"/>
      <c r="AH718" s="146"/>
      <c r="AI718" s="146"/>
    </row>
    <row r="719" spans="1:35" ht="13.5" customHeight="1" x14ac:dyDescent="0.25">
      <c r="A719" s="28"/>
      <c r="B719" s="28"/>
      <c r="C719" s="28"/>
      <c r="D719" s="28"/>
      <c r="E719" s="28"/>
      <c r="F719" s="28"/>
      <c r="G719" s="29"/>
      <c r="H719" s="28"/>
      <c r="I719" s="147"/>
      <c r="J719" s="147"/>
      <c r="K719" s="146"/>
      <c r="L719" s="146"/>
      <c r="M719" s="146"/>
      <c r="N719" s="146"/>
      <c r="O719" s="146"/>
      <c r="P719" s="146"/>
      <c r="Q719" s="30"/>
      <c r="R719" s="146"/>
      <c r="S719" s="147"/>
      <c r="T719" s="146"/>
      <c r="U719" s="146"/>
      <c r="V719" s="146"/>
      <c r="W719" s="146"/>
      <c r="X719" s="146"/>
      <c r="Y719" s="146"/>
      <c r="Z719" s="146"/>
      <c r="AA719" s="146"/>
      <c r="AB719" s="146"/>
      <c r="AC719" s="146"/>
      <c r="AD719" s="146"/>
      <c r="AE719" s="146"/>
      <c r="AF719" s="146"/>
      <c r="AG719" s="146"/>
      <c r="AH719" s="146"/>
      <c r="AI719" s="146"/>
    </row>
    <row r="720" spans="1:35" ht="13.5" customHeight="1" x14ac:dyDescent="0.25">
      <c r="A720" s="28"/>
      <c r="B720" s="28"/>
      <c r="C720" s="28"/>
      <c r="D720" s="28"/>
      <c r="E720" s="28"/>
      <c r="F720" s="28"/>
      <c r="G720" s="29"/>
      <c r="H720" s="28"/>
      <c r="I720" s="147"/>
      <c r="J720" s="147"/>
      <c r="K720" s="146"/>
      <c r="L720" s="146"/>
      <c r="M720" s="146"/>
      <c r="N720" s="146"/>
      <c r="O720" s="146"/>
      <c r="P720" s="146"/>
      <c r="Q720" s="30"/>
      <c r="R720" s="146"/>
      <c r="S720" s="147"/>
      <c r="T720" s="146"/>
      <c r="U720" s="146"/>
      <c r="V720" s="146"/>
      <c r="W720" s="146"/>
      <c r="X720" s="146"/>
      <c r="Y720" s="146"/>
      <c r="Z720" s="146"/>
      <c r="AA720" s="146"/>
      <c r="AB720" s="146"/>
      <c r="AC720" s="146"/>
      <c r="AD720" s="146"/>
      <c r="AE720" s="146"/>
      <c r="AF720" s="146"/>
      <c r="AG720" s="146"/>
      <c r="AH720" s="146"/>
      <c r="AI720" s="146"/>
    </row>
    <row r="721" spans="1:35" ht="13.5" customHeight="1" x14ac:dyDescent="0.25">
      <c r="A721" s="28"/>
      <c r="B721" s="28"/>
      <c r="C721" s="28"/>
      <c r="D721" s="28"/>
      <c r="E721" s="28"/>
      <c r="F721" s="28"/>
      <c r="G721" s="29"/>
      <c r="H721" s="28"/>
      <c r="I721" s="147"/>
      <c r="J721" s="147"/>
      <c r="K721" s="146"/>
      <c r="L721" s="146"/>
      <c r="M721" s="146"/>
      <c r="N721" s="146"/>
      <c r="O721" s="146"/>
      <c r="P721" s="146"/>
      <c r="Q721" s="30"/>
      <c r="R721" s="146"/>
      <c r="S721" s="147"/>
      <c r="T721" s="146"/>
      <c r="U721" s="146"/>
      <c r="V721" s="146"/>
      <c r="W721" s="146"/>
      <c r="X721" s="146"/>
      <c r="Y721" s="146"/>
      <c r="Z721" s="146"/>
      <c r="AA721" s="146"/>
      <c r="AB721" s="146"/>
      <c r="AC721" s="146"/>
      <c r="AD721" s="146"/>
      <c r="AE721" s="146"/>
      <c r="AF721" s="146"/>
      <c r="AG721" s="146"/>
      <c r="AH721" s="146"/>
      <c r="AI721" s="146"/>
    </row>
    <row r="722" spans="1:35" ht="13.5" customHeight="1" x14ac:dyDescent="0.25">
      <c r="A722" s="28"/>
      <c r="B722" s="28"/>
      <c r="C722" s="28"/>
      <c r="D722" s="28"/>
      <c r="E722" s="28"/>
      <c r="F722" s="28"/>
      <c r="G722" s="29"/>
      <c r="H722" s="28"/>
      <c r="I722" s="147"/>
      <c r="J722" s="147"/>
      <c r="K722" s="146"/>
      <c r="L722" s="146"/>
      <c r="M722" s="146"/>
      <c r="N722" s="146"/>
      <c r="O722" s="146"/>
      <c r="P722" s="146"/>
      <c r="Q722" s="30"/>
      <c r="R722" s="146"/>
      <c r="S722" s="147"/>
      <c r="T722" s="146"/>
      <c r="U722" s="146"/>
      <c r="V722" s="146"/>
      <c r="W722" s="146"/>
      <c r="X722" s="146"/>
      <c r="Y722" s="146"/>
      <c r="Z722" s="146"/>
      <c r="AA722" s="146"/>
      <c r="AB722" s="146"/>
      <c r="AC722" s="146"/>
      <c r="AD722" s="146"/>
      <c r="AE722" s="146"/>
      <c r="AF722" s="146"/>
      <c r="AG722" s="146"/>
      <c r="AH722" s="146"/>
      <c r="AI722" s="146"/>
    </row>
    <row r="723" spans="1:35" ht="13.5" customHeight="1" x14ac:dyDescent="0.25">
      <c r="A723" s="28"/>
      <c r="B723" s="28"/>
      <c r="C723" s="28"/>
      <c r="D723" s="28"/>
      <c r="E723" s="28"/>
      <c r="F723" s="28"/>
      <c r="G723" s="29"/>
      <c r="H723" s="28"/>
      <c r="I723" s="147"/>
      <c r="J723" s="147"/>
      <c r="K723" s="146"/>
      <c r="L723" s="146"/>
      <c r="M723" s="146"/>
      <c r="N723" s="146"/>
      <c r="O723" s="146"/>
      <c r="P723" s="146"/>
      <c r="Q723" s="30"/>
      <c r="R723" s="146"/>
      <c r="S723" s="147"/>
      <c r="T723" s="146"/>
      <c r="U723" s="146"/>
      <c r="V723" s="146"/>
      <c r="W723" s="146"/>
      <c r="X723" s="146"/>
      <c r="Y723" s="146"/>
      <c r="Z723" s="146"/>
      <c r="AA723" s="146"/>
      <c r="AB723" s="146"/>
      <c r="AC723" s="146"/>
      <c r="AD723" s="146"/>
      <c r="AE723" s="146"/>
      <c r="AF723" s="146"/>
      <c r="AG723" s="146"/>
      <c r="AH723" s="146"/>
      <c r="AI723" s="146"/>
    </row>
    <row r="724" spans="1:35" ht="13.5" customHeight="1" x14ac:dyDescent="0.25">
      <c r="A724" s="28"/>
      <c r="B724" s="28"/>
      <c r="C724" s="28"/>
      <c r="D724" s="28"/>
      <c r="E724" s="28"/>
      <c r="F724" s="28"/>
      <c r="G724" s="29"/>
      <c r="H724" s="28"/>
      <c r="I724" s="147"/>
      <c r="J724" s="147"/>
      <c r="K724" s="146"/>
      <c r="L724" s="146"/>
      <c r="M724" s="146"/>
      <c r="N724" s="146"/>
      <c r="O724" s="146"/>
      <c r="P724" s="146"/>
      <c r="Q724" s="30"/>
      <c r="R724" s="146"/>
      <c r="S724" s="147"/>
      <c r="T724" s="146"/>
      <c r="U724" s="146"/>
      <c r="V724" s="146"/>
      <c r="W724" s="146"/>
      <c r="X724" s="146"/>
      <c r="Y724" s="146"/>
      <c r="Z724" s="146"/>
      <c r="AA724" s="146"/>
      <c r="AB724" s="146"/>
      <c r="AC724" s="146"/>
      <c r="AD724" s="146"/>
      <c r="AE724" s="146"/>
      <c r="AF724" s="146"/>
      <c r="AG724" s="146"/>
      <c r="AH724" s="146"/>
      <c r="AI724" s="146"/>
    </row>
    <row r="725" spans="1:35" ht="13.5" customHeight="1" x14ac:dyDescent="0.25">
      <c r="A725" s="28"/>
      <c r="B725" s="28"/>
      <c r="C725" s="28"/>
      <c r="D725" s="28"/>
      <c r="E725" s="28"/>
      <c r="F725" s="28"/>
      <c r="G725" s="29"/>
      <c r="H725" s="28"/>
      <c r="I725" s="147"/>
      <c r="J725" s="147"/>
      <c r="K725" s="146"/>
      <c r="L725" s="146"/>
      <c r="M725" s="146"/>
      <c r="N725" s="146"/>
      <c r="O725" s="146"/>
      <c r="P725" s="146"/>
      <c r="Q725" s="30"/>
      <c r="R725" s="146"/>
      <c r="S725" s="147"/>
      <c r="T725" s="146"/>
      <c r="U725" s="146"/>
      <c r="V725" s="146"/>
      <c r="W725" s="146"/>
      <c r="X725" s="146"/>
      <c r="Y725" s="146"/>
      <c r="Z725" s="146"/>
      <c r="AA725" s="146"/>
      <c r="AB725" s="146"/>
      <c r="AC725" s="146"/>
      <c r="AD725" s="146"/>
      <c r="AE725" s="146"/>
      <c r="AF725" s="146"/>
      <c r="AG725" s="146"/>
      <c r="AH725" s="146"/>
      <c r="AI725" s="146"/>
    </row>
    <row r="726" spans="1:35" ht="13.5" customHeight="1" x14ac:dyDescent="0.25">
      <c r="A726" s="28"/>
      <c r="B726" s="28"/>
      <c r="C726" s="28"/>
      <c r="D726" s="28"/>
      <c r="E726" s="28"/>
      <c r="F726" s="28"/>
      <c r="G726" s="29"/>
      <c r="H726" s="28"/>
      <c r="I726" s="147"/>
      <c r="J726" s="147"/>
      <c r="K726" s="146"/>
      <c r="L726" s="146"/>
      <c r="M726" s="146"/>
      <c r="N726" s="146"/>
      <c r="O726" s="146"/>
      <c r="P726" s="146"/>
      <c r="Q726" s="30"/>
      <c r="R726" s="146"/>
      <c r="S726" s="147"/>
      <c r="T726" s="146"/>
      <c r="U726" s="146"/>
      <c r="V726" s="146"/>
      <c r="W726" s="146"/>
      <c r="X726" s="146"/>
      <c r="Y726" s="146"/>
      <c r="Z726" s="146"/>
      <c r="AA726" s="146"/>
      <c r="AB726" s="146"/>
      <c r="AC726" s="146"/>
      <c r="AD726" s="146"/>
      <c r="AE726" s="146"/>
      <c r="AF726" s="146"/>
      <c r="AG726" s="146"/>
      <c r="AH726" s="146"/>
      <c r="AI726" s="146"/>
    </row>
    <row r="727" spans="1:35" ht="13.5" customHeight="1" x14ac:dyDescent="0.25">
      <c r="A727" s="28"/>
      <c r="B727" s="28"/>
      <c r="C727" s="28"/>
      <c r="D727" s="28"/>
      <c r="E727" s="28"/>
      <c r="F727" s="28"/>
      <c r="G727" s="29"/>
      <c r="H727" s="28"/>
      <c r="I727" s="147"/>
      <c r="J727" s="147"/>
      <c r="K727" s="146"/>
      <c r="L727" s="146"/>
      <c r="M727" s="146"/>
      <c r="N727" s="146"/>
      <c r="O727" s="146"/>
      <c r="P727" s="146"/>
      <c r="Q727" s="30"/>
      <c r="R727" s="146"/>
      <c r="S727" s="147"/>
      <c r="T727" s="146"/>
      <c r="U727" s="146"/>
      <c r="V727" s="146"/>
      <c r="W727" s="146"/>
      <c r="X727" s="146"/>
      <c r="Y727" s="146"/>
      <c r="Z727" s="146"/>
      <c r="AA727" s="146"/>
      <c r="AB727" s="146"/>
      <c r="AC727" s="146"/>
      <c r="AD727" s="146"/>
      <c r="AE727" s="146"/>
      <c r="AF727" s="146"/>
      <c r="AG727" s="146"/>
      <c r="AH727" s="146"/>
      <c r="AI727" s="146"/>
    </row>
    <row r="728" spans="1:35" ht="13.5" customHeight="1" x14ac:dyDescent="0.25">
      <c r="A728" s="28"/>
      <c r="B728" s="28"/>
      <c r="C728" s="28"/>
      <c r="D728" s="28"/>
      <c r="E728" s="28"/>
      <c r="F728" s="28"/>
      <c r="G728" s="29"/>
      <c r="H728" s="28"/>
      <c r="I728" s="147"/>
      <c r="J728" s="147"/>
      <c r="K728" s="146"/>
      <c r="L728" s="146"/>
      <c r="M728" s="146"/>
      <c r="N728" s="146"/>
      <c r="O728" s="146"/>
      <c r="P728" s="146"/>
      <c r="Q728" s="30"/>
      <c r="R728" s="146"/>
      <c r="S728" s="147"/>
      <c r="T728" s="146"/>
      <c r="U728" s="146"/>
      <c r="V728" s="146"/>
      <c r="W728" s="146"/>
      <c r="X728" s="146"/>
      <c r="Y728" s="146"/>
      <c r="Z728" s="146"/>
      <c r="AA728" s="146"/>
      <c r="AB728" s="146"/>
      <c r="AC728" s="146"/>
      <c r="AD728" s="146"/>
      <c r="AE728" s="146"/>
      <c r="AF728" s="146"/>
      <c r="AG728" s="146"/>
      <c r="AH728" s="146"/>
      <c r="AI728" s="146"/>
    </row>
    <row r="729" spans="1:35" ht="13.5" customHeight="1" x14ac:dyDescent="0.25">
      <c r="A729" s="28"/>
      <c r="B729" s="28"/>
      <c r="C729" s="28"/>
      <c r="D729" s="28"/>
      <c r="E729" s="28"/>
      <c r="F729" s="28"/>
      <c r="G729" s="29"/>
      <c r="H729" s="28"/>
      <c r="I729" s="147"/>
      <c r="J729" s="147"/>
      <c r="K729" s="146"/>
      <c r="L729" s="146"/>
      <c r="M729" s="146"/>
      <c r="N729" s="146"/>
      <c r="O729" s="146"/>
      <c r="P729" s="146"/>
      <c r="Q729" s="30"/>
      <c r="R729" s="146"/>
      <c r="S729" s="147"/>
      <c r="T729" s="146"/>
      <c r="U729" s="146"/>
      <c r="V729" s="146"/>
      <c r="W729" s="146"/>
      <c r="X729" s="146"/>
      <c r="Y729" s="146"/>
      <c r="Z729" s="146"/>
      <c r="AA729" s="146"/>
      <c r="AB729" s="146"/>
      <c r="AC729" s="146"/>
      <c r="AD729" s="146"/>
      <c r="AE729" s="146"/>
      <c r="AF729" s="146"/>
      <c r="AG729" s="146"/>
      <c r="AH729" s="146"/>
      <c r="AI729" s="146"/>
    </row>
    <row r="730" spans="1:35" ht="13.5" customHeight="1" x14ac:dyDescent="0.25">
      <c r="A730" s="28"/>
      <c r="B730" s="28"/>
      <c r="C730" s="28"/>
      <c r="D730" s="28"/>
      <c r="E730" s="28"/>
      <c r="F730" s="28"/>
      <c r="G730" s="29"/>
      <c r="H730" s="28"/>
      <c r="I730" s="147"/>
      <c r="J730" s="147"/>
      <c r="K730" s="146"/>
      <c r="L730" s="146"/>
      <c r="M730" s="146"/>
      <c r="N730" s="146"/>
      <c r="O730" s="146"/>
      <c r="P730" s="146"/>
      <c r="Q730" s="30"/>
      <c r="R730" s="146"/>
      <c r="S730" s="147"/>
      <c r="T730" s="146"/>
      <c r="U730" s="146"/>
      <c r="V730" s="146"/>
      <c r="W730" s="146"/>
      <c r="X730" s="146"/>
      <c r="Y730" s="146"/>
      <c r="Z730" s="146"/>
      <c r="AA730" s="146"/>
      <c r="AB730" s="146"/>
      <c r="AC730" s="146"/>
      <c r="AD730" s="146"/>
      <c r="AE730" s="146"/>
      <c r="AF730" s="146"/>
      <c r="AG730" s="146"/>
      <c r="AH730" s="146"/>
      <c r="AI730" s="146"/>
    </row>
    <row r="731" spans="1:35" ht="13.5" customHeight="1" x14ac:dyDescent="0.25">
      <c r="A731" s="28"/>
      <c r="B731" s="28"/>
      <c r="C731" s="28"/>
      <c r="D731" s="28"/>
      <c r="E731" s="28"/>
      <c r="F731" s="28"/>
      <c r="G731" s="29"/>
      <c r="H731" s="28"/>
      <c r="I731" s="147"/>
      <c r="J731" s="147"/>
      <c r="K731" s="146"/>
      <c r="L731" s="146"/>
      <c r="M731" s="146"/>
      <c r="N731" s="146"/>
      <c r="O731" s="146"/>
      <c r="P731" s="146"/>
      <c r="Q731" s="30"/>
      <c r="R731" s="146"/>
      <c r="S731" s="147"/>
      <c r="T731" s="146"/>
      <c r="U731" s="146"/>
      <c r="V731" s="146"/>
      <c r="W731" s="146"/>
      <c r="X731" s="146"/>
      <c r="Y731" s="146"/>
      <c r="Z731" s="146"/>
      <c r="AA731" s="146"/>
      <c r="AB731" s="146"/>
      <c r="AC731" s="146"/>
      <c r="AD731" s="146"/>
      <c r="AE731" s="146"/>
      <c r="AF731" s="146"/>
      <c r="AG731" s="146"/>
      <c r="AH731" s="146"/>
      <c r="AI731" s="146"/>
    </row>
    <row r="732" spans="1:35" ht="13.5" customHeight="1" x14ac:dyDescent="0.25">
      <c r="A732" s="28"/>
      <c r="B732" s="28"/>
      <c r="C732" s="28"/>
      <c r="D732" s="28"/>
      <c r="E732" s="28"/>
      <c r="F732" s="28"/>
      <c r="G732" s="29"/>
      <c r="H732" s="28"/>
      <c r="I732" s="147"/>
      <c r="J732" s="147"/>
      <c r="K732" s="146"/>
      <c r="L732" s="146"/>
      <c r="M732" s="146"/>
      <c r="N732" s="146"/>
      <c r="O732" s="146"/>
      <c r="P732" s="146"/>
      <c r="Q732" s="30"/>
      <c r="R732" s="146"/>
      <c r="S732" s="147"/>
      <c r="T732" s="146"/>
      <c r="U732" s="146"/>
      <c r="V732" s="146"/>
      <c r="W732" s="146"/>
      <c r="X732" s="146"/>
      <c r="Y732" s="146"/>
      <c r="Z732" s="146"/>
      <c r="AA732" s="146"/>
      <c r="AB732" s="146"/>
      <c r="AC732" s="146"/>
      <c r="AD732" s="146"/>
      <c r="AE732" s="146"/>
      <c r="AF732" s="146"/>
      <c r="AG732" s="146"/>
      <c r="AH732" s="146"/>
      <c r="AI732" s="146"/>
    </row>
    <row r="733" spans="1:35" ht="13.5" customHeight="1" x14ac:dyDescent="0.25">
      <c r="A733" s="28"/>
      <c r="B733" s="28"/>
      <c r="C733" s="28"/>
      <c r="D733" s="28"/>
      <c r="E733" s="28"/>
      <c r="F733" s="28"/>
      <c r="G733" s="29"/>
      <c r="H733" s="28"/>
      <c r="I733" s="147"/>
      <c r="J733" s="147"/>
      <c r="K733" s="146"/>
      <c r="L733" s="146"/>
      <c r="M733" s="146"/>
      <c r="N733" s="146"/>
      <c r="O733" s="146"/>
      <c r="P733" s="146"/>
      <c r="Q733" s="30"/>
      <c r="R733" s="146"/>
      <c r="S733" s="147"/>
      <c r="T733" s="146"/>
      <c r="U733" s="146"/>
      <c r="V733" s="146"/>
      <c r="W733" s="146"/>
      <c r="X733" s="146"/>
      <c r="Y733" s="146"/>
      <c r="Z733" s="146"/>
      <c r="AA733" s="146"/>
      <c r="AB733" s="146"/>
      <c r="AC733" s="146"/>
      <c r="AD733" s="146"/>
      <c r="AE733" s="146"/>
      <c r="AF733" s="146"/>
      <c r="AG733" s="146"/>
      <c r="AH733" s="146"/>
      <c r="AI733" s="146"/>
    </row>
    <row r="734" spans="1:35" ht="13.5" customHeight="1" x14ac:dyDescent="0.25">
      <c r="A734" s="28"/>
      <c r="B734" s="28"/>
      <c r="C734" s="28"/>
      <c r="D734" s="28"/>
      <c r="E734" s="28"/>
      <c r="F734" s="28"/>
      <c r="G734" s="29"/>
      <c r="H734" s="28"/>
      <c r="I734" s="147"/>
      <c r="J734" s="147"/>
      <c r="K734" s="146"/>
      <c r="L734" s="146"/>
      <c r="M734" s="146"/>
      <c r="N734" s="146"/>
      <c r="O734" s="146"/>
      <c r="P734" s="146"/>
      <c r="Q734" s="30"/>
      <c r="R734" s="146"/>
      <c r="S734" s="147"/>
      <c r="T734" s="146"/>
      <c r="U734" s="146"/>
      <c r="V734" s="146"/>
      <c r="W734" s="146"/>
      <c r="X734" s="146"/>
      <c r="Y734" s="146"/>
      <c r="Z734" s="146"/>
      <c r="AA734" s="146"/>
      <c r="AB734" s="146"/>
      <c r="AC734" s="146"/>
      <c r="AD734" s="146"/>
      <c r="AE734" s="146"/>
      <c r="AF734" s="146"/>
      <c r="AG734" s="146"/>
      <c r="AH734" s="146"/>
      <c r="AI734" s="146"/>
    </row>
    <row r="735" spans="1:35" ht="13.5" customHeight="1" x14ac:dyDescent="0.25">
      <c r="A735" s="28"/>
      <c r="B735" s="28"/>
      <c r="C735" s="28"/>
      <c r="D735" s="28"/>
      <c r="E735" s="28"/>
      <c r="F735" s="28"/>
      <c r="G735" s="29"/>
      <c r="H735" s="28"/>
      <c r="I735" s="147"/>
      <c r="J735" s="147"/>
      <c r="K735" s="146"/>
      <c r="L735" s="146"/>
      <c r="M735" s="146"/>
      <c r="N735" s="146"/>
      <c r="O735" s="146"/>
      <c r="P735" s="146"/>
      <c r="Q735" s="30"/>
      <c r="R735" s="146"/>
      <c r="S735" s="147"/>
      <c r="T735" s="146"/>
      <c r="U735" s="146"/>
      <c r="V735" s="146"/>
      <c r="W735" s="146"/>
      <c r="X735" s="146"/>
      <c r="Y735" s="146"/>
      <c r="Z735" s="146"/>
      <c r="AA735" s="146"/>
      <c r="AB735" s="146"/>
      <c r="AC735" s="146"/>
      <c r="AD735" s="146"/>
      <c r="AE735" s="146"/>
      <c r="AF735" s="146"/>
      <c r="AG735" s="146"/>
      <c r="AH735" s="146"/>
      <c r="AI735" s="146"/>
    </row>
    <row r="736" spans="1:35" ht="13.5" customHeight="1" x14ac:dyDescent="0.25">
      <c r="A736" s="28"/>
      <c r="B736" s="28"/>
      <c r="C736" s="28"/>
      <c r="D736" s="28"/>
      <c r="E736" s="28"/>
      <c r="F736" s="28"/>
      <c r="G736" s="29"/>
      <c r="H736" s="28"/>
      <c r="I736" s="147"/>
      <c r="J736" s="147"/>
      <c r="K736" s="146"/>
      <c r="L736" s="146"/>
      <c r="M736" s="146"/>
      <c r="N736" s="146"/>
      <c r="O736" s="146"/>
      <c r="P736" s="146"/>
      <c r="Q736" s="30"/>
      <c r="R736" s="146"/>
      <c r="S736" s="147"/>
      <c r="T736" s="146"/>
      <c r="U736" s="146"/>
      <c r="V736" s="146"/>
      <c r="W736" s="146"/>
      <c r="X736" s="146"/>
      <c r="Y736" s="146"/>
      <c r="Z736" s="146"/>
      <c r="AA736" s="146"/>
      <c r="AB736" s="146"/>
      <c r="AC736" s="146"/>
      <c r="AD736" s="146"/>
      <c r="AE736" s="146"/>
      <c r="AF736" s="146"/>
      <c r="AG736" s="146"/>
      <c r="AH736" s="146"/>
      <c r="AI736" s="146"/>
    </row>
    <row r="737" spans="1:35" ht="13.5" customHeight="1" x14ac:dyDescent="0.25">
      <c r="A737" s="28"/>
      <c r="B737" s="28"/>
      <c r="C737" s="28"/>
      <c r="D737" s="28"/>
      <c r="E737" s="28"/>
      <c r="F737" s="28"/>
      <c r="G737" s="29"/>
      <c r="H737" s="28"/>
      <c r="I737" s="147"/>
      <c r="J737" s="147"/>
      <c r="K737" s="146"/>
      <c r="L737" s="146"/>
      <c r="M737" s="146"/>
      <c r="N737" s="146"/>
      <c r="O737" s="146"/>
      <c r="P737" s="146"/>
      <c r="Q737" s="30"/>
      <c r="R737" s="146"/>
      <c r="S737" s="147"/>
      <c r="T737" s="146"/>
      <c r="U737" s="146"/>
      <c r="V737" s="146"/>
      <c r="W737" s="146"/>
      <c r="X737" s="146"/>
      <c r="Y737" s="146"/>
      <c r="Z737" s="146"/>
      <c r="AA737" s="146"/>
      <c r="AB737" s="146"/>
      <c r="AC737" s="146"/>
      <c r="AD737" s="146"/>
      <c r="AE737" s="146"/>
      <c r="AF737" s="146"/>
      <c r="AG737" s="146"/>
      <c r="AH737" s="146"/>
      <c r="AI737" s="146"/>
    </row>
    <row r="738" spans="1:35" ht="13.5" customHeight="1" x14ac:dyDescent="0.25">
      <c r="A738" s="28"/>
      <c r="B738" s="28"/>
      <c r="C738" s="28"/>
      <c r="D738" s="28"/>
      <c r="E738" s="28"/>
      <c r="F738" s="28"/>
      <c r="G738" s="29"/>
      <c r="H738" s="28"/>
      <c r="I738" s="147"/>
      <c r="J738" s="147"/>
      <c r="K738" s="146"/>
      <c r="L738" s="146"/>
      <c r="M738" s="146"/>
      <c r="N738" s="146"/>
      <c r="O738" s="146"/>
      <c r="P738" s="146"/>
      <c r="Q738" s="30"/>
      <c r="R738" s="146"/>
      <c r="S738" s="147"/>
      <c r="T738" s="146"/>
      <c r="U738" s="146"/>
      <c r="V738" s="146"/>
      <c r="W738" s="146"/>
      <c r="X738" s="146"/>
      <c r="Y738" s="146"/>
      <c r="Z738" s="146"/>
      <c r="AA738" s="146"/>
      <c r="AB738" s="146"/>
      <c r="AC738" s="146"/>
      <c r="AD738" s="146"/>
      <c r="AE738" s="146"/>
      <c r="AF738" s="146"/>
      <c r="AG738" s="146"/>
      <c r="AH738" s="146"/>
      <c r="AI738" s="146"/>
    </row>
    <row r="739" spans="1:35" ht="13.5" customHeight="1" x14ac:dyDescent="0.25">
      <c r="A739" s="28"/>
      <c r="B739" s="28"/>
      <c r="C739" s="28"/>
      <c r="D739" s="28"/>
      <c r="E739" s="28"/>
      <c r="F739" s="28"/>
      <c r="G739" s="29"/>
      <c r="H739" s="28"/>
      <c r="I739" s="147"/>
      <c r="J739" s="147"/>
      <c r="K739" s="146"/>
      <c r="L739" s="146"/>
      <c r="M739" s="146"/>
      <c r="N739" s="146"/>
      <c r="O739" s="146"/>
      <c r="P739" s="146"/>
      <c r="Q739" s="30"/>
      <c r="R739" s="146"/>
      <c r="S739" s="147"/>
      <c r="T739" s="146"/>
      <c r="U739" s="146"/>
      <c r="V739" s="146"/>
      <c r="W739" s="146"/>
      <c r="X739" s="146"/>
      <c r="Y739" s="146"/>
      <c r="Z739" s="146"/>
      <c r="AA739" s="146"/>
      <c r="AB739" s="146"/>
      <c r="AC739" s="146"/>
      <c r="AD739" s="146"/>
      <c r="AE739" s="146"/>
      <c r="AF739" s="146"/>
      <c r="AG739" s="146"/>
      <c r="AH739" s="146"/>
      <c r="AI739" s="146"/>
    </row>
    <row r="740" spans="1:35" ht="13.5" customHeight="1" x14ac:dyDescent="0.25">
      <c r="A740" s="28"/>
      <c r="B740" s="28"/>
      <c r="C740" s="28"/>
      <c r="D740" s="28"/>
      <c r="E740" s="28"/>
      <c r="F740" s="28"/>
      <c r="G740" s="29"/>
      <c r="H740" s="28"/>
      <c r="I740" s="147"/>
      <c r="J740" s="147"/>
      <c r="K740" s="146"/>
      <c r="L740" s="146"/>
      <c r="M740" s="146"/>
      <c r="N740" s="146"/>
      <c r="O740" s="146"/>
      <c r="P740" s="146"/>
      <c r="Q740" s="30"/>
      <c r="R740" s="146"/>
      <c r="S740" s="147"/>
      <c r="T740" s="146"/>
      <c r="U740" s="146"/>
      <c r="V740" s="146"/>
      <c r="W740" s="146"/>
      <c r="X740" s="146"/>
      <c r="Y740" s="146"/>
      <c r="Z740" s="146"/>
      <c r="AA740" s="146"/>
      <c r="AB740" s="146"/>
      <c r="AC740" s="146"/>
      <c r="AD740" s="146"/>
      <c r="AE740" s="146"/>
      <c r="AF740" s="146"/>
      <c r="AG740" s="146"/>
      <c r="AH740" s="146"/>
      <c r="AI740" s="146"/>
    </row>
    <row r="741" spans="1:35" ht="13.5" customHeight="1" x14ac:dyDescent="0.25">
      <c r="A741" s="28"/>
      <c r="B741" s="28"/>
      <c r="C741" s="28"/>
      <c r="D741" s="28"/>
      <c r="E741" s="28"/>
      <c r="F741" s="28"/>
      <c r="G741" s="29"/>
      <c r="H741" s="28"/>
      <c r="I741" s="147"/>
      <c r="J741" s="147"/>
      <c r="K741" s="146"/>
      <c r="L741" s="146"/>
      <c r="M741" s="146"/>
      <c r="N741" s="146"/>
      <c r="O741" s="146"/>
      <c r="P741" s="146"/>
      <c r="Q741" s="30"/>
      <c r="R741" s="146"/>
      <c r="S741" s="147"/>
      <c r="T741" s="146"/>
      <c r="U741" s="146"/>
      <c r="V741" s="146"/>
      <c r="W741" s="146"/>
      <c r="X741" s="146"/>
      <c r="Y741" s="146"/>
      <c r="Z741" s="146"/>
      <c r="AA741" s="146"/>
      <c r="AB741" s="146"/>
      <c r="AC741" s="146"/>
      <c r="AD741" s="146"/>
      <c r="AE741" s="146"/>
      <c r="AF741" s="146"/>
      <c r="AG741" s="146"/>
      <c r="AH741" s="146"/>
      <c r="AI741" s="146"/>
    </row>
    <row r="742" spans="1:35" ht="13.5" customHeight="1" x14ac:dyDescent="0.25">
      <c r="A742" s="28"/>
      <c r="B742" s="28"/>
      <c r="C742" s="28"/>
      <c r="D742" s="28"/>
      <c r="E742" s="28"/>
      <c r="F742" s="28"/>
      <c r="G742" s="29"/>
      <c r="H742" s="28"/>
      <c r="I742" s="147"/>
      <c r="J742" s="147"/>
      <c r="K742" s="146"/>
      <c r="L742" s="146"/>
      <c r="M742" s="146"/>
      <c r="N742" s="146"/>
      <c r="O742" s="146"/>
      <c r="P742" s="146"/>
      <c r="Q742" s="30"/>
      <c r="R742" s="146"/>
      <c r="S742" s="147"/>
      <c r="T742" s="146"/>
      <c r="U742" s="146"/>
      <c r="V742" s="146"/>
      <c r="W742" s="146"/>
      <c r="X742" s="146"/>
      <c r="Y742" s="146"/>
      <c r="Z742" s="146"/>
      <c r="AA742" s="146"/>
      <c r="AB742" s="146"/>
      <c r="AC742" s="146"/>
      <c r="AD742" s="146"/>
      <c r="AE742" s="146"/>
      <c r="AF742" s="146"/>
      <c r="AG742" s="146"/>
      <c r="AH742" s="146"/>
      <c r="AI742" s="146"/>
    </row>
    <row r="743" spans="1:35" ht="13.5" customHeight="1" x14ac:dyDescent="0.25">
      <c r="A743" s="28"/>
      <c r="B743" s="28"/>
      <c r="C743" s="28"/>
      <c r="D743" s="28"/>
      <c r="E743" s="28"/>
      <c r="F743" s="28"/>
      <c r="G743" s="29"/>
      <c r="H743" s="28"/>
      <c r="I743" s="147"/>
      <c r="J743" s="147"/>
      <c r="K743" s="146"/>
      <c r="L743" s="146"/>
      <c r="M743" s="146"/>
      <c r="N743" s="146"/>
      <c r="O743" s="146"/>
      <c r="P743" s="146"/>
      <c r="Q743" s="30"/>
      <c r="R743" s="146"/>
      <c r="S743" s="147"/>
      <c r="T743" s="146"/>
      <c r="U743" s="146"/>
      <c r="V743" s="146"/>
      <c r="W743" s="146"/>
      <c r="X743" s="146"/>
      <c r="Y743" s="146"/>
      <c r="Z743" s="146"/>
      <c r="AA743" s="146"/>
      <c r="AB743" s="146"/>
      <c r="AC743" s="146"/>
      <c r="AD743" s="146"/>
      <c r="AE743" s="146"/>
      <c r="AF743" s="146"/>
      <c r="AG743" s="146"/>
      <c r="AH743" s="146"/>
      <c r="AI743" s="146"/>
    </row>
    <row r="744" spans="1:35" ht="13.5" customHeight="1" x14ac:dyDescent="0.25">
      <c r="A744" s="28"/>
      <c r="B744" s="28"/>
      <c r="C744" s="28"/>
      <c r="D744" s="28"/>
      <c r="E744" s="28"/>
      <c r="F744" s="28"/>
      <c r="G744" s="29"/>
      <c r="H744" s="28"/>
      <c r="I744" s="147"/>
      <c r="J744" s="147"/>
      <c r="K744" s="146"/>
      <c r="L744" s="146"/>
      <c r="M744" s="146"/>
      <c r="N744" s="146"/>
      <c r="O744" s="146"/>
      <c r="P744" s="146"/>
      <c r="Q744" s="30"/>
      <c r="R744" s="146"/>
      <c r="S744" s="147"/>
      <c r="T744" s="146"/>
      <c r="U744" s="146"/>
      <c r="V744" s="146"/>
      <c r="W744" s="146"/>
      <c r="X744" s="146"/>
      <c r="Y744" s="146"/>
      <c r="Z744" s="146"/>
      <c r="AA744" s="146"/>
      <c r="AB744" s="146"/>
      <c r="AC744" s="146"/>
      <c r="AD744" s="146"/>
      <c r="AE744" s="146"/>
      <c r="AF744" s="146"/>
      <c r="AG744" s="146"/>
      <c r="AH744" s="146"/>
      <c r="AI744" s="146"/>
    </row>
    <row r="745" spans="1:35" ht="13.5" customHeight="1" x14ac:dyDescent="0.25">
      <c r="A745" s="28"/>
      <c r="B745" s="28"/>
      <c r="C745" s="28"/>
      <c r="D745" s="28"/>
      <c r="E745" s="28"/>
      <c r="F745" s="28"/>
      <c r="G745" s="29"/>
      <c r="H745" s="28"/>
      <c r="I745" s="147"/>
      <c r="J745" s="147"/>
      <c r="K745" s="146"/>
      <c r="L745" s="146"/>
      <c r="M745" s="146"/>
      <c r="N745" s="146"/>
      <c r="O745" s="146"/>
      <c r="P745" s="146"/>
      <c r="Q745" s="30"/>
      <c r="R745" s="146"/>
      <c r="S745" s="147"/>
      <c r="T745" s="146"/>
      <c r="U745" s="146"/>
      <c r="V745" s="146"/>
      <c r="W745" s="146"/>
      <c r="X745" s="146"/>
      <c r="Y745" s="146"/>
      <c r="Z745" s="146"/>
      <c r="AA745" s="146"/>
      <c r="AB745" s="146"/>
      <c r="AC745" s="146"/>
      <c r="AD745" s="146"/>
      <c r="AE745" s="146"/>
      <c r="AF745" s="146"/>
      <c r="AG745" s="146"/>
      <c r="AH745" s="146"/>
      <c r="AI745" s="146"/>
    </row>
    <row r="746" spans="1:35" ht="13.5" customHeight="1" x14ac:dyDescent="0.25">
      <c r="A746" s="28"/>
      <c r="B746" s="28"/>
      <c r="C746" s="28"/>
      <c r="D746" s="28"/>
      <c r="E746" s="28"/>
      <c r="F746" s="28"/>
      <c r="G746" s="29"/>
      <c r="H746" s="28"/>
      <c r="I746" s="147"/>
      <c r="J746" s="147"/>
      <c r="K746" s="146"/>
      <c r="L746" s="146"/>
      <c r="M746" s="146"/>
      <c r="N746" s="146"/>
      <c r="O746" s="146"/>
      <c r="P746" s="146"/>
      <c r="Q746" s="30"/>
      <c r="R746" s="146"/>
      <c r="S746" s="147"/>
      <c r="T746" s="146"/>
      <c r="U746" s="146"/>
      <c r="V746" s="146"/>
      <c r="W746" s="146"/>
      <c r="X746" s="146"/>
      <c r="Y746" s="146"/>
      <c r="Z746" s="146"/>
      <c r="AA746" s="146"/>
      <c r="AB746" s="146"/>
      <c r="AC746" s="146"/>
      <c r="AD746" s="146"/>
      <c r="AE746" s="146"/>
      <c r="AF746" s="146"/>
      <c r="AG746" s="146"/>
      <c r="AH746" s="146"/>
      <c r="AI746" s="146"/>
    </row>
    <row r="747" spans="1:35" ht="13.5" customHeight="1" x14ac:dyDescent="0.25">
      <c r="A747" s="28"/>
      <c r="B747" s="28"/>
      <c r="C747" s="28"/>
      <c r="D747" s="28"/>
      <c r="E747" s="28"/>
      <c r="F747" s="28"/>
      <c r="G747" s="29"/>
      <c r="H747" s="28"/>
      <c r="I747" s="147"/>
      <c r="J747" s="147"/>
      <c r="K747" s="146"/>
      <c r="L747" s="146"/>
      <c r="M747" s="146"/>
      <c r="N747" s="146"/>
      <c r="O747" s="146"/>
      <c r="P747" s="146"/>
      <c r="Q747" s="30"/>
      <c r="R747" s="146"/>
      <c r="S747" s="147"/>
      <c r="T747" s="146"/>
      <c r="U747" s="146"/>
      <c r="V747" s="146"/>
      <c r="W747" s="146"/>
      <c r="X747" s="146"/>
      <c r="Y747" s="146"/>
      <c r="Z747" s="146"/>
      <c r="AA747" s="146"/>
      <c r="AB747" s="146"/>
      <c r="AC747" s="146"/>
      <c r="AD747" s="146"/>
      <c r="AE747" s="146"/>
      <c r="AF747" s="146"/>
      <c r="AG747" s="146"/>
      <c r="AH747" s="146"/>
      <c r="AI747" s="146"/>
    </row>
    <row r="748" spans="1:35" ht="13.5" customHeight="1" x14ac:dyDescent="0.25">
      <c r="A748" s="28"/>
      <c r="B748" s="28"/>
      <c r="C748" s="28"/>
      <c r="D748" s="28"/>
      <c r="E748" s="28"/>
      <c r="F748" s="28"/>
      <c r="G748" s="29"/>
      <c r="H748" s="28"/>
      <c r="I748" s="147"/>
      <c r="J748" s="147"/>
      <c r="K748" s="146"/>
      <c r="L748" s="146"/>
      <c r="M748" s="146"/>
      <c r="N748" s="146"/>
      <c r="O748" s="146"/>
      <c r="P748" s="146"/>
      <c r="Q748" s="30"/>
      <c r="R748" s="146"/>
      <c r="S748" s="147"/>
      <c r="T748" s="146"/>
      <c r="U748" s="146"/>
      <c r="V748" s="146"/>
      <c r="W748" s="146"/>
      <c r="X748" s="146"/>
      <c r="Y748" s="146"/>
      <c r="Z748" s="146"/>
      <c r="AA748" s="146"/>
      <c r="AB748" s="146"/>
      <c r="AC748" s="146"/>
      <c r="AD748" s="146"/>
      <c r="AE748" s="146"/>
      <c r="AF748" s="146"/>
      <c r="AG748" s="146"/>
      <c r="AH748" s="146"/>
      <c r="AI748" s="146"/>
    </row>
    <row r="749" spans="1:35" ht="13.5" customHeight="1" x14ac:dyDescent="0.25">
      <c r="A749" s="28"/>
      <c r="B749" s="28"/>
      <c r="C749" s="28"/>
      <c r="D749" s="28"/>
      <c r="E749" s="28"/>
      <c r="F749" s="28"/>
      <c r="G749" s="29"/>
      <c r="H749" s="28"/>
      <c r="I749" s="147"/>
      <c r="J749" s="147"/>
      <c r="K749" s="146"/>
      <c r="L749" s="146"/>
      <c r="M749" s="146"/>
      <c r="N749" s="146"/>
      <c r="O749" s="146"/>
      <c r="P749" s="146"/>
      <c r="Q749" s="30"/>
      <c r="R749" s="146"/>
      <c r="S749" s="147"/>
      <c r="T749" s="146"/>
      <c r="U749" s="146"/>
      <c r="V749" s="146"/>
      <c r="W749" s="146"/>
      <c r="X749" s="146"/>
      <c r="Y749" s="146"/>
      <c r="Z749" s="146"/>
      <c r="AA749" s="146"/>
      <c r="AB749" s="146"/>
      <c r="AC749" s="146"/>
      <c r="AD749" s="146"/>
      <c r="AE749" s="146"/>
      <c r="AF749" s="146"/>
      <c r="AG749" s="146"/>
      <c r="AH749" s="146"/>
      <c r="AI749" s="146"/>
    </row>
    <row r="750" spans="1:35" ht="13.5" customHeight="1" x14ac:dyDescent="0.25">
      <c r="A750" s="28"/>
      <c r="B750" s="28"/>
      <c r="C750" s="28"/>
      <c r="D750" s="28"/>
      <c r="E750" s="28"/>
      <c r="F750" s="28"/>
      <c r="G750" s="29"/>
      <c r="H750" s="28"/>
      <c r="I750" s="147"/>
      <c r="J750" s="147"/>
      <c r="K750" s="146"/>
      <c r="L750" s="146"/>
      <c r="M750" s="146"/>
      <c r="N750" s="146"/>
      <c r="O750" s="146"/>
      <c r="P750" s="146"/>
      <c r="Q750" s="30"/>
      <c r="R750" s="146"/>
      <c r="S750" s="147"/>
      <c r="T750" s="146"/>
      <c r="U750" s="146"/>
      <c r="V750" s="146"/>
      <c r="W750" s="146"/>
      <c r="X750" s="146"/>
      <c r="Y750" s="146"/>
      <c r="Z750" s="146"/>
      <c r="AA750" s="146"/>
      <c r="AB750" s="146"/>
      <c r="AC750" s="146"/>
      <c r="AD750" s="146"/>
      <c r="AE750" s="146"/>
      <c r="AF750" s="146"/>
      <c r="AG750" s="146"/>
      <c r="AH750" s="146"/>
      <c r="AI750" s="146"/>
    </row>
    <row r="751" spans="1:35" ht="13.5" customHeight="1" x14ac:dyDescent="0.25">
      <c r="A751" s="28"/>
      <c r="B751" s="28"/>
      <c r="C751" s="28"/>
      <c r="D751" s="28"/>
      <c r="E751" s="28"/>
      <c r="F751" s="28"/>
      <c r="G751" s="29"/>
      <c r="H751" s="28"/>
      <c r="I751" s="147"/>
      <c r="J751" s="147"/>
      <c r="K751" s="146"/>
      <c r="L751" s="146"/>
      <c r="M751" s="146"/>
      <c r="N751" s="146"/>
      <c r="O751" s="146"/>
      <c r="P751" s="146"/>
      <c r="Q751" s="30"/>
      <c r="R751" s="146"/>
      <c r="S751" s="147"/>
      <c r="T751" s="146"/>
      <c r="U751" s="146"/>
      <c r="V751" s="146"/>
      <c r="W751" s="146"/>
      <c r="X751" s="146"/>
      <c r="Y751" s="146"/>
      <c r="Z751" s="146"/>
      <c r="AA751" s="146"/>
      <c r="AB751" s="146"/>
      <c r="AC751" s="146"/>
      <c r="AD751" s="146"/>
      <c r="AE751" s="146"/>
      <c r="AF751" s="146"/>
      <c r="AG751" s="146"/>
      <c r="AH751" s="146"/>
      <c r="AI751" s="146"/>
    </row>
    <row r="752" spans="1:35" ht="13.5" customHeight="1" x14ac:dyDescent="0.25">
      <c r="A752" s="28"/>
      <c r="B752" s="28"/>
      <c r="C752" s="28"/>
      <c r="D752" s="28"/>
      <c r="E752" s="28"/>
      <c r="F752" s="28"/>
      <c r="G752" s="29"/>
      <c r="H752" s="28"/>
      <c r="I752" s="147"/>
      <c r="J752" s="147"/>
      <c r="K752" s="146"/>
      <c r="L752" s="146"/>
      <c r="M752" s="146"/>
      <c r="N752" s="146"/>
      <c r="O752" s="146"/>
      <c r="P752" s="146"/>
      <c r="Q752" s="30"/>
      <c r="R752" s="146"/>
      <c r="S752" s="147"/>
      <c r="T752" s="146"/>
      <c r="U752" s="146"/>
      <c r="V752" s="146"/>
      <c r="W752" s="146"/>
      <c r="X752" s="146"/>
      <c r="Y752" s="146"/>
      <c r="Z752" s="146"/>
      <c r="AA752" s="146"/>
      <c r="AB752" s="146"/>
      <c r="AC752" s="146"/>
      <c r="AD752" s="146"/>
      <c r="AE752" s="146"/>
      <c r="AF752" s="146"/>
      <c r="AG752" s="146"/>
      <c r="AH752" s="146"/>
      <c r="AI752" s="146"/>
    </row>
    <row r="753" spans="1:35" ht="13.5" customHeight="1" x14ac:dyDescent="0.25">
      <c r="A753" s="28"/>
      <c r="B753" s="28"/>
      <c r="C753" s="28"/>
      <c r="D753" s="28"/>
      <c r="E753" s="28"/>
      <c r="F753" s="28"/>
      <c r="G753" s="29"/>
      <c r="H753" s="28"/>
      <c r="I753" s="147"/>
      <c r="J753" s="147"/>
      <c r="K753" s="146"/>
      <c r="L753" s="146"/>
      <c r="M753" s="146"/>
      <c r="N753" s="146"/>
      <c r="O753" s="146"/>
      <c r="P753" s="146"/>
      <c r="Q753" s="30"/>
      <c r="R753" s="146"/>
      <c r="S753" s="147"/>
      <c r="T753" s="146"/>
      <c r="U753" s="146"/>
      <c r="V753" s="146"/>
      <c r="W753" s="146"/>
      <c r="X753" s="146"/>
      <c r="Y753" s="146"/>
      <c r="Z753" s="146"/>
      <c r="AA753" s="146"/>
      <c r="AB753" s="146"/>
      <c r="AC753" s="146"/>
      <c r="AD753" s="146"/>
      <c r="AE753" s="146"/>
      <c r="AF753" s="146"/>
      <c r="AG753" s="146"/>
      <c r="AH753" s="146"/>
      <c r="AI753" s="146"/>
    </row>
    <row r="754" spans="1:35" ht="13.5" customHeight="1" x14ac:dyDescent="0.25">
      <c r="A754" s="28"/>
      <c r="B754" s="28"/>
      <c r="C754" s="28"/>
      <c r="D754" s="28"/>
      <c r="E754" s="28"/>
      <c r="F754" s="28"/>
      <c r="G754" s="29"/>
      <c r="H754" s="28"/>
      <c r="I754" s="147"/>
      <c r="J754" s="147"/>
      <c r="K754" s="146"/>
      <c r="L754" s="146"/>
      <c r="M754" s="146"/>
      <c r="N754" s="146"/>
      <c r="O754" s="146"/>
      <c r="P754" s="146"/>
      <c r="Q754" s="30"/>
      <c r="R754" s="146"/>
      <c r="S754" s="147"/>
      <c r="T754" s="146"/>
      <c r="U754" s="146"/>
      <c r="V754" s="146"/>
      <c r="W754" s="146"/>
      <c r="X754" s="146"/>
      <c r="Y754" s="146"/>
      <c r="Z754" s="146"/>
      <c r="AA754" s="146"/>
      <c r="AB754" s="146"/>
      <c r="AC754" s="146"/>
      <c r="AD754" s="146"/>
      <c r="AE754" s="146"/>
      <c r="AF754" s="146"/>
      <c r="AG754" s="146"/>
      <c r="AH754" s="146"/>
      <c r="AI754" s="146"/>
    </row>
    <row r="755" spans="1:35" ht="13.5" customHeight="1" x14ac:dyDescent="0.25">
      <c r="A755" s="28"/>
      <c r="B755" s="28"/>
      <c r="C755" s="28"/>
      <c r="D755" s="28"/>
      <c r="E755" s="28"/>
      <c r="F755" s="28"/>
      <c r="G755" s="29"/>
      <c r="H755" s="28"/>
      <c r="I755" s="147"/>
      <c r="J755" s="147"/>
      <c r="K755" s="146"/>
      <c r="L755" s="146"/>
      <c r="M755" s="146"/>
      <c r="N755" s="146"/>
      <c r="O755" s="146"/>
      <c r="P755" s="146"/>
      <c r="Q755" s="30"/>
      <c r="R755" s="146"/>
      <c r="S755" s="147"/>
      <c r="T755" s="146"/>
      <c r="U755" s="146"/>
      <c r="V755" s="146"/>
      <c r="W755" s="146"/>
      <c r="X755" s="146"/>
      <c r="Y755" s="146"/>
      <c r="Z755" s="146"/>
      <c r="AA755" s="146"/>
      <c r="AB755" s="146"/>
      <c r="AC755" s="146"/>
      <c r="AD755" s="146"/>
      <c r="AE755" s="146"/>
      <c r="AF755" s="146"/>
      <c r="AG755" s="146"/>
      <c r="AH755" s="146"/>
      <c r="AI755" s="146"/>
    </row>
    <row r="756" spans="1:35" ht="13.5" customHeight="1" x14ac:dyDescent="0.25">
      <c r="A756" s="28"/>
      <c r="B756" s="28"/>
      <c r="C756" s="28"/>
      <c r="D756" s="28"/>
      <c r="E756" s="28"/>
      <c r="F756" s="28"/>
      <c r="G756" s="29"/>
      <c r="H756" s="28"/>
      <c r="I756" s="147"/>
      <c r="J756" s="147"/>
      <c r="K756" s="146"/>
      <c r="L756" s="146"/>
      <c r="M756" s="146"/>
      <c r="N756" s="146"/>
      <c r="O756" s="146"/>
      <c r="P756" s="146"/>
      <c r="Q756" s="30"/>
      <c r="R756" s="146"/>
      <c r="S756" s="147"/>
      <c r="T756" s="146"/>
      <c r="U756" s="146"/>
      <c r="V756" s="146"/>
      <c r="W756" s="146"/>
      <c r="X756" s="146"/>
      <c r="Y756" s="146"/>
      <c r="Z756" s="146"/>
      <c r="AA756" s="146"/>
      <c r="AB756" s="146"/>
      <c r="AC756" s="146"/>
      <c r="AD756" s="146"/>
      <c r="AE756" s="146"/>
      <c r="AF756" s="146"/>
      <c r="AG756" s="146"/>
      <c r="AH756" s="146"/>
      <c r="AI756" s="146"/>
    </row>
    <row r="757" spans="1:35" ht="13.5" customHeight="1" x14ac:dyDescent="0.25">
      <c r="A757" s="28"/>
      <c r="B757" s="28"/>
      <c r="C757" s="28"/>
      <c r="D757" s="28"/>
      <c r="E757" s="28"/>
      <c r="F757" s="28"/>
      <c r="G757" s="29"/>
      <c r="H757" s="28"/>
      <c r="I757" s="147"/>
      <c r="J757" s="147"/>
      <c r="K757" s="146"/>
      <c r="L757" s="146"/>
      <c r="M757" s="146"/>
      <c r="N757" s="146"/>
      <c r="O757" s="146"/>
      <c r="P757" s="146"/>
      <c r="Q757" s="30"/>
      <c r="R757" s="146"/>
      <c r="S757" s="147"/>
      <c r="T757" s="146"/>
      <c r="U757" s="146"/>
      <c r="V757" s="146"/>
      <c r="W757" s="146"/>
      <c r="X757" s="146"/>
      <c r="Y757" s="146"/>
      <c r="Z757" s="146"/>
      <c r="AA757" s="146"/>
      <c r="AB757" s="146"/>
      <c r="AC757" s="146"/>
      <c r="AD757" s="146"/>
      <c r="AE757" s="146"/>
      <c r="AF757" s="146"/>
      <c r="AG757" s="146"/>
      <c r="AH757" s="146"/>
      <c r="AI757" s="146"/>
    </row>
    <row r="758" spans="1:35" ht="13.5" customHeight="1" x14ac:dyDescent="0.25">
      <c r="A758" s="28"/>
      <c r="B758" s="28"/>
      <c r="C758" s="28"/>
      <c r="D758" s="28"/>
      <c r="E758" s="28"/>
      <c r="F758" s="28"/>
      <c r="G758" s="29"/>
      <c r="H758" s="28"/>
      <c r="I758" s="147"/>
      <c r="J758" s="147"/>
      <c r="K758" s="146"/>
      <c r="L758" s="146"/>
      <c r="M758" s="146"/>
      <c r="N758" s="146"/>
      <c r="O758" s="146"/>
      <c r="P758" s="146"/>
      <c r="Q758" s="30"/>
      <c r="R758" s="146"/>
      <c r="S758" s="147"/>
      <c r="T758" s="146"/>
      <c r="U758" s="146"/>
      <c r="V758" s="146"/>
      <c r="W758" s="146"/>
      <c r="X758" s="146"/>
      <c r="Y758" s="146"/>
      <c r="Z758" s="146"/>
      <c r="AA758" s="146"/>
      <c r="AB758" s="146"/>
      <c r="AC758" s="146"/>
      <c r="AD758" s="146"/>
      <c r="AE758" s="146"/>
      <c r="AF758" s="146"/>
      <c r="AG758" s="146"/>
      <c r="AH758" s="146"/>
      <c r="AI758" s="146"/>
    </row>
    <row r="759" spans="1:35" ht="13.5" customHeight="1" x14ac:dyDescent="0.25">
      <c r="A759" s="28"/>
      <c r="B759" s="28"/>
      <c r="C759" s="28"/>
      <c r="D759" s="28"/>
      <c r="E759" s="28"/>
      <c r="F759" s="28"/>
      <c r="G759" s="29"/>
      <c r="H759" s="28"/>
      <c r="I759" s="147"/>
      <c r="J759" s="147"/>
      <c r="K759" s="146"/>
      <c r="L759" s="146"/>
      <c r="M759" s="146"/>
      <c r="N759" s="146"/>
      <c r="O759" s="146"/>
      <c r="P759" s="146"/>
      <c r="Q759" s="30"/>
      <c r="R759" s="146"/>
      <c r="S759" s="147"/>
      <c r="T759" s="146"/>
      <c r="U759" s="146"/>
      <c r="V759" s="146"/>
      <c r="W759" s="146"/>
      <c r="X759" s="146"/>
      <c r="Y759" s="146"/>
      <c r="Z759" s="146"/>
      <c r="AA759" s="146"/>
      <c r="AB759" s="146"/>
      <c r="AC759" s="146"/>
      <c r="AD759" s="146"/>
      <c r="AE759" s="146"/>
      <c r="AF759" s="146"/>
      <c r="AG759" s="146"/>
      <c r="AH759" s="146"/>
      <c r="AI759" s="146"/>
    </row>
    <row r="760" spans="1:35" ht="13.5" customHeight="1" x14ac:dyDescent="0.25">
      <c r="A760" s="28"/>
      <c r="B760" s="28"/>
      <c r="C760" s="28"/>
      <c r="D760" s="28"/>
      <c r="E760" s="28"/>
      <c r="F760" s="28"/>
      <c r="G760" s="29"/>
      <c r="H760" s="28"/>
      <c r="I760" s="147"/>
      <c r="J760" s="147"/>
      <c r="K760" s="146"/>
      <c r="L760" s="146"/>
      <c r="M760" s="146"/>
      <c r="N760" s="146"/>
      <c r="O760" s="146"/>
      <c r="P760" s="146"/>
      <c r="Q760" s="30"/>
      <c r="R760" s="146"/>
      <c r="S760" s="147"/>
      <c r="T760" s="146"/>
      <c r="U760" s="146"/>
      <c r="V760" s="146"/>
      <c r="W760" s="146"/>
      <c r="X760" s="146"/>
      <c r="Y760" s="146"/>
      <c r="Z760" s="146"/>
      <c r="AA760" s="146"/>
      <c r="AB760" s="146"/>
      <c r="AC760" s="146"/>
      <c r="AD760" s="146"/>
      <c r="AE760" s="146"/>
      <c r="AF760" s="146"/>
      <c r="AG760" s="146"/>
      <c r="AH760" s="146"/>
      <c r="AI760" s="146"/>
    </row>
    <row r="761" spans="1:35" ht="13.5" customHeight="1" x14ac:dyDescent="0.25">
      <c r="A761" s="28"/>
      <c r="B761" s="28"/>
      <c r="C761" s="28"/>
      <c r="D761" s="28"/>
      <c r="E761" s="28"/>
      <c r="F761" s="28"/>
      <c r="G761" s="29"/>
      <c r="H761" s="28"/>
      <c r="I761" s="147"/>
      <c r="J761" s="147"/>
      <c r="K761" s="146"/>
      <c r="L761" s="146"/>
      <c r="M761" s="146"/>
      <c r="N761" s="146"/>
      <c r="O761" s="146"/>
      <c r="P761" s="146"/>
      <c r="Q761" s="30"/>
      <c r="R761" s="146"/>
      <c r="S761" s="147"/>
      <c r="T761" s="146"/>
      <c r="U761" s="146"/>
      <c r="V761" s="146"/>
      <c r="W761" s="146"/>
      <c r="X761" s="146"/>
      <c r="Y761" s="146"/>
      <c r="Z761" s="146"/>
      <c r="AA761" s="146"/>
      <c r="AB761" s="146"/>
      <c r="AC761" s="146"/>
      <c r="AD761" s="146"/>
      <c r="AE761" s="146"/>
      <c r="AF761" s="146"/>
      <c r="AG761" s="146"/>
      <c r="AH761" s="146"/>
      <c r="AI761" s="146"/>
    </row>
    <row r="762" spans="1:35" ht="13.5" customHeight="1" x14ac:dyDescent="0.25">
      <c r="A762" s="28"/>
      <c r="B762" s="28"/>
      <c r="C762" s="28"/>
      <c r="D762" s="28"/>
      <c r="E762" s="28"/>
      <c r="F762" s="28"/>
      <c r="G762" s="29"/>
      <c r="H762" s="28"/>
      <c r="I762" s="147"/>
      <c r="J762" s="147"/>
      <c r="K762" s="146"/>
      <c r="L762" s="146"/>
      <c r="M762" s="146"/>
      <c r="N762" s="146"/>
      <c r="O762" s="146"/>
      <c r="P762" s="146"/>
      <c r="Q762" s="30"/>
      <c r="R762" s="146"/>
      <c r="S762" s="147"/>
      <c r="T762" s="146"/>
      <c r="U762" s="146"/>
      <c r="V762" s="146"/>
      <c r="W762" s="146"/>
      <c r="X762" s="146"/>
      <c r="Y762" s="146"/>
      <c r="Z762" s="146"/>
      <c r="AA762" s="146"/>
      <c r="AB762" s="146"/>
      <c r="AC762" s="146"/>
      <c r="AD762" s="146"/>
      <c r="AE762" s="146"/>
      <c r="AF762" s="146"/>
      <c r="AG762" s="146"/>
      <c r="AH762" s="146"/>
      <c r="AI762" s="146"/>
    </row>
    <row r="763" spans="1:35" ht="13.5" customHeight="1" x14ac:dyDescent="0.25">
      <c r="A763" s="28"/>
      <c r="B763" s="28"/>
      <c r="C763" s="28"/>
      <c r="D763" s="28"/>
      <c r="E763" s="28"/>
      <c r="F763" s="28"/>
      <c r="G763" s="29"/>
      <c r="H763" s="28"/>
      <c r="I763" s="147"/>
      <c r="J763" s="147"/>
      <c r="K763" s="146"/>
      <c r="L763" s="146"/>
      <c r="M763" s="146"/>
      <c r="N763" s="146"/>
      <c r="O763" s="146"/>
      <c r="P763" s="146"/>
      <c r="Q763" s="30"/>
      <c r="R763" s="146"/>
      <c r="S763" s="147"/>
      <c r="T763" s="146"/>
      <c r="U763" s="146"/>
      <c r="V763" s="146"/>
      <c r="W763" s="146"/>
      <c r="X763" s="146"/>
      <c r="Y763" s="146"/>
      <c r="Z763" s="146"/>
      <c r="AA763" s="146"/>
      <c r="AB763" s="146"/>
      <c r="AC763" s="146"/>
      <c r="AD763" s="146"/>
      <c r="AE763" s="146"/>
      <c r="AF763" s="146"/>
      <c r="AG763" s="146"/>
      <c r="AH763" s="146"/>
      <c r="AI763" s="146"/>
    </row>
    <row r="764" spans="1:35" ht="13.5" customHeight="1" x14ac:dyDescent="0.25">
      <c r="A764" s="28"/>
      <c r="B764" s="28"/>
      <c r="C764" s="28"/>
      <c r="D764" s="28"/>
      <c r="E764" s="28"/>
      <c r="F764" s="28"/>
      <c r="G764" s="29"/>
      <c r="H764" s="28"/>
      <c r="I764" s="147"/>
      <c r="J764" s="147"/>
      <c r="K764" s="146"/>
      <c r="L764" s="146"/>
      <c r="M764" s="146"/>
      <c r="N764" s="146"/>
      <c r="O764" s="146"/>
      <c r="P764" s="146"/>
      <c r="Q764" s="30"/>
      <c r="R764" s="146"/>
      <c r="S764" s="147"/>
      <c r="T764" s="146"/>
      <c r="U764" s="146"/>
      <c r="V764" s="146"/>
      <c r="W764" s="146"/>
      <c r="X764" s="146"/>
      <c r="Y764" s="146"/>
      <c r="Z764" s="146"/>
      <c r="AA764" s="146"/>
      <c r="AB764" s="146"/>
      <c r="AC764" s="146"/>
      <c r="AD764" s="146"/>
      <c r="AE764" s="146"/>
      <c r="AF764" s="146"/>
      <c r="AG764" s="146"/>
      <c r="AH764" s="146"/>
      <c r="AI764" s="146"/>
    </row>
    <row r="765" spans="1:35" ht="13.5" customHeight="1" x14ac:dyDescent="0.25">
      <c r="A765" s="28"/>
      <c r="B765" s="28"/>
      <c r="C765" s="28"/>
      <c r="D765" s="28"/>
      <c r="E765" s="28"/>
      <c r="F765" s="28"/>
      <c r="G765" s="29"/>
      <c r="H765" s="28"/>
      <c r="I765" s="147"/>
      <c r="J765" s="147"/>
      <c r="K765" s="146"/>
      <c r="L765" s="146"/>
      <c r="M765" s="146"/>
      <c r="N765" s="146"/>
      <c r="O765" s="146"/>
      <c r="P765" s="146"/>
      <c r="Q765" s="30"/>
      <c r="R765" s="146"/>
      <c r="S765" s="147"/>
      <c r="T765" s="146"/>
      <c r="U765" s="146"/>
      <c r="V765" s="146"/>
      <c r="W765" s="146"/>
      <c r="X765" s="146"/>
      <c r="Y765" s="146"/>
      <c r="Z765" s="146"/>
      <c r="AA765" s="146"/>
      <c r="AB765" s="146"/>
      <c r="AC765" s="146"/>
      <c r="AD765" s="146"/>
      <c r="AE765" s="146"/>
      <c r="AF765" s="146"/>
      <c r="AG765" s="146"/>
      <c r="AH765" s="146"/>
      <c r="AI765" s="146"/>
    </row>
    <row r="766" spans="1:35" ht="13.5" customHeight="1" x14ac:dyDescent="0.25">
      <c r="A766" s="28"/>
      <c r="B766" s="28"/>
      <c r="C766" s="28"/>
      <c r="D766" s="28"/>
      <c r="E766" s="28"/>
      <c r="F766" s="28"/>
      <c r="G766" s="29"/>
      <c r="H766" s="28"/>
      <c r="I766" s="147"/>
      <c r="J766" s="147"/>
      <c r="K766" s="146"/>
      <c r="L766" s="146"/>
      <c r="M766" s="146"/>
      <c r="N766" s="146"/>
      <c r="O766" s="146"/>
      <c r="P766" s="146"/>
      <c r="Q766" s="30"/>
      <c r="R766" s="146"/>
      <c r="S766" s="147"/>
      <c r="T766" s="146"/>
      <c r="U766" s="146"/>
      <c r="V766" s="146"/>
      <c r="W766" s="146"/>
      <c r="X766" s="146"/>
      <c r="Y766" s="146"/>
      <c r="Z766" s="146"/>
      <c r="AA766" s="146"/>
      <c r="AB766" s="146"/>
      <c r="AC766" s="146"/>
      <c r="AD766" s="146"/>
      <c r="AE766" s="146"/>
      <c r="AF766" s="146"/>
      <c r="AG766" s="146"/>
      <c r="AH766" s="146"/>
      <c r="AI766" s="146"/>
    </row>
    <row r="767" spans="1:35" ht="13.5" customHeight="1" x14ac:dyDescent="0.25">
      <c r="A767" s="28"/>
      <c r="B767" s="28"/>
      <c r="C767" s="28"/>
      <c r="D767" s="28"/>
      <c r="E767" s="28"/>
      <c r="F767" s="28"/>
      <c r="G767" s="29"/>
      <c r="H767" s="28"/>
      <c r="I767" s="147"/>
      <c r="J767" s="147"/>
      <c r="K767" s="146"/>
      <c r="L767" s="146"/>
      <c r="M767" s="146"/>
      <c r="N767" s="146"/>
      <c r="O767" s="146"/>
      <c r="P767" s="146"/>
      <c r="Q767" s="30"/>
      <c r="R767" s="146"/>
      <c r="S767" s="147"/>
      <c r="T767" s="146"/>
      <c r="U767" s="146"/>
      <c r="V767" s="146"/>
      <c r="W767" s="146"/>
      <c r="X767" s="146"/>
      <c r="Y767" s="146"/>
      <c r="Z767" s="146"/>
      <c r="AA767" s="146"/>
      <c r="AB767" s="146"/>
      <c r="AC767" s="146"/>
      <c r="AD767" s="146"/>
      <c r="AE767" s="146"/>
      <c r="AF767" s="146"/>
      <c r="AG767" s="146"/>
      <c r="AH767" s="146"/>
      <c r="AI767" s="146"/>
    </row>
    <row r="768" spans="1:35" ht="13.5" customHeight="1" x14ac:dyDescent="0.25">
      <c r="A768" s="28"/>
      <c r="B768" s="28"/>
      <c r="C768" s="28"/>
      <c r="D768" s="28"/>
      <c r="E768" s="28"/>
      <c r="F768" s="28"/>
      <c r="G768" s="29"/>
      <c r="H768" s="28"/>
      <c r="I768" s="147"/>
      <c r="J768" s="147"/>
      <c r="K768" s="146"/>
      <c r="L768" s="146"/>
      <c r="M768" s="146"/>
      <c r="N768" s="146"/>
      <c r="O768" s="146"/>
      <c r="P768" s="146"/>
      <c r="Q768" s="30"/>
      <c r="R768" s="146"/>
      <c r="S768" s="147"/>
      <c r="T768" s="146"/>
      <c r="U768" s="146"/>
      <c r="V768" s="146"/>
      <c r="W768" s="146"/>
      <c r="X768" s="146"/>
      <c r="Y768" s="146"/>
      <c r="Z768" s="146"/>
      <c r="AA768" s="146"/>
      <c r="AB768" s="146"/>
      <c r="AC768" s="146"/>
      <c r="AD768" s="146"/>
      <c r="AE768" s="146"/>
      <c r="AF768" s="146"/>
      <c r="AG768" s="146"/>
      <c r="AH768" s="146"/>
      <c r="AI768" s="146"/>
    </row>
    <row r="769" spans="1:35" ht="13.5" customHeight="1" x14ac:dyDescent="0.25">
      <c r="A769" s="28"/>
      <c r="B769" s="28"/>
      <c r="C769" s="28"/>
      <c r="D769" s="28"/>
      <c r="E769" s="28"/>
      <c r="F769" s="28"/>
      <c r="G769" s="29"/>
      <c r="H769" s="28"/>
      <c r="I769" s="147"/>
      <c r="J769" s="147"/>
      <c r="K769" s="146"/>
      <c r="L769" s="146"/>
      <c r="M769" s="146"/>
      <c r="N769" s="146"/>
      <c r="O769" s="146"/>
      <c r="P769" s="146"/>
      <c r="Q769" s="30"/>
      <c r="R769" s="146"/>
      <c r="S769" s="147"/>
      <c r="T769" s="146"/>
      <c r="U769" s="146"/>
      <c r="V769" s="146"/>
      <c r="W769" s="146"/>
      <c r="X769" s="146"/>
      <c r="Y769" s="146"/>
      <c r="Z769" s="146"/>
      <c r="AA769" s="146"/>
      <c r="AB769" s="146"/>
      <c r="AC769" s="146"/>
      <c r="AD769" s="146"/>
      <c r="AE769" s="146"/>
      <c r="AF769" s="146"/>
      <c r="AG769" s="146"/>
      <c r="AH769" s="146"/>
      <c r="AI769" s="146"/>
    </row>
    <row r="770" spans="1:35" ht="13.5" customHeight="1" x14ac:dyDescent="0.25">
      <c r="A770" s="28"/>
      <c r="B770" s="28"/>
      <c r="C770" s="28"/>
      <c r="D770" s="28"/>
      <c r="E770" s="28"/>
      <c r="F770" s="28"/>
      <c r="G770" s="29"/>
      <c r="H770" s="28"/>
      <c r="I770" s="147"/>
      <c r="J770" s="147"/>
      <c r="K770" s="146"/>
      <c r="L770" s="146"/>
      <c r="M770" s="146"/>
      <c r="N770" s="146"/>
      <c r="O770" s="146"/>
      <c r="P770" s="146"/>
      <c r="Q770" s="30"/>
      <c r="R770" s="146"/>
      <c r="S770" s="147"/>
      <c r="T770" s="146"/>
      <c r="U770" s="146"/>
      <c r="V770" s="146"/>
      <c r="W770" s="146"/>
      <c r="X770" s="146"/>
      <c r="Y770" s="146"/>
      <c r="Z770" s="146"/>
      <c r="AA770" s="146"/>
      <c r="AB770" s="146"/>
      <c r="AC770" s="146"/>
      <c r="AD770" s="146"/>
      <c r="AE770" s="146"/>
      <c r="AF770" s="146"/>
      <c r="AG770" s="146"/>
      <c r="AH770" s="146"/>
      <c r="AI770" s="146"/>
    </row>
    <row r="771" spans="1:35" ht="13.5" customHeight="1" x14ac:dyDescent="0.25">
      <c r="A771" s="28"/>
      <c r="B771" s="28"/>
      <c r="C771" s="28"/>
      <c r="D771" s="28"/>
      <c r="E771" s="28"/>
      <c r="F771" s="28"/>
      <c r="G771" s="29"/>
      <c r="H771" s="28"/>
      <c r="I771" s="147"/>
      <c r="J771" s="147"/>
      <c r="K771" s="146"/>
      <c r="L771" s="146"/>
      <c r="M771" s="146"/>
      <c r="N771" s="146"/>
      <c r="O771" s="146"/>
      <c r="P771" s="146"/>
      <c r="Q771" s="30"/>
      <c r="R771" s="146"/>
      <c r="S771" s="147"/>
      <c r="T771" s="146"/>
      <c r="U771" s="146"/>
      <c r="V771" s="146"/>
      <c r="W771" s="146"/>
      <c r="X771" s="146"/>
      <c r="Y771" s="146"/>
      <c r="Z771" s="146"/>
      <c r="AA771" s="146"/>
      <c r="AB771" s="146"/>
      <c r="AC771" s="146"/>
      <c r="AD771" s="146"/>
      <c r="AE771" s="146"/>
      <c r="AF771" s="146"/>
      <c r="AG771" s="146"/>
      <c r="AH771" s="146"/>
      <c r="AI771" s="146"/>
    </row>
    <row r="772" spans="1:35" ht="13.5" customHeight="1" x14ac:dyDescent="0.25">
      <c r="A772" s="28"/>
      <c r="B772" s="28"/>
      <c r="C772" s="28"/>
      <c r="D772" s="28"/>
      <c r="E772" s="28"/>
      <c r="F772" s="28"/>
      <c r="G772" s="29"/>
      <c r="H772" s="28"/>
      <c r="I772" s="147"/>
      <c r="J772" s="147"/>
      <c r="K772" s="146"/>
      <c r="L772" s="146"/>
      <c r="M772" s="146"/>
      <c r="N772" s="146"/>
      <c r="O772" s="146"/>
      <c r="P772" s="146"/>
      <c r="Q772" s="30"/>
      <c r="R772" s="146"/>
      <c r="S772" s="147"/>
      <c r="T772" s="146"/>
      <c r="U772" s="146"/>
      <c r="V772" s="146"/>
      <c r="W772" s="146"/>
      <c r="X772" s="146"/>
      <c r="Y772" s="146"/>
      <c r="Z772" s="146"/>
      <c r="AA772" s="146"/>
      <c r="AB772" s="146"/>
      <c r="AC772" s="146"/>
      <c r="AD772" s="146"/>
      <c r="AE772" s="146"/>
      <c r="AF772" s="146"/>
      <c r="AG772" s="146"/>
      <c r="AH772" s="146"/>
      <c r="AI772" s="146"/>
    </row>
    <row r="773" spans="1:35" ht="13.5" customHeight="1" x14ac:dyDescent="0.25">
      <c r="A773" s="28"/>
      <c r="B773" s="28"/>
      <c r="C773" s="28"/>
      <c r="D773" s="28"/>
      <c r="E773" s="28"/>
      <c r="F773" s="28"/>
      <c r="G773" s="29"/>
      <c r="H773" s="28"/>
      <c r="I773" s="147"/>
      <c r="J773" s="147"/>
      <c r="K773" s="146"/>
      <c r="L773" s="146"/>
      <c r="M773" s="146"/>
      <c r="N773" s="146"/>
      <c r="O773" s="146"/>
      <c r="P773" s="146"/>
      <c r="Q773" s="30"/>
      <c r="R773" s="146"/>
      <c r="S773" s="147"/>
      <c r="T773" s="146"/>
      <c r="U773" s="146"/>
      <c r="V773" s="146"/>
      <c r="W773" s="146"/>
      <c r="X773" s="146"/>
      <c r="Y773" s="146"/>
      <c r="Z773" s="146"/>
      <c r="AA773" s="146"/>
      <c r="AB773" s="146"/>
      <c r="AC773" s="146"/>
      <c r="AD773" s="146"/>
      <c r="AE773" s="146"/>
      <c r="AF773" s="146"/>
      <c r="AG773" s="146"/>
      <c r="AH773" s="146"/>
      <c r="AI773" s="146"/>
    </row>
    <row r="774" spans="1:35" ht="13.5" customHeight="1" x14ac:dyDescent="0.25">
      <c r="A774" s="28"/>
      <c r="B774" s="28"/>
      <c r="C774" s="28"/>
      <c r="D774" s="28"/>
      <c r="E774" s="28"/>
      <c r="F774" s="28"/>
      <c r="G774" s="29"/>
      <c r="H774" s="28"/>
      <c r="I774" s="147"/>
      <c r="J774" s="147"/>
      <c r="K774" s="146"/>
      <c r="L774" s="146"/>
      <c r="M774" s="146"/>
      <c r="N774" s="146"/>
      <c r="O774" s="146"/>
      <c r="P774" s="146"/>
      <c r="Q774" s="30"/>
      <c r="R774" s="146"/>
      <c r="S774" s="147"/>
      <c r="T774" s="146"/>
      <c r="U774" s="146"/>
      <c r="V774" s="146"/>
      <c r="W774" s="146"/>
      <c r="X774" s="146"/>
      <c r="Y774" s="146"/>
      <c r="Z774" s="146"/>
      <c r="AA774" s="146"/>
      <c r="AB774" s="146"/>
      <c r="AC774" s="146"/>
      <c r="AD774" s="146"/>
      <c r="AE774" s="146"/>
      <c r="AF774" s="146"/>
      <c r="AG774" s="146"/>
      <c r="AH774" s="146"/>
      <c r="AI774" s="146"/>
    </row>
    <row r="775" spans="1:35" ht="13.5" customHeight="1" x14ac:dyDescent="0.25">
      <c r="A775" s="28"/>
      <c r="B775" s="28"/>
      <c r="C775" s="28"/>
      <c r="D775" s="28"/>
      <c r="E775" s="28"/>
      <c r="F775" s="28"/>
      <c r="G775" s="29"/>
      <c r="H775" s="28"/>
      <c r="I775" s="147"/>
      <c r="J775" s="147"/>
      <c r="K775" s="146"/>
      <c r="L775" s="146"/>
      <c r="M775" s="146"/>
      <c r="N775" s="146"/>
      <c r="O775" s="146"/>
      <c r="P775" s="146"/>
      <c r="Q775" s="30"/>
      <c r="R775" s="146"/>
      <c r="S775" s="147"/>
      <c r="T775" s="146"/>
      <c r="U775" s="146"/>
      <c r="V775" s="146"/>
      <c r="W775" s="146"/>
      <c r="X775" s="146"/>
      <c r="Y775" s="146"/>
      <c r="Z775" s="146"/>
      <c r="AA775" s="146"/>
      <c r="AB775" s="146"/>
      <c r="AC775" s="146"/>
      <c r="AD775" s="146"/>
      <c r="AE775" s="146"/>
      <c r="AF775" s="146"/>
      <c r="AG775" s="146"/>
      <c r="AH775" s="146"/>
      <c r="AI775" s="146"/>
    </row>
    <row r="776" spans="1:35" ht="13.5" customHeight="1" x14ac:dyDescent="0.25">
      <c r="A776" s="28"/>
      <c r="B776" s="28"/>
      <c r="C776" s="28"/>
      <c r="D776" s="28"/>
      <c r="E776" s="28"/>
      <c r="F776" s="28"/>
      <c r="G776" s="29"/>
      <c r="H776" s="28"/>
      <c r="I776" s="147"/>
      <c r="J776" s="147"/>
      <c r="K776" s="146"/>
      <c r="L776" s="146"/>
      <c r="M776" s="146"/>
      <c r="N776" s="146"/>
      <c r="O776" s="146"/>
      <c r="P776" s="146"/>
      <c r="Q776" s="30"/>
      <c r="R776" s="146"/>
      <c r="S776" s="147"/>
      <c r="T776" s="146"/>
      <c r="U776" s="146"/>
      <c r="V776" s="146"/>
      <c r="W776" s="146"/>
      <c r="X776" s="146"/>
      <c r="Y776" s="146"/>
      <c r="Z776" s="146"/>
      <c r="AA776" s="146"/>
      <c r="AB776" s="146"/>
      <c r="AC776" s="146"/>
      <c r="AD776" s="146"/>
      <c r="AE776" s="146"/>
      <c r="AF776" s="146"/>
      <c r="AG776" s="146"/>
      <c r="AH776" s="146"/>
      <c r="AI776" s="146"/>
    </row>
    <row r="777" spans="1:35" ht="13.5" customHeight="1" x14ac:dyDescent="0.25">
      <c r="A777" s="28"/>
      <c r="B777" s="28"/>
      <c r="C777" s="28"/>
      <c r="D777" s="28"/>
      <c r="E777" s="28"/>
      <c r="F777" s="28"/>
      <c r="G777" s="29"/>
      <c r="H777" s="28"/>
      <c r="I777" s="147"/>
      <c r="J777" s="147"/>
      <c r="K777" s="146"/>
      <c r="L777" s="146"/>
      <c r="M777" s="146"/>
      <c r="N777" s="146"/>
      <c r="O777" s="146"/>
      <c r="P777" s="146"/>
      <c r="Q777" s="30"/>
      <c r="R777" s="146"/>
      <c r="S777" s="147"/>
      <c r="T777" s="146"/>
      <c r="U777" s="146"/>
      <c r="V777" s="146"/>
      <c r="W777" s="146"/>
      <c r="X777" s="146"/>
      <c r="Y777" s="146"/>
      <c r="Z777" s="146"/>
      <c r="AA777" s="146"/>
      <c r="AB777" s="146"/>
      <c r="AC777" s="146"/>
      <c r="AD777" s="146"/>
      <c r="AE777" s="146"/>
      <c r="AF777" s="146"/>
      <c r="AG777" s="146"/>
      <c r="AH777" s="146"/>
      <c r="AI777" s="146"/>
    </row>
    <row r="778" spans="1:35" ht="13.5" customHeight="1" x14ac:dyDescent="0.25">
      <c r="A778" s="28"/>
      <c r="B778" s="28"/>
      <c r="C778" s="28"/>
      <c r="D778" s="28"/>
      <c r="E778" s="28"/>
      <c r="F778" s="28"/>
      <c r="G778" s="29"/>
      <c r="H778" s="28"/>
      <c r="I778" s="147"/>
      <c r="J778" s="147"/>
      <c r="K778" s="146"/>
      <c r="L778" s="146"/>
      <c r="M778" s="146"/>
      <c r="N778" s="146"/>
      <c r="O778" s="146"/>
      <c r="P778" s="146"/>
      <c r="Q778" s="30"/>
      <c r="R778" s="146"/>
      <c r="S778" s="147"/>
      <c r="T778" s="146"/>
      <c r="U778" s="146"/>
      <c r="V778" s="146"/>
      <c r="W778" s="146"/>
      <c r="X778" s="146"/>
      <c r="Y778" s="146"/>
      <c r="Z778" s="146"/>
      <c r="AA778" s="146"/>
      <c r="AB778" s="146"/>
      <c r="AC778" s="146"/>
      <c r="AD778" s="146"/>
      <c r="AE778" s="146"/>
      <c r="AF778" s="146"/>
      <c r="AG778" s="146"/>
      <c r="AH778" s="146"/>
      <c r="AI778" s="146"/>
    </row>
    <row r="779" spans="1:35" ht="13.5" customHeight="1" x14ac:dyDescent="0.25">
      <c r="A779" s="28"/>
      <c r="B779" s="28"/>
      <c r="C779" s="28"/>
      <c r="D779" s="28"/>
      <c r="E779" s="28"/>
      <c r="F779" s="28"/>
      <c r="G779" s="29"/>
      <c r="H779" s="28"/>
      <c r="I779" s="147"/>
      <c r="J779" s="147"/>
      <c r="K779" s="146"/>
      <c r="L779" s="146"/>
      <c r="M779" s="146"/>
      <c r="N779" s="146"/>
      <c r="O779" s="146"/>
      <c r="P779" s="146"/>
      <c r="Q779" s="30"/>
      <c r="R779" s="146"/>
      <c r="S779" s="147"/>
      <c r="T779" s="146"/>
      <c r="U779" s="146"/>
      <c r="V779" s="146"/>
      <c r="W779" s="146"/>
      <c r="X779" s="146"/>
      <c r="Y779" s="146"/>
      <c r="Z779" s="146"/>
      <c r="AA779" s="146"/>
      <c r="AB779" s="146"/>
      <c r="AC779" s="146"/>
      <c r="AD779" s="146"/>
      <c r="AE779" s="146"/>
      <c r="AF779" s="146"/>
      <c r="AG779" s="146"/>
      <c r="AH779" s="146"/>
      <c r="AI779" s="146"/>
    </row>
    <row r="780" spans="1:35" ht="13.5" customHeight="1" x14ac:dyDescent="0.25">
      <c r="A780" s="28"/>
      <c r="B780" s="28"/>
      <c r="C780" s="28"/>
      <c r="D780" s="28"/>
      <c r="E780" s="28"/>
      <c r="F780" s="28"/>
      <c r="G780" s="29"/>
      <c r="H780" s="28"/>
      <c r="I780" s="147"/>
      <c r="J780" s="147"/>
      <c r="K780" s="146"/>
      <c r="L780" s="146"/>
      <c r="M780" s="146"/>
      <c r="N780" s="146"/>
      <c r="O780" s="146"/>
      <c r="P780" s="146"/>
      <c r="Q780" s="30"/>
      <c r="R780" s="146"/>
      <c r="S780" s="147"/>
      <c r="T780" s="146"/>
      <c r="U780" s="146"/>
      <c r="V780" s="146"/>
      <c r="W780" s="146"/>
      <c r="X780" s="146"/>
      <c r="Y780" s="146"/>
      <c r="Z780" s="146"/>
      <c r="AA780" s="146"/>
      <c r="AB780" s="146"/>
      <c r="AC780" s="146"/>
      <c r="AD780" s="146"/>
      <c r="AE780" s="146"/>
      <c r="AF780" s="146"/>
      <c r="AG780" s="146"/>
      <c r="AH780" s="146"/>
      <c r="AI780" s="146"/>
    </row>
    <row r="781" spans="1:35" ht="13.5" customHeight="1" x14ac:dyDescent="0.25">
      <c r="A781" s="28"/>
      <c r="B781" s="28"/>
      <c r="C781" s="28"/>
      <c r="D781" s="28"/>
      <c r="E781" s="28"/>
      <c r="F781" s="28"/>
      <c r="G781" s="29"/>
      <c r="H781" s="28"/>
      <c r="I781" s="147"/>
      <c r="J781" s="147"/>
      <c r="K781" s="146"/>
      <c r="L781" s="146"/>
      <c r="M781" s="146"/>
      <c r="N781" s="146"/>
      <c r="O781" s="146"/>
      <c r="P781" s="146"/>
      <c r="Q781" s="30"/>
      <c r="R781" s="146"/>
      <c r="S781" s="147"/>
      <c r="T781" s="146"/>
      <c r="U781" s="146"/>
      <c r="V781" s="146"/>
      <c r="W781" s="146"/>
      <c r="X781" s="146"/>
      <c r="Y781" s="146"/>
      <c r="Z781" s="146"/>
      <c r="AA781" s="146"/>
      <c r="AB781" s="146"/>
      <c r="AC781" s="146"/>
      <c r="AD781" s="146"/>
      <c r="AE781" s="146"/>
      <c r="AF781" s="146"/>
      <c r="AG781" s="146"/>
      <c r="AH781" s="146"/>
      <c r="AI781" s="146"/>
    </row>
    <row r="782" spans="1:35" ht="13.5" customHeight="1" x14ac:dyDescent="0.25">
      <c r="A782" s="28"/>
      <c r="B782" s="28"/>
      <c r="C782" s="28"/>
      <c r="D782" s="28"/>
      <c r="E782" s="28"/>
      <c r="F782" s="28"/>
      <c r="G782" s="29"/>
      <c r="H782" s="28"/>
      <c r="I782" s="147"/>
      <c r="J782" s="147"/>
      <c r="K782" s="146"/>
      <c r="L782" s="146"/>
      <c r="M782" s="146"/>
      <c r="N782" s="146"/>
      <c r="O782" s="146"/>
      <c r="P782" s="146"/>
      <c r="Q782" s="30"/>
      <c r="R782" s="146"/>
      <c r="S782" s="147"/>
      <c r="T782" s="146"/>
      <c r="U782" s="146"/>
      <c r="V782" s="146"/>
      <c r="W782" s="146"/>
      <c r="X782" s="146"/>
      <c r="Y782" s="146"/>
      <c r="Z782" s="146"/>
      <c r="AA782" s="146"/>
      <c r="AB782" s="146"/>
      <c r="AC782" s="146"/>
      <c r="AD782" s="146"/>
      <c r="AE782" s="146"/>
      <c r="AF782" s="146"/>
      <c r="AG782" s="146"/>
      <c r="AH782" s="146"/>
      <c r="AI782" s="146"/>
    </row>
    <row r="783" spans="1:35" ht="13.5" customHeight="1" x14ac:dyDescent="0.25">
      <c r="A783" s="28"/>
      <c r="B783" s="28"/>
      <c r="C783" s="28"/>
      <c r="D783" s="28"/>
      <c r="E783" s="28"/>
      <c r="F783" s="28"/>
      <c r="G783" s="29"/>
      <c r="H783" s="28"/>
      <c r="I783" s="147"/>
      <c r="J783" s="147"/>
      <c r="K783" s="146"/>
      <c r="L783" s="146"/>
      <c r="M783" s="146"/>
      <c r="N783" s="146"/>
      <c r="O783" s="146"/>
      <c r="P783" s="146"/>
      <c r="Q783" s="30"/>
      <c r="R783" s="146"/>
      <c r="S783" s="147"/>
      <c r="T783" s="146"/>
      <c r="U783" s="146"/>
      <c r="V783" s="146"/>
      <c r="W783" s="146"/>
      <c r="X783" s="146"/>
      <c r="Y783" s="146"/>
      <c r="Z783" s="146"/>
      <c r="AA783" s="146"/>
      <c r="AB783" s="146"/>
      <c r="AC783" s="146"/>
      <c r="AD783" s="146"/>
      <c r="AE783" s="146"/>
      <c r="AF783" s="146"/>
      <c r="AG783" s="146"/>
      <c r="AH783" s="146"/>
      <c r="AI783" s="146"/>
    </row>
    <row r="784" spans="1:35" ht="13.5" customHeight="1" x14ac:dyDescent="0.25">
      <c r="A784" s="28"/>
      <c r="B784" s="28"/>
      <c r="C784" s="28"/>
      <c r="D784" s="28"/>
      <c r="E784" s="28"/>
      <c r="F784" s="28"/>
      <c r="G784" s="29"/>
      <c r="H784" s="28"/>
      <c r="I784" s="147"/>
      <c r="J784" s="147"/>
      <c r="K784" s="146"/>
      <c r="L784" s="146"/>
      <c r="M784" s="146"/>
      <c r="N784" s="146"/>
      <c r="O784" s="146"/>
      <c r="P784" s="146"/>
      <c r="Q784" s="30"/>
      <c r="R784" s="146"/>
      <c r="S784" s="147"/>
      <c r="T784" s="146"/>
      <c r="U784" s="146"/>
      <c r="V784" s="146"/>
      <c r="W784" s="146"/>
      <c r="X784" s="146"/>
      <c r="Y784" s="146"/>
      <c r="Z784" s="146"/>
      <c r="AA784" s="146"/>
      <c r="AB784" s="146"/>
      <c r="AC784" s="146"/>
      <c r="AD784" s="146"/>
      <c r="AE784" s="146"/>
      <c r="AF784" s="146"/>
      <c r="AG784" s="146"/>
      <c r="AH784" s="146"/>
      <c r="AI784" s="146"/>
    </row>
    <row r="785" spans="1:35" ht="13.5" customHeight="1" x14ac:dyDescent="0.25">
      <c r="A785" s="28"/>
      <c r="B785" s="28"/>
      <c r="C785" s="28"/>
      <c r="D785" s="28"/>
      <c r="E785" s="28"/>
      <c r="F785" s="28"/>
      <c r="G785" s="29"/>
      <c r="H785" s="28"/>
      <c r="I785" s="147"/>
      <c r="J785" s="147"/>
      <c r="K785" s="146"/>
      <c r="L785" s="146"/>
      <c r="M785" s="146"/>
      <c r="N785" s="146"/>
      <c r="O785" s="146"/>
      <c r="P785" s="146"/>
      <c r="Q785" s="30"/>
      <c r="R785" s="146"/>
      <c r="S785" s="147"/>
      <c r="T785" s="146"/>
      <c r="U785" s="146"/>
      <c r="V785" s="146"/>
      <c r="W785" s="146"/>
      <c r="X785" s="146"/>
      <c r="Y785" s="146"/>
      <c r="Z785" s="146"/>
      <c r="AA785" s="146"/>
      <c r="AB785" s="146"/>
      <c r="AC785" s="146"/>
      <c r="AD785" s="146"/>
      <c r="AE785" s="146"/>
      <c r="AF785" s="146"/>
      <c r="AG785" s="146"/>
      <c r="AH785" s="146"/>
      <c r="AI785" s="146"/>
    </row>
    <row r="786" spans="1:35" ht="13.5" customHeight="1" x14ac:dyDescent="0.25">
      <c r="A786" s="28"/>
      <c r="B786" s="28"/>
      <c r="C786" s="28"/>
      <c r="D786" s="28"/>
      <c r="E786" s="28"/>
      <c r="F786" s="28"/>
      <c r="G786" s="29"/>
      <c r="H786" s="28"/>
      <c r="I786" s="147"/>
      <c r="J786" s="147"/>
      <c r="K786" s="146"/>
      <c r="L786" s="146"/>
      <c r="M786" s="146"/>
      <c r="N786" s="146"/>
      <c r="O786" s="146"/>
      <c r="P786" s="146"/>
      <c r="Q786" s="30"/>
      <c r="R786" s="146"/>
      <c r="S786" s="147"/>
      <c r="T786" s="146"/>
      <c r="U786" s="146"/>
      <c r="V786" s="146"/>
      <c r="W786" s="146"/>
      <c r="X786" s="146"/>
      <c r="Y786" s="146"/>
      <c r="Z786" s="146"/>
      <c r="AA786" s="146"/>
      <c r="AB786" s="146"/>
      <c r="AC786" s="146"/>
      <c r="AD786" s="146"/>
      <c r="AE786" s="146"/>
      <c r="AF786" s="146"/>
      <c r="AG786" s="146"/>
      <c r="AH786" s="146"/>
      <c r="AI786" s="146"/>
    </row>
    <row r="787" spans="1:35" ht="13.5" customHeight="1" x14ac:dyDescent="0.25">
      <c r="A787" s="28"/>
      <c r="B787" s="28"/>
      <c r="C787" s="28"/>
      <c r="D787" s="28"/>
      <c r="E787" s="28"/>
      <c r="F787" s="28"/>
      <c r="G787" s="29"/>
      <c r="H787" s="28"/>
      <c r="I787" s="147"/>
      <c r="J787" s="147"/>
      <c r="K787" s="146"/>
      <c r="L787" s="146"/>
      <c r="M787" s="146"/>
      <c r="N787" s="146"/>
      <c r="O787" s="146"/>
      <c r="P787" s="146"/>
      <c r="Q787" s="30"/>
      <c r="R787" s="146"/>
      <c r="S787" s="147"/>
      <c r="T787" s="146"/>
      <c r="U787" s="146"/>
      <c r="V787" s="146"/>
      <c r="W787" s="146"/>
      <c r="X787" s="146"/>
      <c r="Y787" s="146"/>
      <c r="Z787" s="146"/>
      <c r="AA787" s="146"/>
      <c r="AB787" s="146"/>
      <c r="AC787" s="146"/>
      <c r="AD787" s="146"/>
      <c r="AE787" s="146"/>
      <c r="AF787" s="146"/>
      <c r="AG787" s="146"/>
      <c r="AH787" s="146"/>
      <c r="AI787" s="146"/>
    </row>
    <row r="788" spans="1:35" ht="13.5" customHeight="1" x14ac:dyDescent="0.25">
      <c r="A788" s="28"/>
      <c r="B788" s="28"/>
      <c r="C788" s="28"/>
      <c r="D788" s="28"/>
      <c r="E788" s="28"/>
      <c r="F788" s="28"/>
      <c r="G788" s="29"/>
      <c r="H788" s="28"/>
      <c r="I788" s="147"/>
      <c r="J788" s="147"/>
      <c r="K788" s="146"/>
      <c r="L788" s="146"/>
      <c r="M788" s="146"/>
      <c r="N788" s="146"/>
      <c r="O788" s="146"/>
      <c r="P788" s="146"/>
      <c r="Q788" s="30"/>
      <c r="R788" s="146"/>
      <c r="S788" s="147"/>
      <c r="T788" s="146"/>
      <c r="U788" s="146"/>
      <c r="V788" s="146"/>
      <c r="W788" s="146"/>
      <c r="X788" s="146"/>
      <c r="Y788" s="146"/>
      <c r="Z788" s="146"/>
      <c r="AA788" s="146"/>
      <c r="AB788" s="146"/>
      <c r="AC788" s="146"/>
      <c r="AD788" s="146"/>
      <c r="AE788" s="146"/>
      <c r="AF788" s="146"/>
      <c r="AG788" s="146"/>
      <c r="AH788" s="146"/>
      <c r="AI788" s="146"/>
    </row>
    <row r="789" spans="1:35" ht="13.5" customHeight="1" x14ac:dyDescent="0.25">
      <c r="A789" s="28"/>
      <c r="B789" s="28"/>
      <c r="C789" s="28"/>
      <c r="D789" s="28"/>
      <c r="E789" s="28"/>
      <c r="F789" s="28"/>
      <c r="G789" s="29"/>
      <c r="H789" s="28"/>
      <c r="I789" s="147"/>
      <c r="J789" s="147"/>
      <c r="K789" s="146"/>
      <c r="L789" s="146"/>
      <c r="M789" s="146"/>
      <c r="N789" s="146"/>
      <c r="O789" s="146"/>
      <c r="P789" s="146"/>
      <c r="Q789" s="30"/>
      <c r="R789" s="146"/>
      <c r="S789" s="147"/>
      <c r="T789" s="146"/>
      <c r="U789" s="146"/>
      <c r="V789" s="146"/>
      <c r="W789" s="146"/>
      <c r="X789" s="146"/>
      <c r="Y789" s="146"/>
      <c r="Z789" s="146"/>
      <c r="AA789" s="146"/>
      <c r="AB789" s="146"/>
      <c r="AC789" s="146"/>
      <c r="AD789" s="146"/>
      <c r="AE789" s="146"/>
      <c r="AF789" s="146"/>
      <c r="AG789" s="146"/>
      <c r="AH789" s="146"/>
      <c r="AI789" s="146"/>
    </row>
    <row r="790" spans="1:35" ht="13.5" customHeight="1" x14ac:dyDescent="0.25">
      <c r="A790" s="28"/>
      <c r="B790" s="28"/>
      <c r="C790" s="28"/>
      <c r="D790" s="28"/>
      <c r="E790" s="28"/>
      <c r="F790" s="28"/>
      <c r="G790" s="29"/>
      <c r="H790" s="28"/>
      <c r="I790" s="147"/>
      <c r="J790" s="147"/>
      <c r="K790" s="146"/>
      <c r="L790" s="146"/>
      <c r="M790" s="146"/>
      <c r="N790" s="146"/>
      <c r="O790" s="146"/>
      <c r="P790" s="146"/>
      <c r="Q790" s="30"/>
      <c r="R790" s="146"/>
      <c r="S790" s="147"/>
      <c r="T790" s="146"/>
      <c r="U790" s="146"/>
      <c r="V790" s="146"/>
      <c r="W790" s="146"/>
      <c r="X790" s="146"/>
      <c r="Y790" s="146"/>
      <c r="Z790" s="146"/>
      <c r="AA790" s="146"/>
      <c r="AB790" s="146"/>
      <c r="AC790" s="146"/>
      <c r="AD790" s="146"/>
      <c r="AE790" s="146"/>
      <c r="AF790" s="146"/>
      <c r="AG790" s="146"/>
      <c r="AH790" s="146"/>
      <c r="AI790" s="146"/>
    </row>
    <row r="791" spans="1:35" ht="13.5" customHeight="1" x14ac:dyDescent="0.25">
      <c r="A791" s="28"/>
      <c r="B791" s="28"/>
      <c r="C791" s="28"/>
      <c r="D791" s="28"/>
      <c r="E791" s="28"/>
      <c r="F791" s="28"/>
      <c r="G791" s="29"/>
      <c r="H791" s="28"/>
      <c r="I791" s="147"/>
      <c r="J791" s="147"/>
      <c r="K791" s="146"/>
      <c r="L791" s="146"/>
      <c r="M791" s="146"/>
      <c r="N791" s="146"/>
      <c r="O791" s="146"/>
      <c r="P791" s="146"/>
      <c r="Q791" s="30"/>
      <c r="R791" s="146"/>
      <c r="S791" s="147"/>
      <c r="T791" s="146"/>
      <c r="U791" s="146"/>
      <c r="V791" s="146"/>
      <c r="W791" s="146"/>
      <c r="X791" s="146"/>
      <c r="Y791" s="146"/>
      <c r="Z791" s="146"/>
      <c r="AA791" s="146"/>
      <c r="AB791" s="146"/>
      <c r="AC791" s="146"/>
      <c r="AD791" s="146"/>
      <c r="AE791" s="146"/>
      <c r="AF791" s="146"/>
      <c r="AG791" s="146"/>
      <c r="AH791" s="146"/>
      <c r="AI791" s="146"/>
    </row>
    <row r="792" spans="1:35" ht="13.5" customHeight="1" x14ac:dyDescent="0.25">
      <c r="A792" s="28"/>
      <c r="B792" s="28"/>
      <c r="C792" s="28"/>
      <c r="D792" s="28"/>
      <c r="E792" s="28"/>
      <c r="F792" s="28"/>
      <c r="G792" s="29"/>
      <c r="H792" s="28"/>
      <c r="I792" s="147"/>
      <c r="J792" s="147"/>
      <c r="K792" s="146"/>
      <c r="L792" s="146"/>
      <c r="M792" s="146"/>
      <c r="N792" s="146"/>
      <c r="O792" s="146"/>
      <c r="P792" s="146"/>
      <c r="Q792" s="30"/>
      <c r="R792" s="146"/>
      <c r="S792" s="147"/>
      <c r="T792" s="146"/>
      <c r="U792" s="146"/>
      <c r="V792" s="146"/>
      <c r="W792" s="146"/>
      <c r="X792" s="146"/>
      <c r="Y792" s="146"/>
      <c r="Z792" s="146"/>
      <c r="AA792" s="146"/>
      <c r="AB792" s="146"/>
      <c r="AC792" s="146"/>
      <c r="AD792" s="146"/>
      <c r="AE792" s="146"/>
      <c r="AF792" s="146"/>
      <c r="AG792" s="146"/>
      <c r="AH792" s="146"/>
      <c r="AI792" s="146"/>
    </row>
    <row r="793" spans="1:35" ht="13.5" customHeight="1" x14ac:dyDescent="0.25">
      <c r="A793" s="28"/>
      <c r="B793" s="28"/>
      <c r="C793" s="28"/>
      <c r="D793" s="28"/>
      <c r="E793" s="28"/>
      <c r="F793" s="28"/>
      <c r="G793" s="29"/>
      <c r="H793" s="28"/>
      <c r="I793" s="147"/>
      <c r="J793" s="147"/>
      <c r="K793" s="146"/>
      <c r="L793" s="146"/>
      <c r="M793" s="146"/>
      <c r="N793" s="146"/>
      <c r="O793" s="146"/>
      <c r="P793" s="146"/>
      <c r="Q793" s="30"/>
      <c r="R793" s="146"/>
      <c r="S793" s="147"/>
      <c r="T793" s="146"/>
      <c r="U793" s="146"/>
      <c r="V793" s="146"/>
      <c r="W793" s="146"/>
      <c r="X793" s="146"/>
      <c r="Y793" s="146"/>
      <c r="Z793" s="146"/>
      <c r="AA793" s="146"/>
      <c r="AB793" s="146"/>
      <c r="AC793" s="146"/>
      <c r="AD793" s="146"/>
      <c r="AE793" s="146"/>
      <c r="AF793" s="146"/>
      <c r="AG793" s="146"/>
      <c r="AH793" s="146"/>
      <c r="AI793" s="146"/>
    </row>
    <row r="794" spans="1:35" ht="13.5" customHeight="1" x14ac:dyDescent="0.25">
      <c r="A794" s="28"/>
      <c r="B794" s="28"/>
      <c r="C794" s="28"/>
      <c r="D794" s="28"/>
      <c r="E794" s="28"/>
      <c r="F794" s="28"/>
      <c r="G794" s="29"/>
      <c r="H794" s="28"/>
      <c r="I794" s="147"/>
      <c r="J794" s="147"/>
      <c r="K794" s="146"/>
      <c r="L794" s="146"/>
      <c r="M794" s="146"/>
      <c r="N794" s="146"/>
      <c r="O794" s="146"/>
      <c r="P794" s="146"/>
      <c r="Q794" s="30"/>
      <c r="R794" s="146"/>
      <c r="S794" s="147"/>
      <c r="T794" s="146"/>
      <c r="U794" s="146"/>
      <c r="V794" s="146"/>
      <c r="W794" s="146"/>
      <c r="X794" s="146"/>
      <c r="Y794" s="146"/>
      <c r="Z794" s="146"/>
      <c r="AA794" s="146"/>
      <c r="AB794" s="146"/>
      <c r="AC794" s="146"/>
      <c r="AD794" s="146"/>
      <c r="AE794" s="146"/>
      <c r="AF794" s="146"/>
      <c r="AG794" s="146"/>
      <c r="AH794" s="146"/>
      <c r="AI794" s="146"/>
    </row>
    <row r="795" spans="1:35" ht="13.5" customHeight="1" x14ac:dyDescent="0.25">
      <c r="A795" s="28"/>
      <c r="B795" s="28"/>
      <c r="C795" s="28"/>
      <c r="D795" s="28"/>
      <c r="E795" s="28"/>
      <c r="F795" s="28"/>
      <c r="G795" s="29"/>
      <c r="H795" s="28"/>
      <c r="I795" s="147"/>
      <c r="J795" s="147"/>
      <c r="K795" s="146"/>
      <c r="L795" s="146"/>
      <c r="M795" s="146"/>
      <c r="N795" s="146"/>
      <c r="O795" s="146"/>
      <c r="P795" s="146"/>
      <c r="Q795" s="30"/>
      <c r="R795" s="146"/>
      <c r="S795" s="147"/>
      <c r="T795" s="146"/>
      <c r="U795" s="146"/>
      <c r="V795" s="146"/>
      <c r="W795" s="146"/>
      <c r="X795" s="146"/>
      <c r="Y795" s="146"/>
      <c r="Z795" s="146"/>
      <c r="AA795" s="146"/>
      <c r="AB795" s="146"/>
      <c r="AC795" s="146"/>
      <c r="AD795" s="146"/>
      <c r="AE795" s="146"/>
      <c r="AF795" s="146"/>
      <c r="AG795" s="146"/>
      <c r="AH795" s="146"/>
      <c r="AI795" s="146"/>
    </row>
    <row r="796" spans="1:35" ht="13.5" customHeight="1" x14ac:dyDescent="0.25">
      <c r="A796" s="28"/>
      <c r="B796" s="28"/>
      <c r="C796" s="28"/>
      <c r="D796" s="28"/>
      <c r="E796" s="28"/>
      <c r="F796" s="28"/>
      <c r="G796" s="29"/>
      <c r="H796" s="28"/>
      <c r="I796" s="147"/>
      <c r="J796" s="147"/>
      <c r="K796" s="146"/>
      <c r="L796" s="146"/>
      <c r="M796" s="146"/>
      <c r="N796" s="146"/>
      <c r="O796" s="146"/>
      <c r="P796" s="146"/>
      <c r="Q796" s="30"/>
      <c r="R796" s="146"/>
      <c r="S796" s="147"/>
      <c r="T796" s="146"/>
      <c r="U796" s="146"/>
      <c r="V796" s="146"/>
      <c r="W796" s="146"/>
      <c r="X796" s="146"/>
      <c r="Y796" s="146"/>
      <c r="Z796" s="146"/>
      <c r="AA796" s="146"/>
      <c r="AB796" s="146"/>
      <c r="AC796" s="146"/>
      <c r="AD796" s="146"/>
      <c r="AE796" s="146"/>
      <c r="AF796" s="146"/>
      <c r="AG796" s="146"/>
      <c r="AH796" s="146"/>
      <c r="AI796" s="146"/>
    </row>
    <row r="797" spans="1:35" ht="13.5" customHeight="1" x14ac:dyDescent="0.25">
      <c r="A797" s="28"/>
      <c r="B797" s="28"/>
      <c r="C797" s="28"/>
      <c r="D797" s="28"/>
      <c r="E797" s="28"/>
      <c r="F797" s="28"/>
      <c r="G797" s="29"/>
      <c r="H797" s="28"/>
      <c r="I797" s="147"/>
      <c r="J797" s="147"/>
      <c r="K797" s="146"/>
      <c r="L797" s="146"/>
      <c r="M797" s="146"/>
      <c r="N797" s="146"/>
      <c r="O797" s="146"/>
      <c r="P797" s="146"/>
      <c r="Q797" s="30"/>
      <c r="R797" s="146"/>
      <c r="S797" s="147"/>
      <c r="T797" s="146"/>
      <c r="U797" s="146"/>
      <c r="V797" s="146"/>
      <c r="W797" s="146"/>
      <c r="X797" s="146"/>
      <c r="Y797" s="146"/>
      <c r="Z797" s="146"/>
      <c r="AA797" s="146"/>
      <c r="AB797" s="146"/>
      <c r="AC797" s="146"/>
      <c r="AD797" s="146"/>
      <c r="AE797" s="146"/>
      <c r="AF797" s="146"/>
      <c r="AG797" s="146"/>
      <c r="AH797" s="146"/>
      <c r="AI797" s="146"/>
    </row>
    <row r="798" spans="1:35" ht="13.5" customHeight="1" x14ac:dyDescent="0.25">
      <c r="A798" s="28"/>
      <c r="B798" s="28"/>
      <c r="C798" s="28"/>
      <c r="D798" s="28"/>
      <c r="E798" s="28"/>
      <c r="F798" s="28"/>
      <c r="G798" s="29"/>
      <c r="H798" s="28"/>
      <c r="I798" s="147"/>
      <c r="J798" s="147"/>
      <c r="K798" s="146"/>
      <c r="L798" s="146"/>
      <c r="M798" s="146"/>
      <c r="N798" s="146"/>
      <c r="O798" s="146"/>
      <c r="P798" s="146"/>
      <c r="Q798" s="30"/>
      <c r="R798" s="146"/>
      <c r="S798" s="147"/>
      <c r="T798" s="146"/>
      <c r="U798" s="146"/>
      <c r="V798" s="146"/>
      <c r="W798" s="146"/>
      <c r="X798" s="146"/>
      <c r="Y798" s="146"/>
      <c r="Z798" s="146"/>
      <c r="AA798" s="146"/>
      <c r="AB798" s="146"/>
      <c r="AC798" s="146"/>
      <c r="AD798" s="146"/>
      <c r="AE798" s="146"/>
      <c r="AF798" s="146"/>
      <c r="AG798" s="146"/>
      <c r="AH798" s="146"/>
      <c r="AI798" s="146"/>
    </row>
    <row r="799" spans="1:35" ht="13.5" customHeight="1" x14ac:dyDescent="0.25">
      <c r="A799" s="28"/>
      <c r="B799" s="28"/>
      <c r="C799" s="28"/>
      <c r="D799" s="28"/>
      <c r="E799" s="28"/>
      <c r="F799" s="28"/>
      <c r="G799" s="29"/>
      <c r="H799" s="28"/>
      <c r="I799" s="147"/>
      <c r="J799" s="147"/>
      <c r="K799" s="146"/>
      <c r="L799" s="146"/>
      <c r="M799" s="146"/>
      <c r="N799" s="146"/>
      <c r="O799" s="146"/>
      <c r="P799" s="146"/>
      <c r="Q799" s="30"/>
      <c r="R799" s="146"/>
      <c r="S799" s="147"/>
      <c r="T799" s="146"/>
      <c r="U799" s="146"/>
      <c r="V799" s="146"/>
      <c r="W799" s="146"/>
      <c r="X799" s="146"/>
      <c r="Y799" s="146"/>
      <c r="Z799" s="146"/>
      <c r="AA799" s="146"/>
      <c r="AB799" s="146"/>
      <c r="AC799" s="146"/>
      <c r="AD799" s="146"/>
      <c r="AE799" s="146"/>
      <c r="AF799" s="146"/>
      <c r="AG799" s="146"/>
      <c r="AH799" s="146"/>
      <c r="AI799" s="146"/>
    </row>
    <row r="800" spans="1:35" ht="13.5" customHeight="1" x14ac:dyDescent="0.25">
      <c r="A800" s="28"/>
      <c r="B800" s="28"/>
      <c r="C800" s="28"/>
      <c r="D800" s="28"/>
      <c r="E800" s="28"/>
      <c r="F800" s="28"/>
      <c r="G800" s="29"/>
      <c r="H800" s="28"/>
      <c r="I800" s="147"/>
      <c r="J800" s="147"/>
      <c r="K800" s="146"/>
      <c r="L800" s="146"/>
      <c r="M800" s="146"/>
      <c r="N800" s="146"/>
      <c r="O800" s="146"/>
      <c r="P800" s="146"/>
      <c r="Q800" s="30"/>
      <c r="R800" s="146"/>
      <c r="S800" s="147"/>
      <c r="T800" s="146"/>
      <c r="U800" s="146"/>
      <c r="V800" s="146"/>
      <c r="W800" s="146"/>
      <c r="X800" s="146"/>
      <c r="Y800" s="146"/>
      <c r="Z800" s="146"/>
      <c r="AA800" s="146"/>
      <c r="AB800" s="146"/>
      <c r="AC800" s="146"/>
      <c r="AD800" s="146"/>
      <c r="AE800" s="146"/>
      <c r="AF800" s="146"/>
      <c r="AG800" s="146"/>
      <c r="AH800" s="146"/>
      <c r="AI800" s="146"/>
    </row>
    <row r="801" spans="1:35" ht="13.5" customHeight="1" x14ac:dyDescent="0.25">
      <c r="A801" s="28"/>
      <c r="B801" s="28"/>
      <c r="C801" s="28"/>
      <c r="D801" s="28"/>
      <c r="E801" s="28"/>
      <c r="F801" s="28"/>
      <c r="G801" s="29"/>
      <c r="H801" s="28"/>
      <c r="I801" s="147"/>
      <c r="J801" s="147"/>
      <c r="K801" s="146"/>
      <c r="L801" s="146"/>
      <c r="M801" s="146"/>
      <c r="N801" s="146"/>
      <c r="O801" s="146"/>
      <c r="P801" s="146"/>
      <c r="Q801" s="30"/>
      <c r="R801" s="146"/>
      <c r="S801" s="147"/>
      <c r="T801" s="146"/>
      <c r="U801" s="146"/>
      <c r="V801" s="146"/>
      <c r="W801" s="146"/>
      <c r="X801" s="146"/>
      <c r="Y801" s="146"/>
      <c r="Z801" s="146"/>
      <c r="AA801" s="146"/>
      <c r="AB801" s="146"/>
      <c r="AC801" s="146"/>
      <c r="AD801" s="146"/>
      <c r="AE801" s="146"/>
      <c r="AF801" s="146"/>
      <c r="AG801" s="146"/>
      <c r="AH801" s="146"/>
      <c r="AI801" s="146"/>
    </row>
    <row r="802" spans="1:35" ht="13.5" customHeight="1" x14ac:dyDescent="0.25">
      <c r="A802" s="28"/>
      <c r="B802" s="28"/>
      <c r="C802" s="28"/>
      <c r="D802" s="28"/>
      <c r="E802" s="28"/>
      <c r="F802" s="28"/>
      <c r="G802" s="29"/>
      <c r="H802" s="28"/>
      <c r="I802" s="147"/>
      <c r="J802" s="147"/>
      <c r="K802" s="146"/>
      <c r="L802" s="146"/>
      <c r="M802" s="146"/>
      <c r="N802" s="146"/>
      <c r="O802" s="146"/>
      <c r="P802" s="146"/>
      <c r="Q802" s="30"/>
      <c r="R802" s="146"/>
      <c r="S802" s="147"/>
      <c r="T802" s="146"/>
      <c r="U802" s="146"/>
      <c r="V802" s="146"/>
      <c r="W802" s="146"/>
      <c r="X802" s="146"/>
      <c r="Y802" s="146"/>
      <c r="Z802" s="146"/>
      <c r="AA802" s="146"/>
      <c r="AB802" s="146"/>
      <c r="AC802" s="146"/>
      <c r="AD802" s="146"/>
      <c r="AE802" s="146"/>
      <c r="AF802" s="146"/>
      <c r="AG802" s="146"/>
      <c r="AH802" s="146"/>
      <c r="AI802" s="146"/>
    </row>
    <row r="803" spans="1:35" ht="13.5" customHeight="1" x14ac:dyDescent="0.25">
      <c r="A803" s="28"/>
      <c r="B803" s="28"/>
      <c r="C803" s="28"/>
      <c r="D803" s="28"/>
      <c r="E803" s="28"/>
      <c r="F803" s="28"/>
      <c r="G803" s="29"/>
      <c r="H803" s="28"/>
      <c r="I803" s="147"/>
      <c r="J803" s="147"/>
      <c r="K803" s="146"/>
      <c r="L803" s="146"/>
      <c r="M803" s="146"/>
      <c r="N803" s="146"/>
      <c r="O803" s="146"/>
      <c r="P803" s="146"/>
      <c r="Q803" s="30"/>
      <c r="R803" s="146"/>
      <c r="S803" s="147"/>
      <c r="T803" s="146"/>
      <c r="U803" s="146"/>
      <c r="V803" s="146"/>
      <c r="W803" s="146"/>
      <c r="X803" s="146"/>
      <c r="Y803" s="146"/>
      <c r="Z803" s="146"/>
      <c r="AA803" s="146"/>
      <c r="AB803" s="146"/>
      <c r="AC803" s="146"/>
      <c r="AD803" s="146"/>
      <c r="AE803" s="146"/>
      <c r="AF803" s="146"/>
      <c r="AG803" s="146"/>
      <c r="AH803" s="146"/>
      <c r="AI803" s="146"/>
    </row>
    <row r="804" spans="1:35" ht="13.5" customHeight="1" x14ac:dyDescent="0.25">
      <c r="A804" s="28"/>
      <c r="B804" s="28"/>
      <c r="C804" s="28"/>
      <c r="D804" s="28"/>
      <c r="E804" s="28"/>
      <c r="F804" s="28"/>
      <c r="G804" s="29"/>
      <c r="H804" s="28"/>
      <c r="I804" s="147"/>
      <c r="J804" s="147"/>
      <c r="K804" s="146"/>
      <c r="L804" s="146"/>
      <c r="M804" s="146"/>
      <c r="N804" s="146"/>
      <c r="O804" s="146"/>
      <c r="P804" s="146"/>
      <c r="Q804" s="30"/>
      <c r="R804" s="146"/>
      <c r="S804" s="147"/>
      <c r="T804" s="146"/>
      <c r="U804" s="146"/>
      <c r="V804" s="146"/>
      <c r="W804" s="146"/>
      <c r="X804" s="146"/>
      <c r="Y804" s="146"/>
      <c r="Z804" s="146"/>
      <c r="AA804" s="146"/>
      <c r="AB804" s="146"/>
      <c r="AC804" s="146"/>
      <c r="AD804" s="146"/>
      <c r="AE804" s="146"/>
      <c r="AF804" s="146"/>
      <c r="AG804" s="146"/>
      <c r="AH804" s="146"/>
      <c r="AI804" s="146"/>
    </row>
    <row r="805" spans="1:35" ht="13.5" customHeight="1" x14ac:dyDescent="0.25">
      <c r="A805" s="28"/>
      <c r="B805" s="28"/>
      <c r="C805" s="28"/>
      <c r="D805" s="28"/>
      <c r="E805" s="28"/>
      <c r="F805" s="28"/>
      <c r="G805" s="29"/>
      <c r="H805" s="28"/>
      <c r="I805" s="147"/>
      <c r="J805" s="147"/>
      <c r="K805" s="146"/>
      <c r="L805" s="146"/>
      <c r="M805" s="146"/>
      <c r="N805" s="146"/>
      <c r="O805" s="146"/>
      <c r="P805" s="146"/>
      <c r="Q805" s="30"/>
      <c r="R805" s="146"/>
      <c r="S805" s="147"/>
      <c r="T805" s="146"/>
      <c r="U805" s="146"/>
      <c r="V805" s="146"/>
      <c r="W805" s="146"/>
      <c r="X805" s="146"/>
      <c r="Y805" s="146"/>
      <c r="Z805" s="146"/>
      <c r="AA805" s="146"/>
      <c r="AB805" s="146"/>
      <c r="AC805" s="146"/>
      <c r="AD805" s="146"/>
      <c r="AE805" s="146"/>
      <c r="AF805" s="146"/>
      <c r="AG805" s="146"/>
      <c r="AH805" s="146"/>
      <c r="AI805" s="146"/>
    </row>
    <row r="806" spans="1:35" ht="13.5" customHeight="1" x14ac:dyDescent="0.25">
      <c r="A806" s="28"/>
      <c r="B806" s="28"/>
      <c r="C806" s="28"/>
      <c r="D806" s="28"/>
      <c r="E806" s="28"/>
      <c r="F806" s="28"/>
      <c r="G806" s="29"/>
      <c r="H806" s="28"/>
      <c r="I806" s="147"/>
      <c r="J806" s="147"/>
      <c r="K806" s="146"/>
      <c r="L806" s="146"/>
      <c r="M806" s="146"/>
      <c r="N806" s="146"/>
      <c r="O806" s="146"/>
      <c r="P806" s="146"/>
      <c r="Q806" s="30"/>
      <c r="R806" s="146"/>
      <c r="S806" s="147"/>
      <c r="T806" s="146"/>
      <c r="U806" s="146"/>
      <c r="V806" s="146"/>
      <c r="W806" s="146"/>
      <c r="X806" s="146"/>
      <c r="Y806" s="146"/>
      <c r="Z806" s="146"/>
      <c r="AA806" s="146"/>
      <c r="AB806" s="146"/>
      <c r="AC806" s="146"/>
      <c r="AD806" s="146"/>
      <c r="AE806" s="146"/>
      <c r="AF806" s="146"/>
      <c r="AG806" s="146"/>
      <c r="AH806" s="146"/>
      <c r="AI806" s="146"/>
    </row>
    <row r="807" spans="1:35" ht="13.5" customHeight="1" x14ac:dyDescent="0.25">
      <c r="A807" s="28"/>
      <c r="B807" s="28"/>
      <c r="C807" s="28"/>
      <c r="D807" s="28"/>
      <c r="E807" s="28"/>
      <c r="F807" s="28"/>
      <c r="G807" s="29"/>
      <c r="H807" s="28"/>
      <c r="I807" s="147"/>
      <c r="J807" s="147"/>
      <c r="K807" s="146"/>
      <c r="L807" s="146"/>
      <c r="M807" s="146"/>
      <c r="N807" s="146"/>
      <c r="O807" s="146"/>
      <c r="P807" s="146"/>
      <c r="Q807" s="30"/>
      <c r="R807" s="146"/>
      <c r="S807" s="147"/>
      <c r="T807" s="146"/>
      <c r="U807" s="146"/>
      <c r="V807" s="146"/>
      <c r="W807" s="146"/>
      <c r="X807" s="146"/>
      <c r="Y807" s="146"/>
      <c r="Z807" s="146"/>
      <c r="AA807" s="146"/>
      <c r="AB807" s="146"/>
      <c r="AC807" s="146"/>
      <c r="AD807" s="146"/>
      <c r="AE807" s="146"/>
      <c r="AF807" s="146"/>
      <c r="AG807" s="146"/>
      <c r="AH807" s="146"/>
      <c r="AI807" s="146"/>
    </row>
    <row r="808" spans="1:35" ht="13.5" customHeight="1" x14ac:dyDescent="0.25">
      <c r="A808" s="28"/>
      <c r="B808" s="28"/>
      <c r="C808" s="28"/>
      <c r="D808" s="28"/>
      <c r="E808" s="28"/>
      <c r="F808" s="28"/>
      <c r="G808" s="29"/>
      <c r="H808" s="28"/>
      <c r="I808" s="147"/>
      <c r="J808" s="147"/>
      <c r="K808" s="146"/>
      <c r="L808" s="146"/>
      <c r="M808" s="146"/>
      <c r="N808" s="146"/>
      <c r="O808" s="146"/>
      <c r="P808" s="146"/>
      <c r="Q808" s="30"/>
      <c r="R808" s="146"/>
      <c r="S808" s="147"/>
      <c r="T808" s="146"/>
      <c r="U808" s="146"/>
      <c r="V808" s="146"/>
      <c r="W808" s="146"/>
      <c r="X808" s="146"/>
      <c r="Y808" s="146"/>
      <c r="Z808" s="146"/>
      <c r="AA808" s="146"/>
      <c r="AB808" s="146"/>
      <c r="AC808" s="146"/>
      <c r="AD808" s="146"/>
      <c r="AE808" s="146"/>
      <c r="AF808" s="146"/>
      <c r="AG808" s="146"/>
      <c r="AH808" s="146"/>
      <c r="AI808" s="146"/>
    </row>
    <row r="809" spans="1:35" ht="13.5" customHeight="1" x14ac:dyDescent="0.25">
      <c r="A809" s="28"/>
      <c r="B809" s="28"/>
      <c r="C809" s="28"/>
      <c r="D809" s="28"/>
      <c r="E809" s="28"/>
      <c r="F809" s="28"/>
      <c r="G809" s="29"/>
      <c r="H809" s="28"/>
      <c r="I809" s="147"/>
      <c r="J809" s="147"/>
      <c r="K809" s="146"/>
      <c r="L809" s="146"/>
      <c r="M809" s="146"/>
      <c r="N809" s="146"/>
      <c r="O809" s="146"/>
      <c r="P809" s="146"/>
      <c r="Q809" s="30"/>
      <c r="R809" s="146"/>
      <c r="S809" s="147"/>
      <c r="T809" s="146"/>
      <c r="U809" s="146"/>
      <c r="V809" s="146"/>
      <c r="W809" s="146"/>
      <c r="X809" s="146"/>
      <c r="Y809" s="146"/>
      <c r="Z809" s="146"/>
      <c r="AA809" s="146"/>
      <c r="AB809" s="146"/>
      <c r="AC809" s="146"/>
      <c r="AD809" s="146"/>
      <c r="AE809" s="146"/>
      <c r="AF809" s="146"/>
      <c r="AG809" s="146"/>
      <c r="AH809" s="146"/>
      <c r="AI809" s="146"/>
    </row>
    <row r="810" spans="1:35" ht="13.5" customHeight="1" x14ac:dyDescent="0.25">
      <c r="A810" s="28"/>
      <c r="B810" s="28"/>
      <c r="C810" s="28"/>
      <c r="D810" s="28"/>
      <c r="E810" s="28"/>
      <c r="F810" s="28"/>
      <c r="G810" s="29"/>
      <c r="H810" s="28"/>
      <c r="I810" s="147"/>
      <c r="J810" s="147"/>
      <c r="K810" s="146"/>
      <c r="L810" s="146"/>
      <c r="M810" s="146"/>
      <c r="N810" s="146"/>
      <c r="O810" s="146"/>
      <c r="P810" s="146"/>
      <c r="Q810" s="30"/>
      <c r="R810" s="146"/>
      <c r="S810" s="147"/>
      <c r="T810" s="146"/>
      <c r="U810" s="146"/>
      <c r="V810" s="146"/>
      <c r="W810" s="146"/>
      <c r="X810" s="146"/>
      <c r="Y810" s="146"/>
      <c r="Z810" s="146"/>
      <c r="AA810" s="146"/>
      <c r="AB810" s="146"/>
      <c r="AC810" s="146"/>
      <c r="AD810" s="146"/>
      <c r="AE810" s="146"/>
      <c r="AF810" s="146"/>
      <c r="AG810" s="146"/>
      <c r="AH810" s="146"/>
      <c r="AI810" s="146"/>
    </row>
    <row r="811" spans="1:35" ht="13.5" customHeight="1" x14ac:dyDescent="0.25">
      <c r="A811" s="28"/>
      <c r="B811" s="28"/>
      <c r="C811" s="28"/>
      <c r="D811" s="28"/>
      <c r="E811" s="28"/>
      <c r="F811" s="28"/>
      <c r="G811" s="29"/>
      <c r="H811" s="28"/>
      <c r="I811" s="147"/>
      <c r="J811" s="147"/>
      <c r="K811" s="146"/>
      <c r="L811" s="146"/>
      <c r="M811" s="146"/>
      <c r="N811" s="146"/>
      <c r="O811" s="146"/>
      <c r="P811" s="146"/>
      <c r="Q811" s="30"/>
      <c r="R811" s="146"/>
      <c r="S811" s="147"/>
      <c r="T811" s="146"/>
      <c r="U811" s="146"/>
      <c r="V811" s="146"/>
      <c r="W811" s="146"/>
      <c r="X811" s="146"/>
      <c r="Y811" s="146"/>
      <c r="Z811" s="146"/>
      <c r="AA811" s="146"/>
      <c r="AB811" s="146"/>
      <c r="AC811" s="146"/>
      <c r="AD811" s="146"/>
      <c r="AE811" s="146"/>
      <c r="AF811" s="146"/>
      <c r="AG811" s="146"/>
      <c r="AH811" s="146"/>
      <c r="AI811" s="146"/>
    </row>
    <row r="812" spans="1:35" ht="13.5" customHeight="1" x14ac:dyDescent="0.25">
      <c r="A812" s="28"/>
      <c r="B812" s="28"/>
      <c r="C812" s="28"/>
      <c r="D812" s="28"/>
      <c r="E812" s="28"/>
      <c r="F812" s="28"/>
      <c r="G812" s="29"/>
      <c r="H812" s="28"/>
      <c r="I812" s="147"/>
      <c r="J812" s="147"/>
      <c r="K812" s="146"/>
      <c r="L812" s="146"/>
      <c r="M812" s="146"/>
      <c r="N812" s="146"/>
      <c r="O812" s="146"/>
      <c r="P812" s="146"/>
      <c r="Q812" s="30"/>
      <c r="R812" s="146"/>
      <c r="S812" s="147"/>
      <c r="T812" s="146"/>
      <c r="U812" s="146"/>
      <c r="V812" s="146"/>
      <c r="W812" s="146"/>
      <c r="X812" s="146"/>
      <c r="Y812" s="146"/>
      <c r="Z812" s="146"/>
      <c r="AA812" s="146"/>
      <c r="AB812" s="146"/>
      <c r="AC812" s="146"/>
      <c r="AD812" s="146"/>
      <c r="AE812" s="146"/>
      <c r="AF812" s="146"/>
      <c r="AG812" s="146"/>
      <c r="AH812" s="146"/>
      <c r="AI812" s="146"/>
    </row>
    <row r="813" spans="1:35" ht="13.5" customHeight="1" x14ac:dyDescent="0.25">
      <c r="A813" s="28"/>
      <c r="B813" s="28"/>
      <c r="C813" s="28"/>
      <c r="D813" s="28"/>
      <c r="E813" s="28"/>
      <c r="F813" s="28"/>
      <c r="G813" s="29"/>
      <c r="H813" s="28"/>
      <c r="I813" s="147"/>
      <c r="J813" s="147"/>
      <c r="K813" s="146"/>
      <c r="L813" s="146"/>
      <c r="M813" s="146"/>
      <c r="N813" s="146"/>
      <c r="O813" s="146"/>
      <c r="P813" s="146"/>
      <c r="Q813" s="30"/>
      <c r="R813" s="146"/>
      <c r="S813" s="147"/>
      <c r="T813" s="146"/>
      <c r="U813" s="146"/>
      <c r="V813" s="146"/>
      <c r="W813" s="146"/>
      <c r="X813" s="146"/>
      <c r="Y813" s="146"/>
      <c r="Z813" s="146"/>
      <c r="AA813" s="146"/>
      <c r="AB813" s="146"/>
      <c r="AC813" s="146"/>
      <c r="AD813" s="146"/>
      <c r="AE813" s="146"/>
      <c r="AF813" s="146"/>
      <c r="AG813" s="146"/>
      <c r="AH813" s="146"/>
      <c r="AI813" s="146"/>
    </row>
    <row r="814" spans="1:35" ht="13.5" customHeight="1" x14ac:dyDescent="0.25">
      <c r="A814" s="28"/>
      <c r="B814" s="28"/>
      <c r="C814" s="28"/>
      <c r="D814" s="28"/>
      <c r="E814" s="28"/>
      <c r="F814" s="28"/>
      <c r="G814" s="29"/>
      <c r="H814" s="28"/>
      <c r="I814" s="147"/>
      <c r="J814" s="147"/>
      <c r="K814" s="146"/>
      <c r="L814" s="146"/>
      <c r="M814" s="146"/>
      <c r="N814" s="146"/>
      <c r="O814" s="146"/>
      <c r="P814" s="146"/>
      <c r="Q814" s="30"/>
      <c r="R814" s="146"/>
      <c r="S814" s="147"/>
      <c r="T814" s="146"/>
      <c r="U814" s="146"/>
      <c r="V814" s="146"/>
      <c r="W814" s="146"/>
      <c r="X814" s="146"/>
      <c r="Y814" s="146"/>
      <c r="Z814" s="146"/>
      <c r="AA814" s="146"/>
      <c r="AB814" s="146"/>
      <c r="AC814" s="146"/>
      <c r="AD814" s="146"/>
      <c r="AE814" s="146"/>
      <c r="AF814" s="146"/>
      <c r="AG814" s="146"/>
      <c r="AH814" s="146"/>
      <c r="AI814" s="146"/>
    </row>
    <row r="815" spans="1:35" ht="13.5" customHeight="1" x14ac:dyDescent="0.25">
      <c r="A815" s="28"/>
      <c r="B815" s="28"/>
      <c r="C815" s="28"/>
      <c r="D815" s="28"/>
      <c r="E815" s="28"/>
      <c r="F815" s="28"/>
      <c r="G815" s="29"/>
      <c r="H815" s="28"/>
      <c r="I815" s="147"/>
      <c r="J815" s="147"/>
      <c r="K815" s="146"/>
      <c r="L815" s="146"/>
      <c r="M815" s="146"/>
      <c r="N815" s="146"/>
      <c r="O815" s="146"/>
      <c r="P815" s="146"/>
      <c r="Q815" s="30"/>
      <c r="R815" s="146"/>
      <c r="S815" s="147"/>
      <c r="T815" s="146"/>
      <c r="U815" s="146"/>
      <c r="V815" s="146"/>
      <c r="W815" s="146"/>
      <c r="X815" s="146"/>
      <c r="Y815" s="146"/>
      <c r="Z815" s="146"/>
      <c r="AA815" s="146"/>
      <c r="AB815" s="146"/>
      <c r="AC815" s="146"/>
      <c r="AD815" s="146"/>
      <c r="AE815" s="146"/>
      <c r="AF815" s="146"/>
      <c r="AG815" s="146"/>
      <c r="AH815" s="146"/>
      <c r="AI815" s="146"/>
    </row>
    <row r="816" spans="1:35" ht="13.5" customHeight="1" x14ac:dyDescent="0.25">
      <c r="A816" s="28"/>
      <c r="B816" s="28"/>
      <c r="C816" s="28"/>
      <c r="D816" s="28"/>
      <c r="E816" s="28"/>
      <c r="F816" s="28"/>
      <c r="G816" s="29"/>
      <c r="H816" s="28"/>
      <c r="I816" s="147"/>
      <c r="J816" s="147"/>
      <c r="K816" s="146"/>
      <c r="L816" s="146"/>
      <c r="M816" s="146"/>
      <c r="N816" s="146"/>
      <c r="O816" s="146"/>
      <c r="P816" s="146"/>
      <c r="Q816" s="30"/>
      <c r="R816" s="146"/>
      <c r="S816" s="147"/>
      <c r="T816" s="146"/>
      <c r="U816" s="146"/>
      <c r="V816" s="146"/>
      <c r="W816" s="146"/>
      <c r="X816" s="146"/>
      <c r="Y816" s="146"/>
      <c r="Z816" s="146"/>
      <c r="AA816" s="146"/>
      <c r="AB816" s="146"/>
      <c r="AC816" s="146"/>
      <c r="AD816" s="146"/>
      <c r="AE816" s="146"/>
      <c r="AF816" s="146"/>
      <c r="AG816" s="146"/>
      <c r="AH816" s="146"/>
      <c r="AI816" s="146"/>
    </row>
    <row r="817" spans="1:35" ht="13.5" customHeight="1" x14ac:dyDescent="0.25">
      <c r="A817" s="28"/>
      <c r="B817" s="28"/>
      <c r="C817" s="28"/>
      <c r="D817" s="28"/>
      <c r="E817" s="28"/>
      <c r="F817" s="28"/>
      <c r="G817" s="29"/>
      <c r="H817" s="28"/>
      <c r="I817" s="147"/>
      <c r="J817" s="147"/>
      <c r="K817" s="146"/>
      <c r="L817" s="146"/>
      <c r="M817" s="146"/>
      <c r="N817" s="146"/>
      <c r="O817" s="146"/>
      <c r="P817" s="146"/>
      <c r="Q817" s="30"/>
      <c r="R817" s="146"/>
      <c r="S817" s="147"/>
      <c r="T817" s="146"/>
      <c r="U817" s="146"/>
      <c r="V817" s="146"/>
      <c r="W817" s="146"/>
      <c r="X817" s="146"/>
      <c r="Y817" s="146"/>
      <c r="Z817" s="146"/>
      <c r="AA817" s="146"/>
      <c r="AB817" s="146"/>
      <c r="AC817" s="146"/>
      <c r="AD817" s="146"/>
      <c r="AE817" s="146"/>
      <c r="AF817" s="146"/>
      <c r="AG817" s="146"/>
      <c r="AH817" s="146"/>
      <c r="AI817" s="146"/>
    </row>
    <row r="818" spans="1:35" ht="13.5" customHeight="1" x14ac:dyDescent="0.25">
      <c r="A818" s="28"/>
      <c r="B818" s="28"/>
      <c r="C818" s="28"/>
      <c r="D818" s="28"/>
      <c r="E818" s="28"/>
      <c r="F818" s="28"/>
      <c r="G818" s="29"/>
      <c r="H818" s="28"/>
      <c r="I818" s="147"/>
      <c r="J818" s="147"/>
      <c r="K818" s="146"/>
      <c r="L818" s="146"/>
      <c r="M818" s="146"/>
      <c r="N818" s="146"/>
      <c r="O818" s="146"/>
      <c r="P818" s="146"/>
      <c r="Q818" s="30"/>
      <c r="R818" s="146"/>
      <c r="S818" s="147"/>
      <c r="T818" s="146"/>
      <c r="U818" s="146"/>
      <c r="V818" s="146"/>
      <c r="W818" s="146"/>
      <c r="X818" s="146"/>
      <c r="Y818" s="146"/>
      <c r="Z818" s="146"/>
      <c r="AA818" s="146"/>
      <c r="AB818" s="146"/>
      <c r="AC818" s="146"/>
      <c r="AD818" s="146"/>
      <c r="AE818" s="146"/>
      <c r="AF818" s="146"/>
      <c r="AG818" s="146"/>
      <c r="AH818" s="146"/>
      <c r="AI818" s="146"/>
    </row>
    <row r="819" spans="1:35" ht="13.5" customHeight="1" x14ac:dyDescent="0.25">
      <c r="A819" s="28"/>
      <c r="B819" s="28"/>
      <c r="C819" s="28"/>
      <c r="D819" s="28"/>
      <c r="E819" s="28"/>
      <c r="F819" s="28"/>
      <c r="G819" s="29"/>
      <c r="H819" s="28"/>
      <c r="I819" s="147"/>
      <c r="J819" s="147"/>
      <c r="K819" s="146"/>
      <c r="L819" s="146"/>
      <c r="M819" s="146"/>
      <c r="N819" s="146"/>
      <c r="O819" s="146"/>
      <c r="P819" s="146"/>
      <c r="Q819" s="30"/>
      <c r="R819" s="146"/>
      <c r="S819" s="147"/>
      <c r="T819" s="146"/>
      <c r="U819" s="146"/>
      <c r="V819" s="146"/>
      <c r="W819" s="146"/>
      <c r="X819" s="146"/>
      <c r="Y819" s="146"/>
      <c r="Z819" s="146"/>
      <c r="AA819" s="146"/>
      <c r="AB819" s="146"/>
      <c r="AC819" s="146"/>
      <c r="AD819" s="146"/>
      <c r="AE819" s="146"/>
      <c r="AF819" s="146"/>
      <c r="AG819" s="146"/>
      <c r="AH819" s="146"/>
      <c r="AI819" s="146"/>
    </row>
    <row r="820" spans="1:35" ht="13.5" customHeight="1" x14ac:dyDescent="0.25">
      <c r="A820" s="28"/>
      <c r="B820" s="28"/>
      <c r="C820" s="28"/>
      <c r="D820" s="28"/>
      <c r="E820" s="28"/>
      <c r="F820" s="28"/>
      <c r="G820" s="29"/>
      <c r="H820" s="28"/>
      <c r="I820" s="147"/>
      <c r="J820" s="147"/>
      <c r="K820" s="146"/>
      <c r="L820" s="146"/>
      <c r="M820" s="146"/>
      <c r="N820" s="146"/>
      <c r="O820" s="146"/>
      <c r="P820" s="146"/>
      <c r="Q820" s="30"/>
      <c r="R820" s="146"/>
      <c r="S820" s="147"/>
      <c r="T820" s="146"/>
      <c r="U820" s="146"/>
      <c r="V820" s="146"/>
      <c r="W820" s="146"/>
      <c r="X820" s="146"/>
      <c r="Y820" s="146"/>
      <c r="Z820" s="146"/>
      <c r="AA820" s="146"/>
      <c r="AB820" s="146"/>
      <c r="AC820" s="146"/>
      <c r="AD820" s="146"/>
      <c r="AE820" s="146"/>
      <c r="AF820" s="146"/>
      <c r="AG820" s="146"/>
      <c r="AH820" s="146"/>
      <c r="AI820" s="146"/>
    </row>
    <row r="821" spans="1:35" ht="13.5" customHeight="1" x14ac:dyDescent="0.25">
      <c r="A821" s="28"/>
      <c r="B821" s="28"/>
      <c r="C821" s="28"/>
      <c r="D821" s="28"/>
      <c r="E821" s="28"/>
      <c r="F821" s="28"/>
      <c r="G821" s="29"/>
      <c r="H821" s="28"/>
      <c r="I821" s="147"/>
      <c r="J821" s="147"/>
      <c r="K821" s="146"/>
      <c r="L821" s="146"/>
      <c r="M821" s="146"/>
      <c r="N821" s="146"/>
      <c r="O821" s="146"/>
      <c r="P821" s="146"/>
      <c r="Q821" s="30"/>
      <c r="R821" s="146"/>
      <c r="S821" s="147"/>
      <c r="T821" s="146"/>
      <c r="U821" s="146"/>
      <c r="V821" s="146"/>
      <c r="W821" s="146"/>
      <c r="X821" s="146"/>
      <c r="Y821" s="146"/>
      <c r="Z821" s="146"/>
      <c r="AA821" s="146"/>
      <c r="AB821" s="146"/>
      <c r="AC821" s="146"/>
      <c r="AD821" s="146"/>
      <c r="AE821" s="146"/>
      <c r="AF821" s="146"/>
      <c r="AG821" s="146"/>
      <c r="AH821" s="146"/>
      <c r="AI821" s="146"/>
    </row>
    <row r="822" spans="1:35" ht="13.5" customHeight="1" x14ac:dyDescent="0.25">
      <c r="A822" s="28"/>
      <c r="B822" s="28"/>
      <c r="C822" s="28"/>
      <c r="D822" s="28"/>
      <c r="E822" s="28"/>
      <c r="F822" s="28"/>
      <c r="G822" s="29"/>
      <c r="H822" s="28"/>
      <c r="I822" s="147"/>
      <c r="J822" s="147"/>
      <c r="K822" s="146"/>
      <c r="L822" s="146"/>
      <c r="M822" s="146"/>
      <c r="N822" s="146"/>
      <c r="O822" s="146"/>
      <c r="P822" s="146"/>
      <c r="Q822" s="30"/>
      <c r="R822" s="146"/>
      <c r="S822" s="147"/>
      <c r="T822" s="146"/>
      <c r="U822" s="146"/>
      <c r="V822" s="146"/>
      <c r="W822" s="146"/>
      <c r="X822" s="146"/>
      <c r="Y822" s="146"/>
      <c r="Z822" s="146"/>
      <c r="AA822" s="146"/>
      <c r="AB822" s="146"/>
      <c r="AC822" s="146"/>
      <c r="AD822" s="146"/>
      <c r="AE822" s="146"/>
      <c r="AF822" s="146"/>
      <c r="AG822" s="146"/>
      <c r="AH822" s="146"/>
      <c r="AI822" s="146"/>
    </row>
    <row r="823" spans="1:35" ht="13.5" customHeight="1" x14ac:dyDescent="0.25">
      <c r="A823" s="28"/>
      <c r="B823" s="28"/>
      <c r="C823" s="28"/>
      <c r="D823" s="28"/>
      <c r="E823" s="28"/>
      <c r="F823" s="28"/>
      <c r="G823" s="29"/>
      <c r="H823" s="28"/>
      <c r="I823" s="147"/>
      <c r="J823" s="147"/>
      <c r="K823" s="146"/>
      <c r="L823" s="146"/>
      <c r="M823" s="146"/>
      <c r="N823" s="146"/>
      <c r="O823" s="146"/>
      <c r="P823" s="146"/>
      <c r="Q823" s="30"/>
      <c r="R823" s="146"/>
      <c r="S823" s="147"/>
      <c r="T823" s="146"/>
      <c r="U823" s="146"/>
      <c r="V823" s="146"/>
      <c r="W823" s="146"/>
      <c r="X823" s="146"/>
      <c r="Y823" s="146"/>
      <c r="Z823" s="146"/>
      <c r="AA823" s="146"/>
      <c r="AB823" s="146"/>
      <c r="AC823" s="146"/>
      <c r="AD823" s="146"/>
      <c r="AE823" s="146"/>
      <c r="AF823" s="146"/>
      <c r="AG823" s="146"/>
      <c r="AH823" s="146"/>
      <c r="AI823" s="146"/>
    </row>
    <row r="824" spans="1:35" ht="13.5" customHeight="1" x14ac:dyDescent="0.25">
      <c r="A824" s="28"/>
      <c r="B824" s="28"/>
      <c r="C824" s="28"/>
      <c r="D824" s="28"/>
      <c r="E824" s="28"/>
      <c r="F824" s="28"/>
      <c r="G824" s="29"/>
      <c r="H824" s="28"/>
      <c r="I824" s="147"/>
      <c r="J824" s="147"/>
      <c r="K824" s="146"/>
      <c r="L824" s="146"/>
      <c r="M824" s="146"/>
      <c r="N824" s="146"/>
      <c r="O824" s="146"/>
      <c r="P824" s="146"/>
      <c r="Q824" s="30"/>
      <c r="R824" s="146"/>
      <c r="S824" s="147"/>
      <c r="T824" s="146"/>
      <c r="U824" s="146"/>
      <c r="V824" s="146"/>
      <c r="W824" s="146"/>
      <c r="X824" s="146"/>
      <c r="Y824" s="146"/>
      <c r="Z824" s="146"/>
      <c r="AA824" s="146"/>
      <c r="AB824" s="146"/>
      <c r="AC824" s="146"/>
      <c r="AD824" s="146"/>
      <c r="AE824" s="146"/>
      <c r="AF824" s="146"/>
      <c r="AG824" s="146"/>
      <c r="AH824" s="146"/>
      <c r="AI824" s="146"/>
    </row>
    <row r="825" spans="1:35" ht="13.5" customHeight="1" x14ac:dyDescent="0.25">
      <c r="A825" s="28"/>
      <c r="B825" s="28"/>
      <c r="C825" s="28"/>
      <c r="D825" s="28"/>
      <c r="E825" s="28"/>
      <c r="F825" s="28"/>
      <c r="G825" s="29"/>
      <c r="H825" s="28"/>
      <c r="I825" s="147"/>
      <c r="J825" s="147"/>
      <c r="K825" s="146"/>
      <c r="L825" s="146"/>
      <c r="M825" s="146"/>
      <c r="N825" s="146"/>
      <c r="O825" s="146"/>
      <c r="P825" s="146"/>
      <c r="Q825" s="30"/>
      <c r="R825" s="146"/>
      <c r="S825" s="147"/>
      <c r="T825" s="146"/>
      <c r="U825" s="146"/>
      <c r="V825" s="146"/>
      <c r="W825" s="146"/>
      <c r="X825" s="146"/>
      <c r="Y825" s="146"/>
      <c r="Z825" s="146"/>
      <c r="AA825" s="146"/>
      <c r="AB825" s="146"/>
      <c r="AC825" s="146"/>
      <c r="AD825" s="146"/>
      <c r="AE825" s="146"/>
      <c r="AF825" s="146"/>
      <c r="AG825" s="146"/>
      <c r="AH825" s="146"/>
      <c r="AI825" s="146"/>
    </row>
    <row r="826" spans="1:35" ht="13.5" customHeight="1" x14ac:dyDescent="0.25">
      <c r="A826" s="28"/>
      <c r="B826" s="28"/>
      <c r="C826" s="28"/>
      <c r="D826" s="28"/>
      <c r="E826" s="28"/>
      <c r="F826" s="28"/>
      <c r="G826" s="29"/>
      <c r="H826" s="28"/>
      <c r="I826" s="147"/>
      <c r="J826" s="147"/>
      <c r="K826" s="146"/>
      <c r="L826" s="146"/>
      <c r="M826" s="146"/>
      <c r="N826" s="146"/>
      <c r="O826" s="146"/>
      <c r="P826" s="146"/>
      <c r="Q826" s="30"/>
      <c r="R826" s="146"/>
      <c r="S826" s="147"/>
      <c r="T826" s="146"/>
      <c r="U826" s="146"/>
      <c r="V826" s="146"/>
      <c r="W826" s="146"/>
      <c r="X826" s="146"/>
      <c r="Y826" s="146"/>
      <c r="Z826" s="146"/>
      <c r="AA826" s="146"/>
      <c r="AB826" s="146"/>
      <c r="AC826" s="146"/>
      <c r="AD826" s="146"/>
      <c r="AE826" s="146"/>
      <c r="AF826" s="146"/>
      <c r="AG826" s="146"/>
      <c r="AH826" s="146"/>
      <c r="AI826" s="146"/>
    </row>
    <row r="827" spans="1:35" ht="13.5" customHeight="1" x14ac:dyDescent="0.25">
      <c r="A827" s="28"/>
      <c r="B827" s="28"/>
      <c r="C827" s="28"/>
      <c r="D827" s="28"/>
      <c r="E827" s="28"/>
      <c r="F827" s="28"/>
      <c r="G827" s="29"/>
      <c r="H827" s="28"/>
      <c r="I827" s="147"/>
      <c r="J827" s="147"/>
      <c r="K827" s="146"/>
      <c r="L827" s="146"/>
      <c r="M827" s="146"/>
      <c r="N827" s="146"/>
      <c r="O827" s="146"/>
      <c r="P827" s="146"/>
      <c r="Q827" s="30"/>
      <c r="R827" s="146"/>
      <c r="S827" s="147"/>
      <c r="T827" s="146"/>
      <c r="U827" s="146"/>
      <c r="V827" s="146"/>
      <c r="W827" s="146"/>
      <c r="X827" s="146"/>
      <c r="Y827" s="146"/>
      <c r="Z827" s="146"/>
      <c r="AA827" s="146"/>
      <c r="AB827" s="146"/>
      <c r="AC827" s="146"/>
      <c r="AD827" s="146"/>
      <c r="AE827" s="146"/>
      <c r="AF827" s="146"/>
      <c r="AG827" s="146"/>
      <c r="AH827" s="146"/>
      <c r="AI827" s="146"/>
    </row>
    <row r="828" spans="1:35" ht="13.5" customHeight="1" x14ac:dyDescent="0.25">
      <c r="A828" s="28"/>
      <c r="B828" s="28"/>
      <c r="C828" s="28"/>
      <c r="D828" s="28"/>
      <c r="E828" s="28"/>
      <c r="F828" s="28"/>
      <c r="G828" s="29"/>
      <c r="H828" s="28"/>
      <c r="I828" s="147"/>
      <c r="J828" s="147"/>
      <c r="K828" s="146"/>
      <c r="L828" s="146"/>
      <c r="M828" s="146"/>
      <c r="N828" s="146"/>
      <c r="O828" s="146"/>
      <c r="P828" s="146"/>
      <c r="Q828" s="30"/>
      <c r="R828" s="146"/>
      <c r="S828" s="147"/>
      <c r="T828" s="146"/>
      <c r="U828" s="146"/>
      <c r="V828" s="146"/>
      <c r="W828" s="146"/>
      <c r="X828" s="146"/>
      <c r="Y828" s="146"/>
      <c r="Z828" s="146"/>
      <c r="AA828" s="146"/>
      <c r="AB828" s="146"/>
      <c r="AC828" s="146"/>
      <c r="AD828" s="146"/>
      <c r="AE828" s="146"/>
      <c r="AF828" s="146"/>
      <c r="AG828" s="146"/>
      <c r="AH828" s="146"/>
      <c r="AI828" s="146"/>
    </row>
    <row r="829" spans="1:35" ht="13.5" customHeight="1" x14ac:dyDescent="0.25">
      <c r="A829" s="28"/>
      <c r="B829" s="28"/>
      <c r="C829" s="28"/>
      <c r="D829" s="28"/>
      <c r="E829" s="28"/>
      <c r="F829" s="28"/>
      <c r="G829" s="29"/>
      <c r="H829" s="28"/>
      <c r="I829" s="147"/>
      <c r="J829" s="147"/>
      <c r="K829" s="146"/>
      <c r="L829" s="146"/>
      <c r="M829" s="146"/>
      <c r="N829" s="146"/>
      <c r="O829" s="146"/>
      <c r="P829" s="146"/>
      <c r="Q829" s="30"/>
      <c r="R829" s="146"/>
      <c r="S829" s="147"/>
      <c r="T829" s="146"/>
      <c r="U829" s="146"/>
      <c r="V829" s="146"/>
      <c r="W829" s="146"/>
      <c r="X829" s="146"/>
      <c r="Y829" s="146"/>
      <c r="Z829" s="146"/>
      <c r="AA829" s="146"/>
      <c r="AB829" s="146"/>
      <c r="AC829" s="146"/>
      <c r="AD829" s="146"/>
      <c r="AE829" s="146"/>
      <c r="AF829" s="146"/>
      <c r="AG829" s="146"/>
      <c r="AH829" s="146"/>
      <c r="AI829" s="146"/>
    </row>
    <row r="830" spans="1:35" ht="13.5" customHeight="1" x14ac:dyDescent="0.25">
      <c r="A830" s="28"/>
      <c r="B830" s="28"/>
      <c r="C830" s="28"/>
      <c r="D830" s="28"/>
      <c r="E830" s="28"/>
      <c r="F830" s="28"/>
      <c r="G830" s="29"/>
      <c r="H830" s="28"/>
      <c r="I830" s="147"/>
      <c r="J830" s="147"/>
      <c r="K830" s="146"/>
      <c r="L830" s="146"/>
      <c r="M830" s="146"/>
      <c r="N830" s="146"/>
      <c r="O830" s="146"/>
      <c r="P830" s="146"/>
      <c r="Q830" s="30"/>
      <c r="R830" s="146"/>
      <c r="S830" s="147"/>
      <c r="T830" s="146"/>
      <c r="U830" s="146"/>
      <c r="V830" s="146"/>
      <c r="W830" s="146"/>
      <c r="X830" s="146"/>
      <c r="Y830" s="146"/>
      <c r="Z830" s="146"/>
      <c r="AA830" s="146"/>
      <c r="AB830" s="146"/>
      <c r="AC830" s="146"/>
      <c r="AD830" s="146"/>
      <c r="AE830" s="146"/>
      <c r="AF830" s="146"/>
      <c r="AG830" s="146"/>
      <c r="AH830" s="146"/>
      <c r="AI830" s="146"/>
    </row>
    <row r="831" spans="1:35" ht="13.5" customHeight="1" x14ac:dyDescent="0.25">
      <c r="A831" s="28"/>
      <c r="B831" s="28"/>
      <c r="C831" s="28"/>
      <c r="D831" s="28"/>
      <c r="E831" s="28"/>
      <c r="F831" s="28"/>
      <c r="G831" s="29"/>
      <c r="H831" s="28"/>
      <c r="I831" s="147"/>
      <c r="J831" s="147"/>
      <c r="K831" s="146"/>
      <c r="L831" s="146"/>
      <c r="M831" s="146"/>
      <c r="N831" s="146"/>
      <c r="O831" s="146"/>
      <c r="P831" s="146"/>
      <c r="Q831" s="30"/>
      <c r="R831" s="146"/>
      <c r="S831" s="147"/>
      <c r="T831" s="146"/>
      <c r="U831" s="146"/>
      <c r="V831" s="146"/>
      <c r="W831" s="146"/>
      <c r="X831" s="146"/>
      <c r="Y831" s="146"/>
      <c r="Z831" s="146"/>
      <c r="AA831" s="146"/>
      <c r="AB831" s="146"/>
      <c r="AC831" s="146"/>
      <c r="AD831" s="146"/>
      <c r="AE831" s="146"/>
      <c r="AF831" s="146"/>
      <c r="AG831" s="146"/>
      <c r="AH831" s="146"/>
      <c r="AI831" s="146"/>
    </row>
    <row r="832" spans="1:35" ht="13.5" customHeight="1" x14ac:dyDescent="0.25">
      <c r="A832" s="28"/>
      <c r="B832" s="28"/>
      <c r="C832" s="28"/>
      <c r="D832" s="28"/>
      <c r="E832" s="28"/>
      <c r="F832" s="28"/>
      <c r="G832" s="29"/>
      <c r="H832" s="28"/>
      <c r="I832" s="147"/>
      <c r="J832" s="147"/>
      <c r="K832" s="146"/>
      <c r="L832" s="146"/>
      <c r="M832" s="146"/>
      <c r="N832" s="146"/>
      <c r="O832" s="146"/>
      <c r="P832" s="146"/>
      <c r="Q832" s="30"/>
      <c r="R832" s="146"/>
      <c r="S832" s="147"/>
      <c r="T832" s="146"/>
      <c r="U832" s="146"/>
      <c r="V832" s="146"/>
      <c r="W832" s="146"/>
      <c r="X832" s="146"/>
      <c r="Y832" s="146"/>
      <c r="Z832" s="146"/>
      <c r="AA832" s="146"/>
      <c r="AB832" s="146"/>
      <c r="AC832" s="146"/>
      <c r="AD832" s="146"/>
      <c r="AE832" s="146"/>
      <c r="AF832" s="146"/>
      <c r="AG832" s="146"/>
      <c r="AH832" s="146"/>
      <c r="AI832" s="146"/>
    </row>
    <row r="833" spans="1:35" ht="13.5" customHeight="1" x14ac:dyDescent="0.25">
      <c r="A833" s="28"/>
      <c r="B833" s="28"/>
      <c r="C833" s="28"/>
      <c r="D833" s="28"/>
      <c r="E833" s="28"/>
      <c r="F833" s="28"/>
      <c r="G833" s="29"/>
      <c r="H833" s="28"/>
      <c r="I833" s="147"/>
      <c r="J833" s="147"/>
      <c r="K833" s="146"/>
      <c r="L833" s="146"/>
      <c r="M833" s="146"/>
      <c r="N833" s="146"/>
      <c r="O833" s="146"/>
      <c r="P833" s="146"/>
      <c r="Q833" s="30"/>
      <c r="R833" s="146"/>
      <c r="S833" s="147"/>
      <c r="T833" s="146"/>
      <c r="U833" s="146"/>
      <c r="V833" s="146"/>
      <c r="W833" s="146"/>
      <c r="X833" s="146"/>
      <c r="Y833" s="146"/>
      <c r="Z833" s="146"/>
      <c r="AA833" s="146"/>
      <c r="AB833" s="146"/>
      <c r="AC833" s="146"/>
      <c r="AD833" s="146"/>
      <c r="AE833" s="146"/>
      <c r="AF833" s="146"/>
      <c r="AG833" s="146"/>
      <c r="AH833" s="146"/>
      <c r="AI833" s="146"/>
    </row>
    <row r="834" spans="1:35" ht="13.5" customHeight="1" x14ac:dyDescent="0.25">
      <c r="A834" s="28"/>
      <c r="B834" s="28"/>
      <c r="C834" s="28"/>
      <c r="D834" s="28"/>
      <c r="E834" s="28"/>
      <c r="F834" s="28"/>
      <c r="G834" s="29"/>
      <c r="H834" s="28"/>
      <c r="I834" s="147"/>
      <c r="J834" s="147"/>
      <c r="K834" s="146"/>
      <c r="L834" s="146"/>
      <c r="M834" s="146"/>
      <c r="N834" s="146"/>
      <c r="O834" s="146"/>
      <c r="P834" s="146"/>
      <c r="Q834" s="30"/>
      <c r="R834" s="146"/>
      <c r="S834" s="147"/>
      <c r="T834" s="146"/>
      <c r="U834" s="146"/>
      <c r="V834" s="146"/>
      <c r="W834" s="146"/>
      <c r="X834" s="146"/>
      <c r="Y834" s="146"/>
      <c r="Z834" s="146"/>
      <c r="AA834" s="146"/>
      <c r="AB834" s="146"/>
      <c r="AC834" s="146"/>
      <c r="AD834" s="146"/>
      <c r="AE834" s="146"/>
      <c r="AF834" s="146"/>
      <c r="AG834" s="146"/>
      <c r="AH834" s="146"/>
      <c r="AI834" s="146"/>
    </row>
    <row r="835" spans="1:35" ht="13.5" customHeight="1" x14ac:dyDescent="0.25">
      <c r="A835" s="28"/>
      <c r="B835" s="28"/>
      <c r="C835" s="28"/>
      <c r="D835" s="28"/>
      <c r="E835" s="28"/>
      <c r="F835" s="28"/>
      <c r="G835" s="29"/>
      <c r="H835" s="28"/>
      <c r="I835" s="147"/>
      <c r="J835" s="147"/>
      <c r="K835" s="146"/>
      <c r="L835" s="146"/>
      <c r="M835" s="146"/>
      <c r="N835" s="146"/>
      <c r="O835" s="146"/>
      <c r="P835" s="146"/>
      <c r="Q835" s="30"/>
      <c r="R835" s="146"/>
      <c r="S835" s="147"/>
      <c r="T835" s="146"/>
      <c r="U835" s="146"/>
      <c r="V835" s="146"/>
      <c r="W835" s="146"/>
      <c r="X835" s="146"/>
      <c r="Y835" s="146"/>
      <c r="Z835" s="146"/>
      <c r="AA835" s="146"/>
      <c r="AB835" s="146"/>
      <c r="AC835" s="146"/>
      <c r="AD835" s="146"/>
      <c r="AE835" s="146"/>
      <c r="AF835" s="146"/>
      <c r="AG835" s="146"/>
      <c r="AH835" s="146"/>
      <c r="AI835" s="146"/>
    </row>
    <row r="836" spans="1:35" ht="13.5" customHeight="1" x14ac:dyDescent="0.25">
      <c r="A836" s="28"/>
      <c r="B836" s="28"/>
      <c r="C836" s="28"/>
      <c r="D836" s="28"/>
      <c r="E836" s="28"/>
      <c r="F836" s="28"/>
      <c r="G836" s="29"/>
      <c r="H836" s="28"/>
      <c r="I836" s="147"/>
      <c r="J836" s="147"/>
      <c r="K836" s="146"/>
      <c r="L836" s="146"/>
      <c r="M836" s="146"/>
      <c r="N836" s="146"/>
      <c r="O836" s="146"/>
      <c r="P836" s="146"/>
      <c r="Q836" s="30"/>
      <c r="R836" s="146"/>
      <c r="S836" s="147"/>
      <c r="T836" s="146"/>
      <c r="U836" s="146"/>
      <c r="V836" s="146"/>
      <c r="W836" s="146"/>
      <c r="X836" s="146"/>
      <c r="Y836" s="146"/>
      <c r="Z836" s="146"/>
      <c r="AA836" s="146"/>
      <c r="AB836" s="146"/>
      <c r="AC836" s="146"/>
      <c r="AD836" s="146"/>
      <c r="AE836" s="146"/>
      <c r="AF836" s="146"/>
      <c r="AG836" s="146"/>
      <c r="AH836" s="146"/>
      <c r="AI836" s="146"/>
    </row>
    <row r="837" spans="1:35" ht="13.5" customHeight="1" x14ac:dyDescent="0.25">
      <c r="A837" s="28"/>
      <c r="B837" s="28"/>
      <c r="C837" s="28"/>
      <c r="D837" s="28"/>
      <c r="E837" s="28"/>
      <c r="F837" s="28"/>
      <c r="G837" s="29"/>
      <c r="H837" s="28"/>
      <c r="I837" s="147"/>
      <c r="J837" s="147"/>
      <c r="K837" s="146"/>
      <c r="L837" s="146"/>
      <c r="M837" s="146"/>
      <c r="N837" s="146"/>
      <c r="O837" s="146"/>
      <c r="P837" s="146"/>
      <c r="Q837" s="30"/>
      <c r="R837" s="146"/>
      <c r="S837" s="147"/>
      <c r="T837" s="146"/>
      <c r="U837" s="146"/>
      <c r="V837" s="146"/>
      <c r="W837" s="146"/>
      <c r="X837" s="146"/>
      <c r="Y837" s="146"/>
      <c r="Z837" s="146"/>
      <c r="AA837" s="146"/>
      <c r="AB837" s="146"/>
      <c r="AC837" s="146"/>
      <c r="AD837" s="146"/>
      <c r="AE837" s="146"/>
      <c r="AF837" s="146"/>
      <c r="AG837" s="146"/>
      <c r="AH837" s="146"/>
      <c r="AI837" s="146"/>
    </row>
    <row r="838" spans="1:35" ht="13.5" customHeight="1" x14ac:dyDescent="0.25">
      <c r="A838" s="28"/>
      <c r="B838" s="28"/>
      <c r="C838" s="28"/>
      <c r="D838" s="28"/>
      <c r="E838" s="28"/>
      <c r="F838" s="28"/>
      <c r="G838" s="29"/>
      <c r="H838" s="28"/>
      <c r="I838" s="147"/>
      <c r="J838" s="147"/>
      <c r="K838" s="146"/>
      <c r="L838" s="146"/>
      <c r="M838" s="146"/>
      <c r="N838" s="146"/>
      <c r="O838" s="146"/>
      <c r="P838" s="146"/>
      <c r="Q838" s="30"/>
      <c r="R838" s="146"/>
      <c r="S838" s="147"/>
      <c r="T838" s="146"/>
      <c r="U838" s="146"/>
      <c r="V838" s="146"/>
      <c r="W838" s="146"/>
      <c r="X838" s="146"/>
      <c r="Y838" s="146"/>
      <c r="Z838" s="146"/>
      <c r="AA838" s="146"/>
      <c r="AB838" s="146"/>
      <c r="AC838" s="146"/>
      <c r="AD838" s="146"/>
      <c r="AE838" s="146"/>
      <c r="AF838" s="146"/>
      <c r="AG838" s="146"/>
      <c r="AH838" s="146"/>
      <c r="AI838" s="146"/>
    </row>
    <row r="839" spans="1:35" ht="13.5" customHeight="1" x14ac:dyDescent="0.25">
      <c r="A839" s="28"/>
      <c r="B839" s="28"/>
      <c r="C839" s="28"/>
      <c r="D839" s="28"/>
      <c r="E839" s="28"/>
      <c r="F839" s="28"/>
      <c r="G839" s="29"/>
      <c r="H839" s="28"/>
      <c r="I839" s="147"/>
      <c r="J839" s="147"/>
      <c r="K839" s="146"/>
      <c r="L839" s="146"/>
      <c r="M839" s="146"/>
      <c r="N839" s="146"/>
      <c r="O839" s="146"/>
      <c r="P839" s="146"/>
      <c r="Q839" s="30"/>
      <c r="R839" s="146"/>
      <c r="S839" s="147"/>
      <c r="T839" s="146"/>
      <c r="U839" s="146"/>
      <c r="V839" s="146"/>
      <c r="W839" s="146"/>
      <c r="X839" s="146"/>
      <c r="Y839" s="146"/>
      <c r="Z839" s="146"/>
      <c r="AA839" s="146"/>
      <c r="AB839" s="146"/>
      <c r="AC839" s="146"/>
      <c r="AD839" s="146"/>
      <c r="AE839" s="146"/>
      <c r="AF839" s="146"/>
      <c r="AG839" s="146"/>
      <c r="AH839" s="146"/>
      <c r="AI839" s="146"/>
    </row>
    <row r="840" spans="1:35" ht="13.5" customHeight="1" x14ac:dyDescent="0.25">
      <c r="A840" s="28"/>
      <c r="B840" s="28"/>
      <c r="C840" s="28"/>
      <c r="D840" s="28"/>
      <c r="E840" s="28"/>
      <c r="F840" s="28"/>
      <c r="G840" s="29"/>
      <c r="H840" s="28"/>
      <c r="I840" s="147"/>
      <c r="J840" s="147"/>
      <c r="K840" s="146"/>
      <c r="L840" s="146"/>
      <c r="M840" s="146"/>
      <c r="N840" s="146"/>
      <c r="O840" s="146"/>
      <c r="P840" s="146"/>
      <c r="Q840" s="30"/>
      <c r="R840" s="146"/>
      <c r="S840" s="147"/>
      <c r="T840" s="146"/>
      <c r="U840" s="146"/>
      <c r="V840" s="146"/>
      <c r="W840" s="146"/>
      <c r="X840" s="146"/>
      <c r="Y840" s="146"/>
      <c r="Z840" s="146"/>
      <c r="AA840" s="146"/>
      <c r="AB840" s="146"/>
      <c r="AC840" s="146"/>
      <c r="AD840" s="146"/>
      <c r="AE840" s="146"/>
      <c r="AF840" s="146"/>
      <c r="AG840" s="146"/>
      <c r="AH840" s="146"/>
      <c r="AI840" s="146"/>
    </row>
    <row r="841" spans="1:35" ht="13.5" customHeight="1" x14ac:dyDescent="0.25">
      <c r="A841" s="28"/>
      <c r="B841" s="28"/>
      <c r="C841" s="28"/>
      <c r="D841" s="28"/>
      <c r="E841" s="28"/>
      <c r="F841" s="28"/>
      <c r="G841" s="29"/>
      <c r="H841" s="28"/>
      <c r="I841" s="147"/>
      <c r="J841" s="147"/>
      <c r="K841" s="146"/>
      <c r="L841" s="146"/>
      <c r="M841" s="146"/>
      <c r="N841" s="146"/>
      <c r="O841" s="146"/>
      <c r="P841" s="146"/>
      <c r="Q841" s="30"/>
      <c r="R841" s="146"/>
      <c r="S841" s="147"/>
      <c r="T841" s="146"/>
      <c r="U841" s="146"/>
      <c r="V841" s="146"/>
      <c r="W841" s="146"/>
      <c r="X841" s="146"/>
      <c r="Y841" s="146"/>
      <c r="Z841" s="146"/>
      <c r="AA841" s="146"/>
      <c r="AB841" s="146"/>
      <c r="AC841" s="146"/>
      <c r="AD841" s="146"/>
      <c r="AE841" s="146"/>
      <c r="AF841" s="146"/>
      <c r="AG841" s="146"/>
      <c r="AH841" s="146"/>
      <c r="AI841" s="146"/>
    </row>
    <row r="842" spans="1:35" ht="13.5" customHeight="1" x14ac:dyDescent="0.25">
      <c r="A842" s="28"/>
      <c r="B842" s="28"/>
      <c r="C842" s="28"/>
      <c r="D842" s="28"/>
      <c r="E842" s="28"/>
      <c r="F842" s="28"/>
      <c r="G842" s="29"/>
      <c r="H842" s="28"/>
      <c r="I842" s="147"/>
      <c r="J842" s="147"/>
      <c r="K842" s="146"/>
      <c r="L842" s="146"/>
      <c r="M842" s="146"/>
      <c r="N842" s="146"/>
      <c r="O842" s="146"/>
      <c r="P842" s="146"/>
      <c r="Q842" s="30"/>
      <c r="R842" s="146"/>
      <c r="S842" s="147"/>
      <c r="T842" s="146"/>
      <c r="U842" s="146"/>
      <c r="V842" s="146"/>
      <c r="W842" s="146"/>
      <c r="X842" s="146"/>
      <c r="Y842" s="146"/>
      <c r="Z842" s="146"/>
      <c r="AA842" s="146"/>
      <c r="AB842" s="146"/>
      <c r="AC842" s="146"/>
      <c r="AD842" s="146"/>
      <c r="AE842" s="146"/>
      <c r="AF842" s="146"/>
      <c r="AG842" s="146"/>
      <c r="AH842" s="146"/>
      <c r="AI842" s="146"/>
    </row>
    <row r="843" spans="1:35" ht="13.5" customHeight="1" x14ac:dyDescent="0.25">
      <c r="A843" s="28"/>
      <c r="B843" s="28"/>
      <c r="C843" s="28"/>
      <c r="D843" s="28"/>
      <c r="E843" s="28"/>
      <c r="F843" s="28"/>
      <c r="G843" s="29"/>
      <c r="H843" s="28"/>
      <c r="I843" s="147"/>
      <c r="J843" s="147"/>
      <c r="K843" s="146"/>
      <c r="L843" s="146"/>
      <c r="M843" s="146"/>
      <c r="N843" s="146"/>
      <c r="O843" s="146"/>
      <c r="P843" s="146"/>
      <c r="Q843" s="30"/>
      <c r="R843" s="146"/>
      <c r="S843" s="147"/>
      <c r="T843" s="146"/>
      <c r="U843" s="146"/>
      <c r="V843" s="146"/>
      <c r="W843" s="146"/>
      <c r="X843" s="146"/>
      <c r="Y843" s="146"/>
      <c r="Z843" s="146"/>
      <c r="AA843" s="146"/>
      <c r="AB843" s="146"/>
      <c r="AC843" s="146"/>
      <c r="AD843" s="146"/>
      <c r="AE843" s="146"/>
      <c r="AF843" s="146"/>
      <c r="AG843" s="146"/>
      <c r="AH843" s="146"/>
      <c r="AI843" s="146"/>
    </row>
    <row r="844" spans="1:35" ht="13.5" customHeight="1" x14ac:dyDescent="0.25">
      <c r="A844" s="28"/>
      <c r="B844" s="28"/>
      <c r="C844" s="28"/>
      <c r="D844" s="28"/>
      <c r="E844" s="28"/>
      <c r="F844" s="28"/>
      <c r="G844" s="29"/>
      <c r="H844" s="28"/>
      <c r="I844" s="147"/>
      <c r="J844" s="147"/>
      <c r="K844" s="146"/>
      <c r="L844" s="146"/>
      <c r="M844" s="146"/>
      <c r="N844" s="146"/>
      <c r="O844" s="146"/>
      <c r="P844" s="146"/>
      <c r="Q844" s="30"/>
      <c r="R844" s="146"/>
      <c r="S844" s="147"/>
      <c r="T844" s="146"/>
      <c r="U844" s="146"/>
      <c r="V844" s="146"/>
      <c r="W844" s="146"/>
      <c r="X844" s="146"/>
      <c r="Y844" s="146"/>
      <c r="Z844" s="146"/>
      <c r="AA844" s="146"/>
      <c r="AB844" s="146"/>
      <c r="AC844" s="146"/>
      <c r="AD844" s="146"/>
      <c r="AE844" s="146"/>
      <c r="AF844" s="146"/>
      <c r="AG844" s="146"/>
      <c r="AH844" s="146"/>
      <c r="AI844" s="146"/>
    </row>
    <row r="845" spans="1:35" ht="13.5" customHeight="1" x14ac:dyDescent="0.25">
      <c r="A845" s="28"/>
      <c r="B845" s="28"/>
      <c r="C845" s="28"/>
      <c r="D845" s="28"/>
      <c r="E845" s="28"/>
      <c r="F845" s="28"/>
      <c r="G845" s="29"/>
      <c r="H845" s="28"/>
      <c r="I845" s="147"/>
      <c r="J845" s="147"/>
      <c r="K845" s="146"/>
      <c r="L845" s="146"/>
      <c r="M845" s="146"/>
      <c r="N845" s="146"/>
      <c r="O845" s="146"/>
      <c r="P845" s="146"/>
      <c r="Q845" s="30"/>
      <c r="R845" s="146"/>
      <c r="S845" s="147"/>
      <c r="T845" s="146"/>
      <c r="U845" s="146"/>
      <c r="V845" s="146"/>
      <c r="W845" s="146"/>
      <c r="X845" s="146"/>
      <c r="Y845" s="146"/>
      <c r="Z845" s="146"/>
      <c r="AA845" s="146"/>
      <c r="AB845" s="146"/>
      <c r="AC845" s="146"/>
      <c r="AD845" s="146"/>
      <c r="AE845" s="146"/>
      <c r="AF845" s="146"/>
      <c r="AG845" s="146"/>
      <c r="AH845" s="146"/>
      <c r="AI845" s="146"/>
    </row>
    <row r="846" spans="1:35" ht="13.5" customHeight="1" x14ac:dyDescent="0.25">
      <c r="A846" s="28"/>
      <c r="B846" s="28"/>
      <c r="C846" s="28"/>
      <c r="D846" s="28"/>
      <c r="E846" s="28"/>
      <c r="F846" s="28"/>
      <c r="G846" s="29"/>
      <c r="H846" s="28"/>
      <c r="I846" s="147"/>
      <c r="J846" s="147"/>
      <c r="K846" s="146"/>
      <c r="L846" s="146"/>
      <c r="M846" s="146"/>
      <c r="N846" s="146"/>
      <c r="O846" s="146"/>
      <c r="P846" s="146"/>
      <c r="Q846" s="30"/>
      <c r="R846" s="146"/>
      <c r="S846" s="147"/>
      <c r="T846" s="146"/>
      <c r="U846" s="146"/>
      <c r="V846" s="146"/>
      <c r="W846" s="146"/>
      <c r="X846" s="146"/>
      <c r="Y846" s="146"/>
      <c r="Z846" s="146"/>
      <c r="AA846" s="146"/>
      <c r="AB846" s="146"/>
      <c r="AC846" s="146"/>
      <c r="AD846" s="146"/>
      <c r="AE846" s="146"/>
      <c r="AF846" s="146"/>
      <c r="AG846" s="146"/>
      <c r="AH846" s="146"/>
      <c r="AI846" s="146"/>
    </row>
    <row r="847" spans="1:35" ht="13.5" customHeight="1" x14ac:dyDescent="0.25">
      <c r="A847" s="28"/>
      <c r="B847" s="28"/>
      <c r="C847" s="28"/>
      <c r="D847" s="28"/>
      <c r="E847" s="28"/>
      <c r="F847" s="28"/>
      <c r="G847" s="29"/>
      <c r="H847" s="28"/>
      <c r="I847" s="147"/>
      <c r="J847" s="147"/>
      <c r="K847" s="146"/>
      <c r="L847" s="146"/>
      <c r="M847" s="146"/>
      <c r="N847" s="146"/>
      <c r="O847" s="146"/>
      <c r="P847" s="146"/>
      <c r="Q847" s="30"/>
      <c r="R847" s="146"/>
      <c r="S847" s="147"/>
      <c r="T847" s="146"/>
      <c r="U847" s="146"/>
      <c r="V847" s="146"/>
      <c r="W847" s="146"/>
      <c r="X847" s="146"/>
      <c r="Y847" s="146"/>
      <c r="Z847" s="146"/>
      <c r="AA847" s="146"/>
      <c r="AB847" s="146"/>
      <c r="AC847" s="146"/>
      <c r="AD847" s="146"/>
      <c r="AE847" s="146"/>
      <c r="AF847" s="146"/>
      <c r="AG847" s="146"/>
      <c r="AH847" s="146"/>
      <c r="AI847" s="146"/>
    </row>
    <row r="848" spans="1:35" ht="13.5" customHeight="1" x14ac:dyDescent="0.25">
      <c r="A848" s="28"/>
      <c r="B848" s="28"/>
      <c r="C848" s="28"/>
      <c r="D848" s="28"/>
      <c r="E848" s="28"/>
      <c r="F848" s="28"/>
      <c r="G848" s="29"/>
      <c r="H848" s="28"/>
      <c r="I848" s="147"/>
      <c r="J848" s="147"/>
      <c r="K848" s="146"/>
      <c r="L848" s="146"/>
      <c r="M848" s="146"/>
      <c r="N848" s="146"/>
      <c r="O848" s="146"/>
      <c r="P848" s="146"/>
      <c r="Q848" s="30"/>
      <c r="R848" s="146"/>
      <c r="S848" s="147"/>
      <c r="T848" s="146"/>
      <c r="U848" s="146"/>
      <c r="V848" s="146"/>
      <c r="W848" s="146"/>
      <c r="X848" s="146"/>
      <c r="Y848" s="146"/>
      <c r="Z848" s="146"/>
      <c r="AA848" s="146"/>
      <c r="AB848" s="146"/>
      <c r="AC848" s="146"/>
      <c r="AD848" s="146"/>
      <c r="AE848" s="146"/>
      <c r="AF848" s="146"/>
      <c r="AG848" s="146"/>
      <c r="AH848" s="146"/>
      <c r="AI848" s="146"/>
    </row>
    <row r="849" spans="1:35" ht="13.5" customHeight="1" x14ac:dyDescent="0.25">
      <c r="A849" s="28"/>
      <c r="B849" s="28"/>
      <c r="C849" s="28"/>
      <c r="D849" s="28"/>
      <c r="E849" s="28"/>
      <c r="F849" s="28"/>
      <c r="G849" s="29"/>
      <c r="H849" s="28"/>
      <c r="I849" s="147"/>
      <c r="J849" s="147"/>
      <c r="K849" s="146"/>
      <c r="L849" s="146"/>
      <c r="M849" s="146"/>
      <c r="N849" s="146"/>
      <c r="O849" s="146"/>
      <c r="P849" s="146"/>
      <c r="Q849" s="30"/>
      <c r="R849" s="146"/>
      <c r="S849" s="147"/>
      <c r="T849" s="146"/>
      <c r="U849" s="146"/>
      <c r="V849" s="146"/>
      <c r="W849" s="146"/>
      <c r="X849" s="146"/>
      <c r="Y849" s="146"/>
      <c r="Z849" s="146"/>
      <c r="AA849" s="146"/>
      <c r="AB849" s="146"/>
      <c r="AC849" s="146"/>
      <c r="AD849" s="146"/>
      <c r="AE849" s="146"/>
      <c r="AF849" s="146"/>
      <c r="AG849" s="146"/>
      <c r="AH849" s="146"/>
      <c r="AI849" s="146"/>
    </row>
    <row r="850" spans="1:35" ht="13.5" customHeight="1" x14ac:dyDescent="0.25">
      <c r="A850" s="28"/>
      <c r="B850" s="28"/>
      <c r="C850" s="28"/>
      <c r="D850" s="28"/>
      <c r="E850" s="28"/>
      <c r="F850" s="28"/>
      <c r="G850" s="29"/>
      <c r="H850" s="28"/>
      <c r="I850" s="147"/>
      <c r="J850" s="147"/>
      <c r="K850" s="146"/>
      <c r="L850" s="146"/>
      <c r="M850" s="146"/>
      <c r="N850" s="146"/>
      <c r="O850" s="146"/>
      <c r="P850" s="146"/>
      <c r="Q850" s="30"/>
      <c r="R850" s="146"/>
      <c r="S850" s="147"/>
      <c r="T850" s="146"/>
      <c r="U850" s="146"/>
      <c r="V850" s="146"/>
      <c r="W850" s="146"/>
      <c r="X850" s="146"/>
      <c r="Y850" s="146"/>
      <c r="Z850" s="146"/>
      <c r="AA850" s="146"/>
      <c r="AB850" s="146"/>
      <c r="AC850" s="146"/>
      <c r="AD850" s="146"/>
      <c r="AE850" s="146"/>
      <c r="AF850" s="146"/>
      <c r="AG850" s="146"/>
      <c r="AH850" s="146"/>
      <c r="AI850" s="146"/>
    </row>
    <row r="851" spans="1:35" ht="13.5" customHeight="1" x14ac:dyDescent="0.25">
      <c r="A851" s="28"/>
      <c r="B851" s="28"/>
      <c r="C851" s="28"/>
      <c r="D851" s="28"/>
      <c r="E851" s="28"/>
      <c r="F851" s="28"/>
      <c r="G851" s="29"/>
      <c r="H851" s="28"/>
      <c r="I851" s="147"/>
      <c r="J851" s="147"/>
      <c r="K851" s="146"/>
      <c r="L851" s="146"/>
      <c r="M851" s="146"/>
      <c r="N851" s="146"/>
      <c r="O851" s="146"/>
      <c r="P851" s="146"/>
      <c r="Q851" s="30"/>
      <c r="R851" s="146"/>
      <c r="S851" s="147"/>
      <c r="T851" s="146"/>
      <c r="U851" s="146"/>
      <c r="V851" s="146"/>
      <c r="W851" s="146"/>
      <c r="X851" s="146"/>
      <c r="Y851" s="146"/>
      <c r="Z851" s="146"/>
      <c r="AA851" s="146"/>
      <c r="AB851" s="146"/>
      <c r="AC851" s="146"/>
      <c r="AD851" s="146"/>
      <c r="AE851" s="146"/>
      <c r="AF851" s="146"/>
      <c r="AG851" s="146"/>
      <c r="AH851" s="146"/>
      <c r="AI851" s="146"/>
    </row>
    <row r="852" spans="1:35" ht="13.5" customHeight="1" x14ac:dyDescent="0.25">
      <c r="A852" s="28"/>
      <c r="B852" s="28"/>
      <c r="C852" s="28"/>
      <c r="D852" s="28"/>
      <c r="E852" s="28"/>
      <c r="F852" s="28"/>
      <c r="G852" s="29"/>
      <c r="H852" s="28"/>
      <c r="I852" s="147"/>
      <c r="J852" s="147"/>
      <c r="K852" s="146"/>
      <c r="L852" s="146"/>
      <c r="M852" s="146"/>
      <c r="N852" s="146"/>
      <c r="O852" s="146"/>
      <c r="P852" s="146"/>
      <c r="Q852" s="30"/>
      <c r="R852" s="146"/>
      <c r="S852" s="147"/>
      <c r="T852" s="146"/>
      <c r="U852" s="146"/>
      <c r="V852" s="146"/>
      <c r="W852" s="146"/>
      <c r="X852" s="146"/>
      <c r="Y852" s="146"/>
      <c r="Z852" s="146"/>
      <c r="AA852" s="146"/>
      <c r="AB852" s="146"/>
      <c r="AC852" s="146"/>
      <c r="AD852" s="146"/>
      <c r="AE852" s="146"/>
      <c r="AF852" s="146"/>
      <c r="AG852" s="146"/>
      <c r="AH852" s="146"/>
      <c r="AI852" s="146"/>
    </row>
    <row r="853" spans="1:35" ht="13.5" customHeight="1" x14ac:dyDescent="0.25">
      <c r="A853" s="28"/>
      <c r="B853" s="28"/>
      <c r="C853" s="28"/>
      <c r="D853" s="28"/>
      <c r="E853" s="28"/>
      <c r="F853" s="28"/>
      <c r="G853" s="29"/>
      <c r="H853" s="28"/>
      <c r="I853" s="147"/>
      <c r="J853" s="147"/>
      <c r="K853" s="146"/>
      <c r="L853" s="146"/>
      <c r="M853" s="146"/>
      <c r="N853" s="146"/>
      <c r="O853" s="146"/>
      <c r="P853" s="146"/>
      <c r="Q853" s="30"/>
      <c r="R853" s="146"/>
      <c r="S853" s="147"/>
      <c r="T853" s="146"/>
      <c r="U853" s="146"/>
      <c r="V853" s="146"/>
      <c r="W853" s="146"/>
      <c r="X853" s="146"/>
      <c r="Y853" s="146"/>
      <c r="Z853" s="146"/>
      <c r="AA853" s="146"/>
      <c r="AB853" s="146"/>
      <c r="AC853" s="146"/>
      <c r="AD853" s="146"/>
      <c r="AE853" s="146"/>
      <c r="AF853" s="146"/>
      <c r="AG853" s="146"/>
      <c r="AH853" s="146"/>
      <c r="AI853" s="146"/>
    </row>
    <row r="854" spans="1:35" ht="13.5" customHeight="1" x14ac:dyDescent="0.25">
      <c r="A854" s="28"/>
      <c r="B854" s="28"/>
      <c r="C854" s="28"/>
      <c r="D854" s="28"/>
      <c r="E854" s="28"/>
      <c r="F854" s="28"/>
      <c r="G854" s="29"/>
      <c r="H854" s="28"/>
      <c r="I854" s="147"/>
      <c r="J854" s="147"/>
      <c r="K854" s="146"/>
      <c r="L854" s="146"/>
      <c r="M854" s="146"/>
      <c r="N854" s="146"/>
      <c r="O854" s="146"/>
      <c r="P854" s="146"/>
      <c r="Q854" s="30"/>
      <c r="R854" s="146"/>
      <c r="S854" s="147"/>
      <c r="T854" s="146"/>
      <c r="U854" s="146"/>
      <c r="V854" s="146"/>
      <c r="W854" s="146"/>
      <c r="X854" s="146"/>
      <c r="Y854" s="146"/>
      <c r="Z854" s="146"/>
      <c r="AA854" s="146"/>
      <c r="AB854" s="146"/>
      <c r="AC854" s="146"/>
      <c r="AD854" s="146"/>
      <c r="AE854" s="146"/>
      <c r="AF854" s="146"/>
      <c r="AG854" s="146"/>
      <c r="AH854" s="146"/>
      <c r="AI854" s="146"/>
    </row>
    <row r="855" spans="1:35" ht="13.5" customHeight="1" x14ac:dyDescent="0.25">
      <c r="A855" s="28"/>
      <c r="B855" s="28"/>
      <c r="C855" s="28"/>
      <c r="D855" s="28"/>
      <c r="E855" s="28"/>
      <c r="F855" s="28"/>
      <c r="G855" s="29"/>
      <c r="H855" s="28"/>
      <c r="I855" s="147"/>
      <c r="J855" s="147"/>
      <c r="K855" s="146"/>
      <c r="L855" s="146"/>
      <c r="M855" s="146"/>
      <c r="N855" s="146"/>
      <c r="O855" s="146"/>
      <c r="P855" s="146"/>
      <c r="Q855" s="30"/>
      <c r="R855" s="146"/>
      <c r="S855" s="147"/>
      <c r="T855" s="146"/>
      <c r="U855" s="146"/>
      <c r="V855" s="146"/>
      <c r="W855" s="146"/>
      <c r="X855" s="146"/>
      <c r="Y855" s="146"/>
      <c r="Z855" s="146"/>
      <c r="AA855" s="146"/>
      <c r="AB855" s="146"/>
      <c r="AC855" s="146"/>
      <c r="AD855" s="146"/>
      <c r="AE855" s="146"/>
      <c r="AF855" s="146"/>
      <c r="AG855" s="146"/>
      <c r="AH855" s="146"/>
      <c r="AI855" s="146"/>
    </row>
    <row r="856" spans="1:35" ht="13.5" customHeight="1" x14ac:dyDescent="0.25">
      <c r="A856" s="28"/>
      <c r="B856" s="28"/>
      <c r="C856" s="28"/>
      <c r="D856" s="28"/>
      <c r="E856" s="28"/>
      <c r="F856" s="28"/>
      <c r="G856" s="29"/>
      <c r="H856" s="28"/>
      <c r="I856" s="147"/>
      <c r="J856" s="147"/>
      <c r="K856" s="146"/>
      <c r="L856" s="146"/>
      <c r="M856" s="146"/>
      <c r="N856" s="146"/>
      <c r="O856" s="146"/>
      <c r="P856" s="146"/>
      <c r="Q856" s="30"/>
      <c r="R856" s="146"/>
      <c r="S856" s="147"/>
      <c r="T856" s="146"/>
      <c r="U856" s="146"/>
      <c r="V856" s="146"/>
      <c r="W856" s="146"/>
      <c r="X856" s="146"/>
      <c r="Y856" s="146"/>
      <c r="Z856" s="146"/>
      <c r="AA856" s="146"/>
      <c r="AB856" s="146"/>
      <c r="AC856" s="146"/>
      <c r="AD856" s="146"/>
      <c r="AE856" s="146"/>
      <c r="AF856" s="146"/>
      <c r="AG856" s="146"/>
      <c r="AH856" s="146"/>
      <c r="AI856" s="146"/>
    </row>
    <row r="857" spans="1:35" ht="13.5" customHeight="1" x14ac:dyDescent="0.25">
      <c r="A857" s="28"/>
      <c r="B857" s="28"/>
      <c r="C857" s="28"/>
      <c r="D857" s="28"/>
      <c r="E857" s="28"/>
      <c r="F857" s="28"/>
      <c r="G857" s="29"/>
      <c r="H857" s="28"/>
      <c r="I857" s="147"/>
      <c r="J857" s="147"/>
      <c r="K857" s="146"/>
      <c r="L857" s="146"/>
      <c r="M857" s="146"/>
      <c r="N857" s="146"/>
      <c r="O857" s="146"/>
      <c r="P857" s="146"/>
      <c r="Q857" s="30"/>
      <c r="R857" s="146"/>
      <c r="S857" s="147"/>
      <c r="T857" s="146"/>
      <c r="U857" s="146"/>
      <c r="V857" s="146"/>
      <c r="W857" s="146"/>
      <c r="X857" s="146"/>
      <c r="Y857" s="146"/>
      <c r="Z857" s="146"/>
      <c r="AA857" s="146"/>
      <c r="AB857" s="146"/>
      <c r="AC857" s="146"/>
      <c r="AD857" s="146"/>
      <c r="AE857" s="146"/>
      <c r="AF857" s="146"/>
      <c r="AG857" s="146"/>
      <c r="AH857" s="146"/>
      <c r="AI857" s="146"/>
    </row>
    <row r="858" spans="1:35" ht="13.5" customHeight="1" x14ac:dyDescent="0.25">
      <c r="A858" s="28"/>
      <c r="B858" s="28"/>
      <c r="C858" s="28"/>
      <c r="D858" s="28"/>
      <c r="E858" s="28"/>
      <c r="F858" s="28"/>
      <c r="G858" s="29"/>
      <c r="H858" s="28"/>
      <c r="I858" s="147"/>
      <c r="J858" s="147"/>
      <c r="K858" s="146"/>
      <c r="L858" s="146"/>
      <c r="M858" s="146"/>
      <c r="N858" s="146"/>
      <c r="O858" s="146"/>
      <c r="P858" s="146"/>
      <c r="Q858" s="30"/>
      <c r="R858" s="146"/>
      <c r="S858" s="147"/>
      <c r="T858" s="146"/>
      <c r="U858" s="146"/>
      <c r="V858" s="146"/>
      <c r="W858" s="146"/>
      <c r="X858" s="146"/>
      <c r="Y858" s="146"/>
      <c r="Z858" s="146"/>
      <c r="AA858" s="146"/>
      <c r="AB858" s="146"/>
      <c r="AC858" s="146"/>
      <c r="AD858" s="146"/>
      <c r="AE858" s="146"/>
      <c r="AF858" s="146"/>
      <c r="AG858" s="146"/>
      <c r="AH858" s="146"/>
      <c r="AI858" s="146"/>
    </row>
    <row r="859" spans="1:35" ht="13.5" customHeight="1" x14ac:dyDescent="0.25">
      <c r="A859" s="28"/>
      <c r="B859" s="28"/>
      <c r="C859" s="28"/>
      <c r="D859" s="28"/>
      <c r="E859" s="28"/>
      <c r="F859" s="28"/>
      <c r="G859" s="29"/>
      <c r="H859" s="28"/>
      <c r="I859" s="147"/>
      <c r="J859" s="147"/>
      <c r="K859" s="146"/>
      <c r="L859" s="146"/>
      <c r="M859" s="146"/>
      <c r="N859" s="146"/>
      <c r="O859" s="146"/>
      <c r="P859" s="146"/>
      <c r="Q859" s="30"/>
      <c r="R859" s="146"/>
      <c r="S859" s="147"/>
      <c r="T859" s="146"/>
      <c r="U859" s="146"/>
      <c r="V859" s="146"/>
      <c r="W859" s="146"/>
      <c r="X859" s="146"/>
      <c r="Y859" s="146"/>
      <c r="Z859" s="146"/>
      <c r="AA859" s="146"/>
      <c r="AB859" s="146"/>
      <c r="AC859" s="146"/>
      <c r="AD859" s="146"/>
      <c r="AE859" s="146"/>
      <c r="AF859" s="146"/>
      <c r="AG859" s="146"/>
      <c r="AH859" s="146"/>
      <c r="AI859" s="146"/>
    </row>
    <row r="860" spans="1:35" ht="13.5" customHeight="1" x14ac:dyDescent="0.25">
      <c r="A860" s="28"/>
      <c r="B860" s="28"/>
      <c r="C860" s="28"/>
      <c r="D860" s="28"/>
      <c r="E860" s="28"/>
      <c r="F860" s="28"/>
      <c r="G860" s="29"/>
      <c r="H860" s="28"/>
      <c r="I860" s="147"/>
      <c r="J860" s="147"/>
      <c r="K860" s="146"/>
      <c r="L860" s="146"/>
      <c r="M860" s="146"/>
      <c r="N860" s="146"/>
      <c r="O860" s="146"/>
      <c r="P860" s="146"/>
      <c r="Q860" s="30"/>
      <c r="R860" s="146"/>
      <c r="S860" s="147"/>
      <c r="T860" s="146"/>
      <c r="U860" s="146"/>
      <c r="V860" s="146"/>
      <c r="W860" s="146"/>
      <c r="X860" s="146"/>
      <c r="Y860" s="146"/>
      <c r="Z860" s="146"/>
      <c r="AA860" s="146"/>
      <c r="AB860" s="146"/>
      <c r="AC860" s="146"/>
      <c r="AD860" s="146"/>
      <c r="AE860" s="146"/>
      <c r="AF860" s="146"/>
      <c r="AG860" s="146"/>
      <c r="AH860" s="146"/>
      <c r="AI860" s="146"/>
    </row>
    <row r="861" spans="1:35" ht="13.5" customHeight="1" x14ac:dyDescent="0.25">
      <c r="A861" s="28"/>
      <c r="B861" s="28"/>
      <c r="C861" s="28"/>
      <c r="D861" s="28"/>
      <c r="E861" s="28"/>
      <c r="F861" s="28"/>
      <c r="G861" s="29"/>
      <c r="H861" s="28"/>
      <c r="I861" s="147"/>
      <c r="J861" s="147"/>
      <c r="K861" s="146"/>
      <c r="L861" s="146"/>
      <c r="M861" s="146"/>
      <c r="N861" s="146"/>
      <c r="O861" s="146"/>
      <c r="P861" s="146"/>
      <c r="Q861" s="30"/>
      <c r="R861" s="146"/>
      <c r="S861" s="147"/>
      <c r="T861" s="146"/>
      <c r="U861" s="146"/>
      <c r="V861" s="146"/>
      <c r="W861" s="146"/>
      <c r="X861" s="146"/>
      <c r="Y861" s="146"/>
      <c r="Z861" s="146"/>
      <c r="AA861" s="146"/>
      <c r="AB861" s="146"/>
      <c r="AC861" s="146"/>
      <c r="AD861" s="146"/>
      <c r="AE861" s="146"/>
      <c r="AF861" s="146"/>
      <c r="AG861" s="146"/>
      <c r="AH861" s="146"/>
      <c r="AI861" s="146"/>
    </row>
    <row r="862" spans="1:35" ht="13.5" customHeight="1" x14ac:dyDescent="0.25">
      <c r="A862" s="28"/>
      <c r="B862" s="28"/>
      <c r="C862" s="28"/>
      <c r="D862" s="28"/>
      <c r="E862" s="28"/>
      <c r="F862" s="28"/>
      <c r="G862" s="29"/>
      <c r="H862" s="28"/>
      <c r="I862" s="147"/>
      <c r="J862" s="147"/>
      <c r="K862" s="146"/>
      <c r="L862" s="146"/>
      <c r="M862" s="146"/>
      <c r="N862" s="146"/>
      <c r="O862" s="146"/>
      <c r="P862" s="146"/>
      <c r="Q862" s="30"/>
      <c r="R862" s="146"/>
      <c r="S862" s="147"/>
      <c r="T862" s="146"/>
      <c r="U862" s="146"/>
      <c r="V862" s="146"/>
      <c r="W862" s="146"/>
      <c r="X862" s="146"/>
      <c r="Y862" s="146"/>
      <c r="Z862" s="146"/>
      <c r="AA862" s="146"/>
      <c r="AB862" s="146"/>
      <c r="AC862" s="146"/>
      <c r="AD862" s="146"/>
      <c r="AE862" s="146"/>
      <c r="AF862" s="146"/>
      <c r="AG862" s="146"/>
      <c r="AH862" s="146"/>
      <c r="AI862" s="146"/>
    </row>
    <row r="863" spans="1:35" ht="13.5" customHeight="1" x14ac:dyDescent="0.25">
      <c r="A863" s="28"/>
      <c r="B863" s="28"/>
      <c r="C863" s="28"/>
      <c r="D863" s="28"/>
      <c r="E863" s="28"/>
      <c r="F863" s="28"/>
      <c r="G863" s="29"/>
      <c r="H863" s="28"/>
      <c r="I863" s="147"/>
      <c r="J863" s="147"/>
      <c r="K863" s="146"/>
      <c r="L863" s="146"/>
      <c r="M863" s="146"/>
      <c r="N863" s="146"/>
      <c r="O863" s="146"/>
      <c r="P863" s="146"/>
      <c r="Q863" s="30"/>
      <c r="R863" s="146"/>
      <c r="S863" s="147"/>
      <c r="T863" s="146"/>
      <c r="U863" s="146"/>
      <c r="V863" s="146"/>
      <c r="W863" s="146"/>
      <c r="X863" s="146"/>
      <c r="Y863" s="146"/>
      <c r="Z863" s="146"/>
      <c r="AA863" s="146"/>
      <c r="AB863" s="146"/>
      <c r="AC863" s="146"/>
      <c r="AD863" s="146"/>
      <c r="AE863" s="146"/>
      <c r="AF863" s="146"/>
      <c r="AG863" s="146"/>
      <c r="AH863" s="146"/>
      <c r="AI863" s="146"/>
    </row>
    <row r="864" spans="1:35" ht="13.5" customHeight="1" x14ac:dyDescent="0.25">
      <c r="A864" s="28"/>
      <c r="B864" s="28"/>
      <c r="C864" s="28"/>
      <c r="D864" s="28"/>
      <c r="E864" s="28"/>
      <c r="F864" s="28"/>
      <c r="G864" s="29"/>
      <c r="H864" s="28"/>
      <c r="I864" s="147"/>
      <c r="J864" s="147"/>
      <c r="K864" s="146"/>
      <c r="L864" s="146"/>
      <c r="M864" s="146"/>
      <c r="N864" s="146"/>
      <c r="O864" s="146"/>
      <c r="P864" s="146"/>
      <c r="Q864" s="30"/>
      <c r="R864" s="146"/>
      <c r="S864" s="147"/>
      <c r="T864" s="146"/>
      <c r="U864" s="146"/>
      <c r="V864" s="146"/>
      <c r="W864" s="146"/>
      <c r="X864" s="146"/>
      <c r="Y864" s="146"/>
      <c r="Z864" s="146"/>
      <c r="AA864" s="146"/>
      <c r="AB864" s="146"/>
      <c r="AC864" s="146"/>
      <c r="AD864" s="146"/>
      <c r="AE864" s="146"/>
      <c r="AF864" s="146"/>
      <c r="AG864" s="146"/>
      <c r="AH864" s="146"/>
      <c r="AI864" s="146"/>
    </row>
    <row r="865" spans="1:35" ht="13.5" customHeight="1" x14ac:dyDescent="0.25">
      <c r="A865" s="28"/>
      <c r="B865" s="28"/>
      <c r="C865" s="28"/>
      <c r="D865" s="28"/>
      <c r="E865" s="28"/>
      <c r="F865" s="28"/>
      <c r="G865" s="29"/>
      <c r="H865" s="28"/>
      <c r="I865" s="147"/>
      <c r="J865" s="147"/>
      <c r="K865" s="146"/>
      <c r="L865" s="146"/>
      <c r="M865" s="146"/>
      <c r="N865" s="146"/>
      <c r="O865" s="146"/>
      <c r="P865" s="146"/>
      <c r="Q865" s="30"/>
      <c r="R865" s="146"/>
      <c r="S865" s="147"/>
      <c r="T865" s="146"/>
      <c r="U865" s="146"/>
      <c r="V865" s="146"/>
      <c r="W865" s="146"/>
      <c r="X865" s="146"/>
      <c r="Y865" s="146"/>
      <c r="Z865" s="146"/>
      <c r="AA865" s="146"/>
      <c r="AB865" s="146"/>
      <c r="AC865" s="146"/>
      <c r="AD865" s="146"/>
      <c r="AE865" s="146"/>
      <c r="AF865" s="146"/>
      <c r="AG865" s="146"/>
      <c r="AH865" s="146"/>
      <c r="AI865" s="146"/>
    </row>
    <row r="866" spans="1:35" ht="13.5" customHeight="1" x14ac:dyDescent="0.25">
      <c r="A866" s="28"/>
      <c r="B866" s="28"/>
      <c r="C866" s="28"/>
      <c r="D866" s="28"/>
      <c r="E866" s="28"/>
      <c r="F866" s="28"/>
      <c r="G866" s="29"/>
      <c r="H866" s="28"/>
      <c r="I866" s="147"/>
      <c r="J866" s="147"/>
      <c r="K866" s="146"/>
      <c r="L866" s="146"/>
      <c r="M866" s="146"/>
      <c r="N866" s="146"/>
      <c r="O866" s="146"/>
      <c r="P866" s="146"/>
      <c r="Q866" s="30"/>
      <c r="R866" s="146"/>
      <c r="S866" s="147"/>
      <c r="T866" s="146"/>
      <c r="U866" s="146"/>
      <c r="V866" s="146"/>
      <c r="W866" s="146"/>
      <c r="X866" s="146"/>
      <c r="Y866" s="146"/>
      <c r="Z866" s="146"/>
      <c r="AA866" s="146"/>
      <c r="AB866" s="146"/>
      <c r="AC866" s="146"/>
      <c r="AD866" s="146"/>
      <c r="AE866" s="146"/>
      <c r="AF866" s="146"/>
      <c r="AG866" s="146"/>
      <c r="AH866" s="146"/>
      <c r="AI866" s="146"/>
    </row>
    <row r="867" spans="1:35" ht="13.5" customHeight="1" x14ac:dyDescent="0.25">
      <c r="A867" s="28"/>
      <c r="B867" s="28"/>
      <c r="C867" s="28"/>
      <c r="D867" s="28"/>
      <c r="E867" s="28"/>
      <c r="F867" s="28"/>
      <c r="G867" s="29"/>
      <c r="H867" s="28"/>
      <c r="I867" s="147"/>
      <c r="J867" s="147"/>
      <c r="K867" s="146"/>
      <c r="L867" s="146"/>
      <c r="M867" s="146"/>
      <c r="N867" s="146"/>
      <c r="O867" s="146"/>
      <c r="P867" s="146"/>
      <c r="Q867" s="30"/>
      <c r="R867" s="146"/>
      <c r="S867" s="147"/>
      <c r="T867" s="146"/>
      <c r="U867" s="146"/>
      <c r="V867" s="146"/>
      <c r="W867" s="146"/>
      <c r="X867" s="146"/>
      <c r="Y867" s="146"/>
      <c r="Z867" s="146"/>
      <c r="AA867" s="146"/>
      <c r="AB867" s="146"/>
      <c r="AC867" s="146"/>
      <c r="AD867" s="146"/>
      <c r="AE867" s="146"/>
      <c r="AF867" s="146"/>
      <c r="AG867" s="146"/>
      <c r="AH867" s="146"/>
      <c r="AI867" s="146"/>
    </row>
    <row r="868" spans="1:35" ht="13.5" customHeight="1" x14ac:dyDescent="0.25">
      <c r="A868" s="28"/>
      <c r="B868" s="28"/>
      <c r="C868" s="28"/>
      <c r="D868" s="28"/>
      <c r="E868" s="28"/>
      <c r="F868" s="28"/>
      <c r="G868" s="29"/>
      <c r="H868" s="28"/>
      <c r="I868" s="147"/>
      <c r="J868" s="147"/>
      <c r="K868" s="146"/>
      <c r="L868" s="146"/>
      <c r="M868" s="146"/>
      <c r="N868" s="146"/>
      <c r="O868" s="146"/>
      <c r="P868" s="146"/>
      <c r="Q868" s="30"/>
      <c r="R868" s="146"/>
      <c r="S868" s="147"/>
      <c r="T868" s="146"/>
      <c r="U868" s="146"/>
      <c r="V868" s="146"/>
      <c r="W868" s="146"/>
      <c r="X868" s="146"/>
      <c r="Y868" s="146"/>
      <c r="Z868" s="146"/>
      <c r="AA868" s="146"/>
      <c r="AB868" s="146"/>
      <c r="AC868" s="146"/>
      <c r="AD868" s="146"/>
      <c r="AE868" s="146"/>
      <c r="AF868" s="146"/>
      <c r="AG868" s="146"/>
      <c r="AH868" s="146"/>
      <c r="AI868" s="146"/>
    </row>
    <row r="869" spans="1:35" ht="13.5" customHeight="1" x14ac:dyDescent="0.25">
      <c r="A869" s="28"/>
      <c r="B869" s="28"/>
      <c r="C869" s="28"/>
      <c r="D869" s="28"/>
      <c r="E869" s="28"/>
      <c r="F869" s="28"/>
      <c r="G869" s="29"/>
      <c r="H869" s="28"/>
      <c r="I869" s="147"/>
      <c r="J869" s="147"/>
      <c r="K869" s="146"/>
      <c r="L869" s="146"/>
      <c r="M869" s="146"/>
      <c r="N869" s="146"/>
      <c r="O869" s="146"/>
      <c r="P869" s="146"/>
      <c r="Q869" s="30"/>
      <c r="R869" s="146"/>
      <c r="S869" s="147"/>
      <c r="T869" s="146"/>
      <c r="U869" s="146"/>
      <c r="V869" s="146"/>
      <c r="W869" s="146"/>
      <c r="X869" s="146"/>
      <c r="Y869" s="146"/>
      <c r="Z869" s="146"/>
      <c r="AA869" s="146"/>
      <c r="AB869" s="146"/>
      <c r="AC869" s="146"/>
      <c r="AD869" s="146"/>
      <c r="AE869" s="146"/>
      <c r="AF869" s="146"/>
      <c r="AG869" s="146"/>
      <c r="AH869" s="146"/>
      <c r="AI869" s="146"/>
    </row>
    <row r="870" spans="1:35" ht="13.5" customHeight="1" x14ac:dyDescent="0.25">
      <c r="A870" s="28"/>
      <c r="B870" s="28"/>
      <c r="C870" s="28"/>
      <c r="D870" s="28"/>
      <c r="E870" s="28"/>
      <c r="F870" s="28"/>
      <c r="G870" s="29"/>
      <c r="H870" s="28"/>
      <c r="I870" s="147"/>
      <c r="J870" s="147"/>
      <c r="K870" s="146"/>
      <c r="L870" s="146"/>
      <c r="M870" s="146"/>
      <c r="N870" s="146"/>
      <c r="O870" s="146"/>
      <c r="P870" s="146"/>
      <c r="Q870" s="30"/>
      <c r="R870" s="146"/>
      <c r="S870" s="147"/>
      <c r="T870" s="146"/>
      <c r="U870" s="146"/>
      <c r="V870" s="146"/>
      <c r="W870" s="146"/>
      <c r="X870" s="146"/>
      <c r="Y870" s="146"/>
      <c r="Z870" s="146"/>
      <c r="AA870" s="146"/>
      <c r="AB870" s="146"/>
      <c r="AC870" s="146"/>
      <c r="AD870" s="146"/>
      <c r="AE870" s="146"/>
      <c r="AF870" s="146"/>
      <c r="AG870" s="146"/>
      <c r="AH870" s="146"/>
      <c r="AI870" s="146"/>
    </row>
    <row r="871" spans="1:35" ht="13.5" customHeight="1" x14ac:dyDescent="0.25">
      <c r="A871" s="28"/>
      <c r="B871" s="28"/>
      <c r="C871" s="28"/>
      <c r="D871" s="28"/>
      <c r="E871" s="28"/>
      <c r="F871" s="28"/>
      <c r="G871" s="29"/>
      <c r="H871" s="28"/>
      <c r="I871" s="147"/>
      <c r="J871" s="147"/>
      <c r="K871" s="146"/>
      <c r="L871" s="146"/>
      <c r="M871" s="146"/>
      <c r="N871" s="146"/>
      <c r="O871" s="146"/>
      <c r="P871" s="146"/>
      <c r="Q871" s="30"/>
      <c r="R871" s="146"/>
      <c r="S871" s="147"/>
      <c r="T871" s="146"/>
      <c r="U871" s="146"/>
      <c r="V871" s="146"/>
      <c r="W871" s="146"/>
      <c r="X871" s="146"/>
      <c r="Y871" s="146"/>
      <c r="Z871" s="146"/>
      <c r="AA871" s="146"/>
      <c r="AB871" s="146"/>
      <c r="AC871" s="146"/>
      <c r="AD871" s="146"/>
      <c r="AE871" s="146"/>
      <c r="AF871" s="146"/>
      <c r="AG871" s="146"/>
      <c r="AH871" s="146"/>
      <c r="AI871" s="146"/>
    </row>
    <row r="872" spans="1:35" ht="13.5" customHeight="1" x14ac:dyDescent="0.25">
      <c r="A872" s="28"/>
      <c r="B872" s="28"/>
      <c r="C872" s="28"/>
      <c r="D872" s="28"/>
      <c r="E872" s="28"/>
      <c r="F872" s="28"/>
      <c r="G872" s="29"/>
      <c r="H872" s="28"/>
      <c r="I872" s="147"/>
      <c r="J872" s="147"/>
      <c r="K872" s="146"/>
      <c r="L872" s="146"/>
      <c r="M872" s="146"/>
      <c r="N872" s="146"/>
      <c r="O872" s="146"/>
      <c r="P872" s="146"/>
      <c r="Q872" s="30"/>
      <c r="R872" s="146"/>
      <c r="S872" s="147"/>
      <c r="T872" s="146"/>
      <c r="U872" s="146"/>
      <c r="V872" s="146"/>
      <c r="W872" s="146"/>
      <c r="X872" s="146"/>
      <c r="Y872" s="146"/>
      <c r="Z872" s="146"/>
      <c r="AA872" s="146"/>
      <c r="AB872" s="146"/>
      <c r="AC872" s="146"/>
      <c r="AD872" s="146"/>
      <c r="AE872" s="146"/>
      <c r="AF872" s="146"/>
      <c r="AG872" s="146"/>
      <c r="AH872" s="146"/>
      <c r="AI872" s="146"/>
    </row>
    <row r="873" spans="1:35" ht="13.5" customHeight="1" x14ac:dyDescent="0.25">
      <c r="A873" s="28"/>
      <c r="B873" s="28"/>
      <c r="C873" s="28"/>
      <c r="D873" s="28"/>
      <c r="E873" s="28"/>
      <c r="F873" s="28"/>
      <c r="G873" s="29"/>
      <c r="H873" s="28"/>
      <c r="I873" s="147"/>
      <c r="J873" s="147"/>
      <c r="K873" s="146"/>
      <c r="L873" s="146"/>
      <c r="M873" s="146"/>
      <c r="N873" s="146"/>
      <c r="O873" s="146"/>
      <c r="P873" s="146"/>
      <c r="Q873" s="30"/>
      <c r="R873" s="146"/>
      <c r="S873" s="147"/>
      <c r="T873" s="146"/>
      <c r="U873" s="146"/>
      <c r="V873" s="146"/>
      <c r="W873" s="146"/>
      <c r="X873" s="146"/>
      <c r="Y873" s="146"/>
      <c r="Z873" s="146"/>
      <c r="AA873" s="146"/>
      <c r="AB873" s="146"/>
      <c r="AC873" s="146"/>
      <c r="AD873" s="146"/>
      <c r="AE873" s="146"/>
      <c r="AF873" s="146"/>
      <c r="AG873" s="146"/>
      <c r="AH873" s="146"/>
      <c r="AI873" s="146"/>
    </row>
    <row r="874" spans="1:35" ht="13.5" customHeight="1" x14ac:dyDescent="0.25">
      <c r="A874" s="28"/>
      <c r="B874" s="28"/>
      <c r="C874" s="28"/>
      <c r="D874" s="28"/>
      <c r="E874" s="28"/>
      <c r="F874" s="28"/>
      <c r="G874" s="29"/>
      <c r="H874" s="28"/>
      <c r="I874" s="147"/>
      <c r="J874" s="147"/>
      <c r="K874" s="146"/>
      <c r="L874" s="146"/>
      <c r="M874" s="146"/>
      <c r="N874" s="146"/>
      <c r="O874" s="146"/>
      <c r="P874" s="146"/>
      <c r="Q874" s="30"/>
      <c r="R874" s="146"/>
      <c r="S874" s="147"/>
      <c r="T874" s="146"/>
      <c r="U874" s="146"/>
      <c r="V874" s="146"/>
      <c r="W874" s="146"/>
      <c r="X874" s="146"/>
      <c r="Y874" s="146"/>
      <c r="Z874" s="146"/>
      <c r="AA874" s="146"/>
      <c r="AB874" s="146"/>
      <c r="AC874" s="146"/>
      <c r="AD874" s="146"/>
      <c r="AE874" s="146"/>
      <c r="AF874" s="146"/>
      <c r="AG874" s="146"/>
      <c r="AH874" s="146"/>
      <c r="AI874" s="146"/>
    </row>
    <row r="875" spans="1:35" ht="13.5" customHeight="1" x14ac:dyDescent="0.25">
      <c r="A875" s="28"/>
      <c r="B875" s="28"/>
      <c r="C875" s="28"/>
      <c r="D875" s="28"/>
      <c r="E875" s="28"/>
      <c r="F875" s="28"/>
      <c r="G875" s="29"/>
      <c r="H875" s="28"/>
      <c r="I875" s="147"/>
      <c r="J875" s="147"/>
      <c r="K875" s="146"/>
      <c r="L875" s="146"/>
      <c r="M875" s="146"/>
      <c r="N875" s="146"/>
      <c r="O875" s="146"/>
      <c r="P875" s="146"/>
      <c r="Q875" s="30"/>
      <c r="R875" s="146"/>
      <c r="S875" s="147"/>
      <c r="T875" s="146"/>
      <c r="U875" s="146"/>
      <c r="V875" s="146"/>
      <c r="W875" s="146"/>
      <c r="X875" s="146"/>
      <c r="Y875" s="146"/>
      <c r="Z875" s="146"/>
      <c r="AA875" s="146"/>
      <c r="AB875" s="146"/>
      <c r="AC875" s="146"/>
      <c r="AD875" s="146"/>
      <c r="AE875" s="146"/>
      <c r="AF875" s="146"/>
      <c r="AG875" s="146"/>
      <c r="AH875" s="146"/>
      <c r="AI875" s="146"/>
    </row>
    <row r="876" spans="1:35" ht="13.5" customHeight="1" x14ac:dyDescent="0.25">
      <c r="A876" s="28"/>
      <c r="B876" s="28"/>
      <c r="C876" s="28"/>
      <c r="D876" s="28"/>
      <c r="E876" s="28"/>
      <c r="F876" s="28"/>
      <c r="G876" s="29"/>
      <c r="H876" s="28"/>
      <c r="I876" s="147"/>
      <c r="J876" s="147"/>
      <c r="K876" s="146"/>
      <c r="L876" s="146"/>
      <c r="M876" s="146"/>
      <c r="N876" s="146"/>
      <c r="O876" s="146"/>
      <c r="P876" s="146"/>
      <c r="Q876" s="30"/>
      <c r="R876" s="146"/>
      <c r="S876" s="147"/>
      <c r="T876" s="146"/>
      <c r="U876" s="146"/>
      <c r="V876" s="146"/>
      <c r="W876" s="146"/>
      <c r="X876" s="146"/>
      <c r="Y876" s="146"/>
      <c r="Z876" s="146"/>
      <c r="AA876" s="146"/>
      <c r="AB876" s="146"/>
      <c r="AC876" s="146"/>
      <c r="AD876" s="146"/>
      <c r="AE876" s="146"/>
      <c r="AF876" s="146"/>
      <c r="AG876" s="146"/>
      <c r="AH876" s="146"/>
      <c r="AI876" s="146"/>
    </row>
    <row r="877" spans="1:35" ht="13.5" customHeight="1" x14ac:dyDescent="0.25">
      <c r="A877" s="28"/>
      <c r="B877" s="28"/>
      <c r="C877" s="28"/>
      <c r="D877" s="28"/>
      <c r="E877" s="28"/>
      <c r="F877" s="28"/>
      <c r="G877" s="29"/>
      <c r="H877" s="28"/>
      <c r="I877" s="147"/>
      <c r="J877" s="147"/>
      <c r="K877" s="146"/>
      <c r="L877" s="146"/>
      <c r="M877" s="146"/>
      <c r="N877" s="146"/>
      <c r="O877" s="146"/>
      <c r="P877" s="146"/>
      <c r="Q877" s="30"/>
      <c r="R877" s="146"/>
      <c r="S877" s="147"/>
      <c r="T877" s="146"/>
      <c r="U877" s="146"/>
      <c r="V877" s="146"/>
      <c r="W877" s="146"/>
      <c r="X877" s="146"/>
      <c r="Y877" s="146"/>
      <c r="Z877" s="146"/>
      <c r="AA877" s="146"/>
      <c r="AB877" s="146"/>
      <c r="AC877" s="146"/>
      <c r="AD877" s="146"/>
      <c r="AE877" s="146"/>
      <c r="AF877" s="146"/>
      <c r="AG877" s="146"/>
      <c r="AH877" s="146"/>
      <c r="AI877" s="146"/>
    </row>
    <row r="878" spans="1:35" ht="13.5" customHeight="1" x14ac:dyDescent="0.25">
      <c r="A878" s="28"/>
      <c r="B878" s="28"/>
      <c r="C878" s="28"/>
      <c r="D878" s="28"/>
      <c r="E878" s="28"/>
      <c r="F878" s="28"/>
      <c r="G878" s="29"/>
      <c r="H878" s="28"/>
      <c r="I878" s="147"/>
      <c r="J878" s="147"/>
      <c r="K878" s="146"/>
      <c r="L878" s="146"/>
      <c r="M878" s="146"/>
      <c r="N878" s="146"/>
      <c r="O878" s="146"/>
      <c r="P878" s="146"/>
      <c r="Q878" s="30"/>
      <c r="R878" s="146"/>
      <c r="S878" s="147"/>
      <c r="T878" s="146"/>
      <c r="U878" s="146"/>
      <c r="V878" s="146"/>
      <c r="W878" s="146"/>
      <c r="X878" s="146"/>
      <c r="Y878" s="146"/>
      <c r="Z878" s="146"/>
      <c r="AA878" s="146"/>
      <c r="AB878" s="146"/>
      <c r="AC878" s="146"/>
      <c r="AD878" s="146"/>
      <c r="AE878" s="146"/>
      <c r="AF878" s="146"/>
      <c r="AG878" s="146"/>
      <c r="AH878" s="146"/>
      <c r="AI878" s="146"/>
    </row>
    <row r="879" spans="1:35" ht="13.5" customHeight="1" x14ac:dyDescent="0.25">
      <c r="A879" s="28"/>
      <c r="B879" s="28"/>
      <c r="C879" s="28"/>
      <c r="D879" s="28"/>
      <c r="E879" s="28"/>
      <c r="F879" s="28"/>
      <c r="G879" s="29"/>
      <c r="H879" s="28"/>
      <c r="I879" s="147"/>
      <c r="J879" s="147"/>
      <c r="K879" s="146"/>
      <c r="L879" s="146"/>
      <c r="M879" s="146"/>
      <c r="N879" s="146"/>
      <c r="O879" s="146"/>
      <c r="P879" s="146"/>
      <c r="Q879" s="30"/>
      <c r="R879" s="146"/>
      <c r="S879" s="147"/>
      <c r="T879" s="146"/>
      <c r="U879" s="146"/>
      <c r="V879" s="146"/>
      <c r="W879" s="146"/>
      <c r="X879" s="146"/>
      <c r="Y879" s="146"/>
      <c r="Z879" s="146"/>
      <c r="AA879" s="146"/>
      <c r="AB879" s="146"/>
      <c r="AC879" s="146"/>
      <c r="AD879" s="146"/>
      <c r="AE879" s="146"/>
      <c r="AF879" s="146"/>
      <c r="AG879" s="146"/>
      <c r="AH879" s="146"/>
      <c r="AI879" s="146"/>
    </row>
    <row r="880" spans="1:35" ht="13.5" customHeight="1" x14ac:dyDescent="0.25">
      <c r="A880" s="28"/>
      <c r="B880" s="28"/>
      <c r="C880" s="28"/>
      <c r="D880" s="28"/>
      <c r="E880" s="28"/>
      <c r="F880" s="28"/>
      <c r="G880" s="29"/>
      <c r="H880" s="28"/>
      <c r="I880" s="147"/>
      <c r="J880" s="147"/>
      <c r="K880" s="146"/>
      <c r="L880" s="146"/>
      <c r="M880" s="146"/>
      <c r="N880" s="146"/>
      <c r="O880" s="146"/>
      <c r="P880" s="146"/>
      <c r="Q880" s="30"/>
      <c r="R880" s="146"/>
      <c r="S880" s="147"/>
      <c r="T880" s="146"/>
      <c r="U880" s="146"/>
      <c r="V880" s="146"/>
      <c r="W880" s="146"/>
      <c r="X880" s="146"/>
      <c r="Y880" s="146"/>
      <c r="Z880" s="146"/>
      <c r="AA880" s="146"/>
      <c r="AB880" s="146"/>
      <c r="AC880" s="146"/>
      <c r="AD880" s="146"/>
      <c r="AE880" s="146"/>
      <c r="AF880" s="146"/>
      <c r="AG880" s="146"/>
      <c r="AH880" s="146"/>
      <c r="AI880" s="146"/>
    </row>
    <row r="881" spans="1:35" ht="13.5" customHeight="1" x14ac:dyDescent="0.25">
      <c r="A881" s="28"/>
      <c r="B881" s="28"/>
      <c r="C881" s="28"/>
      <c r="D881" s="28"/>
      <c r="E881" s="28"/>
      <c r="F881" s="28"/>
      <c r="G881" s="29"/>
      <c r="H881" s="28"/>
      <c r="I881" s="147"/>
      <c r="J881" s="147"/>
      <c r="K881" s="146"/>
      <c r="L881" s="146"/>
      <c r="M881" s="146"/>
      <c r="N881" s="146"/>
      <c r="O881" s="146"/>
      <c r="P881" s="146"/>
      <c r="Q881" s="30"/>
      <c r="R881" s="146"/>
      <c r="S881" s="147"/>
      <c r="T881" s="146"/>
      <c r="U881" s="146"/>
      <c r="V881" s="146"/>
      <c r="W881" s="146"/>
      <c r="X881" s="146"/>
      <c r="Y881" s="146"/>
      <c r="Z881" s="146"/>
      <c r="AA881" s="146"/>
      <c r="AB881" s="146"/>
      <c r="AC881" s="146"/>
      <c r="AD881" s="146"/>
      <c r="AE881" s="146"/>
      <c r="AF881" s="146"/>
      <c r="AG881" s="146"/>
      <c r="AH881" s="146"/>
      <c r="AI881" s="146"/>
    </row>
    <row r="882" spans="1:35" ht="13.5" customHeight="1" x14ac:dyDescent="0.25">
      <c r="A882" s="28"/>
      <c r="B882" s="28"/>
      <c r="C882" s="28"/>
      <c r="D882" s="28"/>
      <c r="E882" s="28"/>
      <c r="F882" s="28"/>
      <c r="G882" s="29"/>
      <c r="H882" s="28"/>
      <c r="I882" s="147"/>
      <c r="J882" s="147"/>
      <c r="K882" s="146"/>
      <c r="L882" s="146"/>
      <c r="M882" s="146"/>
      <c r="N882" s="146"/>
      <c r="O882" s="146"/>
      <c r="P882" s="146"/>
      <c r="Q882" s="30"/>
      <c r="R882" s="146"/>
      <c r="S882" s="147"/>
      <c r="T882" s="146"/>
      <c r="U882" s="146"/>
      <c r="V882" s="146"/>
      <c r="W882" s="146"/>
      <c r="X882" s="146"/>
      <c r="Y882" s="146"/>
      <c r="Z882" s="146"/>
      <c r="AA882" s="146"/>
      <c r="AB882" s="146"/>
      <c r="AC882" s="146"/>
      <c r="AD882" s="146"/>
      <c r="AE882" s="146"/>
      <c r="AF882" s="146"/>
      <c r="AG882" s="146"/>
      <c r="AH882" s="146"/>
      <c r="AI882" s="146"/>
    </row>
    <row r="883" spans="1:35" ht="13.5" customHeight="1" x14ac:dyDescent="0.25">
      <c r="A883" s="28"/>
      <c r="B883" s="28"/>
      <c r="C883" s="28"/>
      <c r="D883" s="28"/>
      <c r="E883" s="28"/>
      <c r="F883" s="28"/>
      <c r="G883" s="29"/>
      <c r="H883" s="28"/>
      <c r="I883" s="147"/>
      <c r="J883" s="147"/>
      <c r="K883" s="146"/>
      <c r="L883" s="146"/>
      <c r="M883" s="146"/>
      <c r="N883" s="146"/>
      <c r="O883" s="146"/>
      <c r="P883" s="146"/>
      <c r="Q883" s="30"/>
      <c r="R883" s="146"/>
      <c r="S883" s="147"/>
      <c r="T883" s="146"/>
      <c r="U883" s="146"/>
      <c r="V883" s="146"/>
      <c r="W883" s="146"/>
      <c r="X883" s="146"/>
      <c r="Y883" s="146"/>
      <c r="Z883" s="146"/>
      <c r="AA883" s="146"/>
      <c r="AB883" s="146"/>
      <c r="AC883" s="146"/>
      <c r="AD883" s="146"/>
      <c r="AE883" s="146"/>
      <c r="AF883" s="146"/>
      <c r="AG883" s="146"/>
      <c r="AH883" s="146"/>
      <c r="AI883" s="146"/>
    </row>
    <row r="884" spans="1:35" ht="13.5" customHeight="1" x14ac:dyDescent="0.25">
      <c r="A884" s="28"/>
      <c r="B884" s="28"/>
      <c r="C884" s="28"/>
      <c r="D884" s="28"/>
      <c r="E884" s="28"/>
      <c r="F884" s="28"/>
      <c r="G884" s="29"/>
      <c r="H884" s="28"/>
      <c r="I884" s="147"/>
      <c r="J884" s="147"/>
      <c r="K884" s="146"/>
      <c r="L884" s="146"/>
      <c r="M884" s="146"/>
      <c r="N884" s="146"/>
      <c r="O884" s="146"/>
      <c r="P884" s="146"/>
      <c r="Q884" s="30"/>
      <c r="R884" s="146"/>
      <c r="S884" s="147"/>
      <c r="T884" s="146"/>
      <c r="U884" s="146"/>
      <c r="V884" s="146"/>
      <c r="W884" s="146"/>
      <c r="X884" s="146"/>
      <c r="Y884" s="146"/>
      <c r="Z884" s="146"/>
      <c r="AA884" s="146"/>
      <c r="AB884" s="146"/>
      <c r="AC884" s="146"/>
      <c r="AD884" s="146"/>
      <c r="AE884" s="146"/>
      <c r="AF884" s="146"/>
      <c r="AG884" s="146"/>
      <c r="AH884" s="146"/>
      <c r="AI884" s="146"/>
    </row>
    <row r="885" spans="1:35" ht="13.5" customHeight="1" x14ac:dyDescent="0.25">
      <c r="A885" s="28"/>
      <c r="B885" s="28"/>
      <c r="C885" s="28"/>
      <c r="D885" s="28"/>
      <c r="E885" s="28"/>
      <c r="F885" s="28"/>
      <c r="G885" s="29"/>
      <c r="H885" s="28"/>
      <c r="I885" s="147"/>
      <c r="J885" s="147"/>
      <c r="K885" s="146"/>
      <c r="L885" s="146"/>
      <c r="M885" s="146"/>
      <c r="N885" s="146"/>
      <c r="O885" s="146"/>
      <c r="P885" s="146"/>
      <c r="Q885" s="30"/>
      <c r="R885" s="146"/>
      <c r="S885" s="147"/>
      <c r="T885" s="146"/>
      <c r="U885" s="146"/>
      <c r="V885" s="146"/>
      <c r="W885" s="146"/>
      <c r="X885" s="146"/>
      <c r="Y885" s="146"/>
      <c r="Z885" s="146"/>
      <c r="AA885" s="146"/>
      <c r="AB885" s="146"/>
      <c r="AC885" s="146"/>
      <c r="AD885" s="146"/>
      <c r="AE885" s="146"/>
      <c r="AF885" s="146"/>
      <c r="AG885" s="146"/>
      <c r="AH885" s="146"/>
      <c r="AI885" s="146"/>
    </row>
    <row r="886" spans="1:35" ht="13.5" customHeight="1" x14ac:dyDescent="0.25">
      <c r="A886" s="28"/>
      <c r="B886" s="28"/>
      <c r="C886" s="28"/>
      <c r="D886" s="28"/>
      <c r="E886" s="28"/>
      <c r="F886" s="28"/>
      <c r="G886" s="29"/>
      <c r="H886" s="28"/>
      <c r="I886" s="147"/>
      <c r="J886" s="147"/>
      <c r="K886" s="146"/>
      <c r="L886" s="146"/>
      <c r="M886" s="146"/>
      <c r="N886" s="146"/>
      <c r="O886" s="146"/>
      <c r="P886" s="146"/>
      <c r="Q886" s="30"/>
      <c r="R886" s="146"/>
      <c r="S886" s="147"/>
      <c r="T886" s="146"/>
      <c r="U886" s="146"/>
      <c r="V886" s="146"/>
      <c r="W886" s="146"/>
      <c r="X886" s="146"/>
      <c r="Y886" s="146"/>
      <c r="Z886" s="146"/>
      <c r="AA886" s="146"/>
      <c r="AB886" s="146"/>
      <c r="AC886" s="146"/>
      <c r="AD886" s="146"/>
      <c r="AE886" s="146"/>
      <c r="AF886" s="146"/>
      <c r="AG886" s="146"/>
      <c r="AH886" s="146"/>
      <c r="AI886" s="146"/>
    </row>
    <row r="887" spans="1:35" ht="13.5" customHeight="1" x14ac:dyDescent="0.25">
      <c r="A887" s="28"/>
      <c r="B887" s="28"/>
      <c r="C887" s="28"/>
      <c r="D887" s="28"/>
      <c r="E887" s="28"/>
      <c r="F887" s="28"/>
      <c r="G887" s="29"/>
      <c r="H887" s="28"/>
      <c r="I887" s="147"/>
      <c r="J887" s="147"/>
      <c r="K887" s="146"/>
      <c r="L887" s="146"/>
      <c r="M887" s="146"/>
      <c r="N887" s="146"/>
      <c r="O887" s="146"/>
      <c r="P887" s="146"/>
      <c r="Q887" s="30"/>
      <c r="R887" s="146"/>
      <c r="S887" s="147"/>
      <c r="T887" s="146"/>
      <c r="U887" s="146"/>
      <c r="V887" s="146"/>
      <c r="W887" s="146"/>
      <c r="X887" s="146"/>
      <c r="Y887" s="146"/>
      <c r="Z887" s="146"/>
      <c r="AA887" s="146"/>
      <c r="AB887" s="146"/>
      <c r="AC887" s="146"/>
      <c r="AD887" s="146"/>
      <c r="AE887" s="146"/>
      <c r="AF887" s="146"/>
      <c r="AG887" s="146"/>
      <c r="AH887" s="146"/>
      <c r="AI887" s="146"/>
    </row>
    <row r="888" spans="1:35" ht="13.5" customHeight="1" x14ac:dyDescent="0.25">
      <c r="A888" s="28"/>
      <c r="B888" s="28"/>
      <c r="C888" s="28"/>
      <c r="D888" s="28"/>
      <c r="E888" s="28"/>
      <c r="F888" s="28"/>
      <c r="G888" s="29"/>
      <c r="H888" s="28"/>
      <c r="I888" s="147"/>
      <c r="J888" s="147"/>
      <c r="K888" s="146"/>
      <c r="L888" s="146"/>
      <c r="M888" s="146"/>
      <c r="N888" s="146"/>
      <c r="O888" s="146"/>
      <c r="P888" s="146"/>
      <c r="Q888" s="30"/>
      <c r="R888" s="146"/>
      <c r="S888" s="147"/>
      <c r="T888" s="146"/>
      <c r="U888" s="146"/>
      <c r="V888" s="146"/>
      <c r="W888" s="146"/>
      <c r="X888" s="146"/>
      <c r="Y888" s="146"/>
      <c r="Z888" s="146"/>
      <c r="AA888" s="146"/>
      <c r="AB888" s="146"/>
      <c r="AC888" s="146"/>
      <c r="AD888" s="146"/>
      <c r="AE888" s="146"/>
      <c r="AF888" s="146"/>
      <c r="AG888" s="146"/>
      <c r="AH888" s="146"/>
      <c r="AI888" s="146"/>
    </row>
    <row r="889" spans="1:35" ht="13.5" customHeight="1" x14ac:dyDescent="0.25">
      <c r="A889" s="28"/>
      <c r="B889" s="28"/>
      <c r="C889" s="28"/>
      <c r="D889" s="28"/>
      <c r="E889" s="28"/>
      <c r="F889" s="28"/>
      <c r="G889" s="29"/>
      <c r="H889" s="28"/>
      <c r="I889" s="147"/>
      <c r="J889" s="147"/>
      <c r="K889" s="146"/>
      <c r="L889" s="146"/>
      <c r="M889" s="146"/>
      <c r="N889" s="146"/>
      <c r="O889" s="146"/>
      <c r="P889" s="146"/>
      <c r="Q889" s="30"/>
      <c r="R889" s="146"/>
      <c r="S889" s="147"/>
      <c r="T889" s="146"/>
      <c r="U889" s="146"/>
      <c r="V889" s="146"/>
      <c r="W889" s="146"/>
      <c r="X889" s="146"/>
      <c r="Y889" s="146"/>
      <c r="Z889" s="146"/>
      <c r="AA889" s="146"/>
      <c r="AB889" s="146"/>
      <c r="AC889" s="146"/>
      <c r="AD889" s="146"/>
      <c r="AE889" s="146"/>
      <c r="AF889" s="146"/>
      <c r="AG889" s="146"/>
      <c r="AH889" s="146"/>
      <c r="AI889" s="146"/>
    </row>
    <row r="890" spans="1:35" ht="13.5" customHeight="1" x14ac:dyDescent="0.25">
      <c r="A890" s="28"/>
      <c r="B890" s="28"/>
      <c r="C890" s="28"/>
      <c r="D890" s="28"/>
      <c r="E890" s="28"/>
      <c r="F890" s="28"/>
      <c r="G890" s="29"/>
      <c r="H890" s="28"/>
      <c r="I890" s="147"/>
      <c r="J890" s="147"/>
      <c r="K890" s="146"/>
      <c r="L890" s="146"/>
      <c r="M890" s="146"/>
      <c r="N890" s="146"/>
      <c r="O890" s="146"/>
      <c r="P890" s="146"/>
      <c r="Q890" s="30"/>
      <c r="R890" s="146"/>
      <c r="S890" s="147"/>
      <c r="T890" s="146"/>
      <c r="U890" s="146"/>
      <c r="V890" s="146"/>
      <c r="W890" s="146"/>
      <c r="X890" s="146"/>
      <c r="Y890" s="146"/>
      <c r="Z890" s="146"/>
      <c r="AA890" s="146"/>
      <c r="AB890" s="146"/>
      <c r="AC890" s="146"/>
      <c r="AD890" s="146"/>
      <c r="AE890" s="146"/>
      <c r="AF890" s="146"/>
      <c r="AG890" s="146"/>
      <c r="AH890" s="146"/>
      <c r="AI890" s="146"/>
    </row>
    <row r="891" spans="1:35" ht="13.5" customHeight="1" x14ac:dyDescent="0.25">
      <c r="A891" s="28"/>
      <c r="B891" s="28"/>
      <c r="C891" s="28"/>
      <c r="D891" s="28"/>
      <c r="E891" s="28"/>
      <c r="F891" s="28"/>
      <c r="G891" s="29"/>
      <c r="H891" s="28"/>
      <c r="I891" s="147"/>
      <c r="J891" s="147"/>
      <c r="K891" s="146"/>
      <c r="L891" s="146"/>
      <c r="M891" s="146"/>
      <c r="N891" s="146"/>
      <c r="O891" s="146"/>
      <c r="P891" s="146"/>
      <c r="Q891" s="30"/>
      <c r="R891" s="146"/>
      <c r="S891" s="147"/>
      <c r="T891" s="146"/>
      <c r="U891" s="146"/>
      <c r="V891" s="146"/>
      <c r="W891" s="146"/>
      <c r="X891" s="146"/>
      <c r="Y891" s="146"/>
      <c r="Z891" s="146"/>
      <c r="AA891" s="146"/>
      <c r="AB891" s="146"/>
      <c r="AC891" s="146"/>
      <c r="AD891" s="146"/>
      <c r="AE891" s="146"/>
      <c r="AF891" s="146"/>
      <c r="AG891" s="146"/>
      <c r="AH891" s="146"/>
      <c r="AI891" s="146"/>
    </row>
    <row r="892" spans="1:35" ht="13.5" customHeight="1" x14ac:dyDescent="0.25">
      <c r="A892" s="28"/>
      <c r="B892" s="28"/>
      <c r="C892" s="28"/>
      <c r="D892" s="28"/>
      <c r="E892" s="28"/>
      <c r="F892" s="28"/>
      <c r="G892" s="29"/>
      <c r="H892" s="28"/>
      <c r="I892" s="147"/>
      <c r="J892" s="147"/>
      <c r="K892" s="146"/>
      <c r="L892" s="146"/>
      <c r="M892" s="146"/>
      <c r="N892" s="146"/>
      <c r="O892" s="146"/>
      <c r="P892" s="146"/>
      <c r="Q892" s="30"/>
      <c r="R892" s="146"/>
      <c r="S892" s="147"/>
      <c r="T892" s="146"/>
      <c r="U892" s="146"/>
      <c r="V892" s="146"/>
      <c r="W892" s="146"/>
      <c r="X892" s="146"/>
      <c r="Y892" s="146"/>
      <c r="Z892" s="146"/>
      <c r="AA892" s="146"/>
      <c r="AB892" s="146"/>
      <c r="AC892" s="146"/>
      <c r="AD892" s="146"/>
      <c r="AE892" s="146"/>
      <c r="AF892" s="146"/>
      <c r="AG892" s="146"/>
      <c r="AH892" s="146"/>
      <c r="AI892" s="146"/>
    </row>
    <row r="893" spans="1:35" ht="13.5" customHeight="1" x14ac:dyDescent="0.25">
      <c r="A893" s="28"/>
      <c r="B893" s="28"/>
      <c r="C893" s="28"/>
      <c r="D893" s="28"/>
      <c r="E893" s="28"/>
      <c r="F893" s="28"/>
      <c r="G893" s="29"/>
      <c r="H893" s="28"/>
      <c r="I893" s="147"/>
      <c r="J893" s="147"/>
      <c r="K893" s="146"/>
      <c r="L893" s="146"/>
      <c r="M893" s="146"/>
      <c r="N893" s="146"/>
      <c r="O893" s="146"/>
      <c r="P893" s="146"/>
      <c r="Q893" s="30"/>
      <c r="R893" s="146"/>
      <c r="S893" s="147"/>
      <c r="T893" s="146"/>
      <c r="U893" s="146"/>
      <c r="V893" s="146"/>
      <c r="W893" s="146"/>
      <c r="X893" s="146"/>
      <c r="Y893" s="146"/>
      <c r="Z893" s="146"/>
      <c r="AA893" s="146"/>
      <c r="AB893" s="146"/>
      <c r="AC893" s="146"/>
      <c r="AD893" s="146"/>
      <c r="AE893" s="146"/>
      <c r="AF893" s="146"/>
      <c r="AG893" s="146"/>
      <c r="AH893" s="146"/>
      <c r="AI893" s="146"/>
    </row>
    <row r="894" spans="1:35" ht="13.5" customHeight="1" x14ac:dyDescent="0.25">
      <c r="A894" s="28"/>
      <c r="B894" s="28"/>
      <c r="C894" s="28"/>
      <c r="D894" s="28"/>
      <c r="E894" s="28"/>
      <c r="F894" s="28"/>
      <c r="G894" s="29"/>
      <c r="H894" s="28"/>
      <c r="I894" s="147"/>
      <c r="J894" s="147"/>
      <c r="K894" s="146"/>
      <c r="L894" s="146"/>
      <c r="M894" s="146"/>
      <c r="N894" s="146"/>
      <c r="O894" s="146"/>
      <c r="P894" s="146"/>
      <c r="Q894" s="30"/>
      <c r="R894" s="146"/>
      <c r="S894" s="147"/>
      <c r="T894" s="146"/>
      <c r="U894" s="146"/>
      <c r="V894" s="146"/>
      <c r="W894" s="146"/>
      <c r="X894" s="146"/>
      <c r="Y894" s="146"/>
      <c r="Z894" s="146"/>
      <c r="AA894" s="146"/>
      <c r="AB894" s="146"/>
      <c r="AC894" s="146"/>
      <c r="AD894" s="146"/>
      <c r="AE894" s="146"/>
      <c r="AF894" s="146"/>
      <c r="AG894" s="146"/>
      <c r="AH894" s="146"/>
      <c r="AI894" s="146"/>
    </row>
    <row r="895" spans="1:35" ht="13.5" customHeight="1" x14ac:dyDescent="0.25">
      <c r="A895" s="28"/>
      <c r="B895" s="28"/>
      <c r="C895" s="28"/>
      <c r="D895" s="28"/>
      <c r="E895" s="28"/>
      <c r="F895" s="28"/>
      <c r="G895" s="29"/>
      <c r="H895" s="28"/>
      <c r="I895" s="147"/>
      <c r="J895" s="147"/>
      <c r="K895" s="146"/>
      <c r="L895" s="146"/>
      <c r="M895" s="146"/>
      <c r="N895" s="146"/>
      <c r="O895" s="146"/>
      <c r="P895" s="146"/>
      <c r="Q895" s="30"/>
      <c r="R895" s="146"/>
      <c r="S895" s="147"/>
      <c r="T895" s="146"/>
      <c r="U895" s="146"/>
      <c r="V895" s="146"/>
      <c r="W895" s="146"/>
      <c r="X895" s="146"/>
      <c r="Y895" s="146"/>
      <c r="Z895" s="146"/>
      <c r="AA895" s="146"/>
      <c r="AB895" s="146"/>
      <c r="AC895" s="146"/>
      <c r="AD895" s="146"/>
      <c r="AE895" s="146"/>
      <c r="AF895" s="146"/>
      <c r="AG895" s="146"/>
      <c r="AH895" s="146"/>
      <c r="AI895" s="146"/>
    </row>
    <row r="896" spans="1:35" ht="13.5" customHeight="1" x14ac:dyDescent="0.25">
      <c r="A896" s="28"/>
      <c r="B896" s="28"/>
      <c r="C896" s="28"/>
      <c r="D896" s="28"/>
      <c r="E896" s="28"/>
      <c r="F896" s="28"/>
      <c r="G896" s="29"/>
      <c r="H896" s="28"/>
      <c r="I896" s="147"/>
      <c r="J896" s="147"/>
      <c r="K896" s="146"/>
      <c r="L896" s="146"/>
      <c r="M896" s="146"/>
      <c r="N896" s="146"/>
      <c r="O896" s="146"/>
      <c r="P896" s="146"/>
      <c r="Q896" s="30"/>
      <c r="R896" s="146"/>
      <c r="S896" s="147"/>
      <c r="T896" s="146"/>
      <c r="U896" s="146"/>
      <c r="V896" s="146"/>
      <c r="W896" s="146"/>
      <c r="X896" s="146"/>
      <c r="Y896" s="146"/>
      <c r="Z896" s="146"/>
      <c r="AA896" s="146"/>
      <c r="AB896" s="146"/>
      <c r="AC896" s="146"/>
      <c r="AD896" s="146"/>
      <c r="AE896" s="146"/>
      <c r="AF896" s="146"/>
      <c r="AG896" s="146"/>
      <c r="AH896" s="146"/>
      <c r="AI896" s="146"/>
    </row>
    <row r="897" spans="1:35" ht="13.5" customHeight="1" x14ac:dyDescent="0.25">
      <c r="A897" s="28"/>
      <c r="B897" s="28"/>
      <c r="C897" s="28"/>
      <c r="D897" s="28"/>
      <c r="E897" s="28"/>
      <c r="F897" s="28"/>
      <c r="G897" s="29"/>
      <c r="H897" s="28"/>
      <c r="I897" s="147"/>
      <c r="J897" s="147"/>
      <c r="K897" s="146"/>
      <c r="L897" s="146"/>
      <c r="M897" s="146"/>
      <c r="N897" s="146"/>
      <c r="O897" s="146"/>
      <c r="P897" s="146"/>
      <c r="Q897" s="30"/>
      <c r="R897" s="146"/>
      <c r="S897" s="147"/>
      <c r="T897" s="146"/>
      <c r="U897" s="146"/>
      <c r="V897" s="146"/>
      <c r="W897" s="146"/>
      <c r="X897" s="146"/>
      <c r="Y897" s="146"/>
      <c r="Z897" s="146"/>
      <c r="AA897" s="146"/>
      <c r="AB897" s="146"/>
      <c r="AC897" s="146"/>
      <c r="AD897" s="146"/>
      <c r="AE897" s="146"/>
      <c r="AF897" s="146"/>
      <c r="AG897" s="146"/>
      <c r="AH897" s="146"/>
      <c r="AI897" s="146"/>
    </row>
    <row r="898" spans="1:35" ht="13.5" customHeight="1" x14ac:dyDescent="0.25">
      <c r="A898" s="28"/>
      <c r="B898" s="28"/>
      <c r="C898" s="28"/>
      <c r="D898" s="28"/>
      <c r="E898" s="28"/>
      <c r="F898" s="28"/>
      <c r="G898" s="29"/>
      <c r="H898" s="28"/>
      <c r="I898" s="147"/>
      <c r="J898" s="147"/>
      <c r="K898" s="146"/>
      <c r="L898" s="146"/>
      <c r="M898" s="146"/>
      <c r="N898" s="146"/>
      <c r="O898" s="146"/>
      <c r="P898" s="146"/>
      <c r="Q898" s="30"/>
      <c r="R898" s="146"/>
      <c r="S898" s="147"/>
      <c r="T898" s="146"/>
      <c r="U898" s="146"/>
      <c r="V898" s="146"/>
      <c r="W898" s="146"/>
      <c r="X898" s="146"/>
      <c r="Y898" s="146"/>
      <c r="Z898" s="146"/>
      <c r="AA898" s="146"/>
      <c r="AB898" s="146"/>
      <c r="AC898" s="146"/>
      <c r="AD898" s="146"/>
      <c r="AE898" s="146"/>
      <c r="AF898" s="146"/>
      <c r="AG898" s="146"/>
      <c r="AH898" s="146"/>
      <c r="AI898" s="146"/>
    </row>
    <row r="899" spans="1:35" ht="13.5" customHeight="1" x14ac:dyDescent="0.25">
      <c r="A899" s="28"/>
      <c r="B899" s="28"/>
      <c r="C899" s="28"/>
      <c r="D899" s="28"/>
      <c r="E899" s="28"/>
      <c r="F899" s="28"/>
      <c r="G899" s="29"/>
      <c r="H899" s="28"/>
      <c r="I899" s="147"/>
      <c r="J899" s="147"/>
      <c r="K899" s="146"/>
      <c r="L899" s="146"/>
      <c r="M899" s="146"/>
      <c r="N899" s="146"/>
      <c r="O899" s="146"/>
      <c r="P899" s="146"/>
      <c r="Q899" s="30"/>
      <c r="R899" s="146"/>
      <c r="S899" s="147"/>
      <c r="T899" s="146"/>
      <c r="U899" s="146"/>
      <c r="V899" s="146"/>
      <c r="W899" s="146"/>
      <c r="X899" s="146"/>
      <c r="Y899" s="146"/>
      <c r="Z899" s="146"/>
      <c r="AA899" s="146"/>
      <c r="AB899" s="146"/>
      <c r="AC899" s="146"/>
      <c r="AD899" s="146"/>
      <c r="AE899" s="146"/>
      <c r="AF899" s="146"/>
      <c r="AG899" s="146"/>
      <c r="AH899" s="146"/>
      <c r="AI899" s="146"/>
    </row>
    <row r="900" spans="1:35" ht="13.5" customHeight="1" x14ac:dyDescent="0.25">
      <c r="A900" s="28"/>
      <c r="B900" s="28"/>
      <c r="C900" s="28"/>
      <c r="D900" s="28"/>
      <c r="E900" s="28"/>
      <c r="F900" s="28"/>
      <c r="G900" s="29"/>
      <c r="H900" s="28"/>
      <c r="I900" s="147"/>
      <c r="J900" s="147"/>
      <c r="K900" s="146"/>
      <c r="L900" s="146"/>
      <c r="M900" s="146"/>
      <c r="N900" s="146"/>
      <c r="O900" s="146"/>
      <c r="P900" s="146"/>
      <c r="Q900" s="30"/>
      <c r="R900" s="146"/>
      <c r="S900" s="147"/>
      <c r="T900" s="146"/>
      <c r="U900" s="146"/>
      <c r="V900" s="146"/>
      <c r="W900" s="146"/>
      <c r="X900" s="146"/>
      <c r="Y900" s="146"/>
      <c r="Z900" s="146"/>
      <c r="AA900" s="146"/>
      <c r="AB900" s="146"/>
      <c r="AC900" s="146"/>
      <c r="AD900" s="146"/>
      <c r="AE900" s="146"/>
      <c r="AF900" s="146"/>
      <c r="AG900" s="146"/>
      <c r="AH900" s="146"/>
      <c r="AI900" s="146"/>
    </row>
    <row r="901" spans="1:35" ht="13.5" customHeight="1" x14ac:dyDescent="0.25">
      <c r="A901" s="28"/>
      <c r="B901" s="28"/>
      <c r="C901" s="28"/>
      <c r="D901" s="28"/>
      <c r="E901" s="28"/>
      <c r="F901" s="28"/>
      <c r="G901" s="29"/>
      <c r="H901" s="28"/>
      <c r="I901" s="147"/>
      <c r="J901" s="147"/>
      <c r="K901" s="146"/>
      <c r="L901" s="146"/>
      <c r="M901" s="146"/>
      <c r="N901" s="146"/>
      <c r="O901" s="146"/>
      <c r="P901" s="146"/>
      <c r="Q901" s="30"/>
      <c r="R901" s="146"/>
      <c r="S901" s="147"/>
      <c r="T901" s="146"/>
      <c r="U901" s="146"/>
      <c r="V901" s="146"/>
      <c r="W901" s="146"/>
      <c r="X901" s="146"/>
      <c r="Y901" s="146"/>
      <c r="Z901" s="146"/>
      <c r="AA901" s="146"/>
      <c r="AB901" s="146"/>
      <c r="AC901" s="146"/>
      <c r="AD901" s="146"/>
      <c r="AE901" s="146"/>
      <c r="AF901" s="146"/>
      <c r="AG901" s="146"/>
      <c r="AH901" s="146"/>
      <c r="AI901" s="146"/>
    </row>
    <row r="902" spans="1:35" ht="13.5" customHeight="1" x14ac:dyDescent="0.25">
      <c r="A902" s="28"/>
      <c r="B902" s="28"/>
      <c r="C902" s="28"/>
      <c r="D902" s="28"/>
      <c r="E902" s="28"/>
      <c r="F902" s="28"/>
      <c r="G902" s="29"/>
      <c r="H902" s="28"/>
      <c r="I902" s="147"/>
      <c r="J902" s="147"/>
      <c r="K902" s="146"/>
      <c r="L902" s="146"/>
      <c r="M902" s="146"/>
      <c r="N902" s="146"/>
      <c r="O902" s="146"/>
      <c r="P902" s="146"/>
      <c r="Q902" s="30"/>
      <c r="R902" s="146"/>
      <c r="S902" s="147"/>
      <c r="T902" s="146"/>
      <c r="U902" s="146"/>
      <c r="V902" s="146"/>
      <c r="W902" s="146"/>
      <c r="X902" s="146"/>
      <c r="Y902" s="146"/>
      <c r="Z902" s="146"/>
      <c r="AA902" s="146"/>
      <c r="AB902" s="146"/>
      <c r="AC902" s="146"/>
      <c r="AD902" s="146"/>
      <c r="AE902" s="146"/>
      <c r="AF902" s="146"/>
      <c r="AG902" s="146"/>
      <c r="AH902" s="146"/>
      <c r="AI902" s="146"/>
    </row>
    <row r="903" spans="1:35" ht="13.5" customHeight="1" x14ac:dyDescent="0.25">
      <c r="A903" s="28"/>
      <c r="B903" s="28"/>
      <c r="C903" s="28"/>
      <c r="D903" s="28"/>
      <c r="E903" s="28"/>
      <c r="F903" s="28"/>
      <c r="G903" s="29"/>
      <c r="H903" s="28"/>
      <c r="I903" s="147"/>
      <c r="J903" s="147"/>
      <c r="K903" s="146"/>
      <c r="L903" s="146"/>
      <c r="M903" s="146"/>
      <c r="N903" s="146"/>
      <c r="O903" s="146"/>
      <c r="P903" s="146"/>
      <c r="Q903" s="30"/>
      <c r="R903" s="146"/>
      <c r="S903" s="147"/>
      <c r="T903" s="146"/>
      <c r="U903" s="146"/>
      <c r="V903" s="146"/>
      <c r="W903" s="146"/>
      <c r="X903" s="146"/>
      <c r="Y903" s="146"/>
      <c r="Z903" s="146"/>
      <c r="AA903" s="146"/>
      <c r="AB903" s="146"/>
      <c r="AC903" s="146"/>
      <c r="AD903" s="146"/>
      <c r="AE903" s="146"/>
      <c r="AF903" s="146"/>
      <c r="AG903" s="146"/>
      <c r="AH903" s="146"/>
      <c r="AI903" s="146"/>
    </row>
    <row r="904" spans="1:35" ht="13.5" customHeight="1" x14ac:dyDescent="0.25">
      <c r="A904" s="28"/>
      <c r="B904" s="28"/>
      <c r="C904" s="28"/>
      <c r="D904" s="28"/>
      <c r="E904" s="28"/>
      <c r="F904" s="28"/>
      <c r="G904" s="29"/>
      <c r="H904" s="28"/>
      <c r="I904" s="147"/>
      <c r="J904" s="147"/>
      <c r="K904" s="146"/>
      <c r="L904" s="146"/>
      <c r="M904" s="146"/>
      <c r="N904" s="146"/>
      <c r="O904" s="146"/>
      <c r="P904" s="146"/>
      <c r="Q904" s="30"/>
      <c r="R904" s="146"/>
      <c r="S904" s="147"/>
      <c r="T904" s="146"/>
      <c r="U904" s="146"/>
      <c r="V904" s="146"/>
      <c r="W904" s="146"/>
      <c r="X904" s="146"/>
      <c r="Y904" s="146"/>
      <c r="Z904" s="146"/>
      <c r="AA904" s="146"/>
      <c r="AB904" s="146"/>
      <c r="AC904" s="146"/>
      <c r="AD904" s="146"/>
      <c r="AE904" s="146"/>
      <c r="AF904" s="146"/>
      <c r="AG904" s="146"/>
      <c r="AH904" s="146"/>
      <c r="AI904" s="146"/>
    </row>
    <row r="905" spans="1:35" ht="13.5" customHeight="1" x14ac:dyDescent="0.25">
      <c r="A905" s="28"/>
      <c r="B905" s="28"/>
      <c r="C905" s="28"/>
      <c r="D905" s="28"/>
      <c r="E905" s="28"/>
      <c r="F905" s="28"/>
      <c r="G905" s="29"/>
      <c r="H905" s="28"/>
      <c r="I905" s="147"/>
      <c r="J905" s="147"/>
      <c r="K905" s="146"/>
      <c r="L905" s="146"/>
      <c r="M905" s="146"/>
      <c r="N905" s="146"/>
      <c r="O905" s="146"/>
      <c r="P905" s="146"/>
      <c r="Q905" s="30"/>
      <c r="R905" s="146"/>
      <c r="S905" s="147"/>
      <c r="T905" s="146"/>
      <c r="U905" s="146"/>
      <c r="V905" s="146"/>
      <c r="W905" s="146"/>
      <c r="X905" s="146"/>
      <c r="Y905" s="146"/>
      <c r="Z905" s="146"/>
      <c r="AA905" s="146"/>
      <c r="AB905" s="146"/>
      <c r="AC905" s="146"/>
      <c r="AD905" s="146"/>
      <c r="AE905" s="146"/>
      <c r="AF905" s="146"/>
      <c r="AG905" s="146"/>
      <c r="AH905" s="146"/>
      <c r="AI905" s="146"/>
    </row>
    <row r="906" spans="1:35" ht="13.5" customHeight="1" x14ac:dyDescent="0.25">
      <c r="A906" s="28"/>
      <c r="B906" s="28"/>
      <c r="C906" s="28"/>
      <c r="D906" s="28"/>
      <c r="E906" s="28"/>
      <c r="F906" s="28"/>
      <c r="G906" s="29"/>
      <c r="H906" s="28"/>
      <c r="I906" s="147"/>
      <c r="J906" s="147"/>
      <c r="K906" s="146"/>
      <c r="L906" s="146"/>
      <c r="M906" s="146"/>
      <c r="N906" s="146"/>
      <c r="O906" s="146"/>
      <c r="P906" s="146"/>
      <c r="Q906" s="30"/>
      <c r="R906" s="146"/>
      <c r="S906" s="147"/>
      <c r="T906" s="146"/>
      <c r="U906" s="146"/>
      <c r="V906" s="146"/>
      <c r="W906" s="146"/>
      <c r="X906" s="146"/>
      <c r="Y906" s="146"/>
      <c r="Z906" s="146"/>
      <c r="AA906" s="146"/>
      <c r="AB906" s="146"/>
      <c r="AC906" s="146"/>
      <c r="AD906" s="146"/>
      <c r="AE906" s="146"/>
      <c r="AF906" s="146"/>
      <c r="AG906" s="146"/>
      <c r="AH906" s="146"/>
      <c r="AI906" s="146"/>
    </row>
    <row r="907" spans="1:35" ht="13.5" customHeight="1" x14ac:dyDescent="0.25">
      <c r="A907" s="28"/>
      <c r="B907" s="28"/>
      <c r="C907" s="28"/>
      <c r="D907" s="28"/>
      <c r="E907" s="28"/>
      <c r="F907" s="28"/>
      <c r="G907" s="29"/>
      <c r="H907" s="28"/>
      <c r="I907" s="147"/>
      <c r="J907" s="147"/>
      <c r="K907" s="146"/>
      <c r="L907" s="146"/>
      <c r="M907" s="146"/>
      <c r="N907" s="146"/>
      <c r="O907" s="146"/>
      <c r="P907" s="146"/>
      <c r="Q907" s="30"/>
      <c r="R907" s="146"/>
      <c r="S907" s="147"/>
      <c r="T907" s="146"/>
      <c r="U907" s="146"/>
      <c r="V907" s="146"/>
      <c r="W907" s="146"/>
      <c r="X907" s="146"/>
      <c r="Y907" s="146"/>
      <c r="Z907" s="146"/>
      <c r="AA907" s="146"/>
      <c r="AB907" s="146"/>
      <c r="AC907" s="146"/>
      <c r="AD907" s="146"/>
      <c r="AE907" s="146"/>
      <c r="AF907" s="146"/>
      <c r="AG907" s="146"/>
      <c r="AH907" s="146"/>
      <c r="AI907" s="146"/>
    </row>
    <row r="908" spans="1:35" ht="13.5" customHeight="1" x14ac:dyDescent="0.25">
      <c r="A908" s="28"/>
      <c r="B908" s="28"/>
      <c r="C908" s="28"/>
      <c r="D908" s="28"/>
      <c r="E908" s="28"/>
      <c r="F908" s="28"/>
      <c r="G908" s="29"/>
      <c r="H908" s="28"/>
      <c r="I908" s="147"/>
      <c r="J908" s="147"/>
      <c r="K908" s="146"/>
      <c r="L908" s="146"/>
      <c r="M908" s="146"/>
      <c r="N908" s="146"/>
      <c r="O908" s="146"/>
      <c r="P908" s="146"/>
      <c r="Q908" s="30"/>
      <c r="R908" s="146"/>
      <c r="S908" s="147"/>
      <c r="T908" s="146"/>
      <c r="U908" s="146"/>
      <c r="V908" s="146"/>
      <c r="W908" s="146"/>
      <c r="X908" s="146"/>
      <c r="Y908" s="146"/>
      <c r="Z908" s="146"/>
      <c r="AA908" s="146"/>
      <c r="AB908" s="146"/>
      <c r="AC908" s="146"/>
      <c r="AD908" s="146"/>
      <c r="AE908" s="146"/>
      <c r="AF908" s="146"/>
      <c r="AG908" s="146"/>
      <c r="AH908" s="146"/>
      <c r="AI908" s="146"/>
    </row>
    <row r="909" spans="1:35" ht="13.5" customHeight="1" x14ac:dyDescent="0.25">
      <c r="A909" s="28"/>
      <c r="B909" s="28"/>
      <c r="C909" s="28"/>
      <c r="D909" s="28"/>
      <c r="E909" s="28"/>
      <c r="F909" s="28"/>
      <c r="G909" s="29"/>
      <c r="H909" s="28"/>
      <c r="I909" s="147"/>
      <c r="J909" s="147"/>
      <c r="K909" s="146"/>
      <c r="L909" s="146"/>
      <c r="M909" s="146"/>
      <c r="N909" s="146"/>
      <c r="O909" s="146"/>
      <c r="P909" s="146"/>
      <c r="Q909" s="30"/>
      <c r="R909" s="146"/>
      <c r="S909" s="147"/>
      <c r="T909" s="146"/>
      <c r="U909" s="146"/>
      <c r="V909" s="146"/>
      <c r="W909" s="146"/>
      <c r="X909" s="146"/>
      <c r="Y909" s="146"/>
      <c r="Z909" s="146"/>
      <c r="AA909" s="146"/>
      <c r="AB909" s="146"/>
      <c r="AC909" s="146"/>
      <c r="AD909" s="146"/>
      <c r="AE909" s="146"/>
      <c r="AF909" s="146"/>
      <c r="AG909" s="146"/>
      <c r="AH909" s="146"/>
      <c r="AI909" s="146"/>
    </row>
    <row r="910" spans="1:35" ht="13.5" customHeight="1" x14ac:dyDescent="0.25">
      <c r="A910" s="28"/>
      <c r="B910" s="28"/>
      <c r="C910" s="28"/>
      <c r="D910" s="28"/>
      <c r="E910" s="28"/>
      <c r="F910" s="28"/>
      <c r="G910" s="29"/>
      <c r="H910" s="28"/>
      <c r="I910" s="147"/>
      <c r="J910" s="147"/>
      <c r="K910" s="146"/>
      <c r="L910" s="146"/>
      <c r="M910" s="146"/>
      <c r="N910" s="146"/>
      <c r="O910" s="146"/>
      <c r="P910" s="146"/>
      <c r="Q910" s="30"/>
      <c r="R910" s="146"/>
      <c r="S910" s="147"/>
      <c r="T910" s="146"/>
      <c r="U910" s="146"/>
      <c r="V910" s="146"/>
      <c r="W910" s="146"/>
      <c r="X910" s="146"/>
      <c r="Y910" s="146"/>
      <c r="Z910" s="146"/>
      <c r="AA910" s="146"/>
      <c r="AB910" s="146"/>
      <c r="AC910" s="146"/>
      <c r="AD910" s="146"/>
      <c r="AE910" s="146"/>
      <c r="AF910" s="146"/>
      <c r="AG910" s="146"/>
      <c r="AH910" s="146"/>
      <c r="AI910" s="146"/>
    </row>
    <row r="911" spans="1:35" ht="13.5" customHeight="1" x14ac:dyDescent="0.25">
      <c r="A911" s="28"/>
      <c r="B911" s="28"/>
      <c r="C911" s="28"/>
      <c r="D911" s="28"/>
      <c r="E911" s="28"/>
      <c r="F911" s="28"/>
      <c r="G911" s="29"/>
      <c r="H911" s="28"/>
      <c r="I911" s="147"/>
      <c r="J911" s="147"/>
      <c r="K911" s="146"/>
      <c r="L911" s="146"/>
      <c r="M911" s="146"/>
      <c r="N911" s="146"/>
      <c r="O911" s="146"/>
      <c r="P911" s="146"/>
      <c r="Q911" s="30"/>
      <c r="R911" s="146"/>
      <c r="S911" s="147"/>
      <c r="T911" s="146"/>
      <c r="U911" s="146"/>
      <c r="V911" s="146"/>
      <c r="W911" s="146"/>
      <c r="X911" s="146"/>
      <c r="Y911" s="146"/>
      <c r="Z911" s="146"/>
      <c r="AA911" s="146"/>
      <c r="AB911" s="146"/>
      <c r="AC911" s="146"/>
      <c r="AD911" s="146"/>
      <c r="AE911" s="146"/>
      <c r="AF911" s="146"/>
      <c r="AG911" s="146"/>
      <c r="AH911" s="146"/>
      <c r="AI911" s="146"/>
    </row>
    <row r="912" spans="1:35" ht="13.5" customHeight="1" x14ac:dyDescent="0.25">
      <c r="A912" s="28"/>
      <c r="B912" s="28"/>
      <c r="C912" s="28"/>
      <c r="D912" s="28"/>
      <c r="E912" s="28"/>
      <c r="F912" s="28"/>
      <c r="G912" s="29"/>
      <c r="H912" s="28"/>
      <c r="I912" s="147"/>
      <c r="J912" s="147"/>
      <c r="K912" s="146"/>
      <c r="L912" s="146"/>
      <c r="M912" s="146"/>
      <c r="N912" s="146"/>
      <c r="O912" s="146"/>
      <c r="P912" s="146"/>
      <c r="Q912" s="30"/>
      <c r="R912" s="146"/>
      <c r="S912" s="147"/>
      <c r="T912" s="146"/>
      <c r="U912" s="146"/>
      <c r="V912" s="146"/>
      <c r="W912" s="146"/>
      <c r="X912" s="146"/>
      <c r="Y912" s="146"/>
      <c r="Z912" s="146"/>
      <c r="AA912" s="146"/>
      <c r="AB912" s="146"/>
      <c r="AC912" s="146"/>
      <c r="AD912" s="146"/>
      <c r="AE912" s="146"/>
      <c r="AF912" s="146"/>
      <c r="AG912" s="146"/>
      <c r="AH912" s="146"/>
      <c r="AI912" s="146"/>
    </row>
    <row r="913" spans="1:35" ht="13.5" customHeight="1" x14ac:dyDescent="0.25">
      <c r="A913" s="28"/>
      <c r="B913" s="28"/>
      <c r="C913" s="28"/>
      <c r="D913" s="28"/>
      <c r="E913" s="28"/>
      <c r="F913" s="28"/>
      <c r="G913" s="29"/>
      <c r="H913" s="28"/>
      <c r="I913" s="147"/>
      <c r="J913" s="147"/>
      <c r="K913" s="146"/>
      <c r="L913" s="146"/>
      <c r="M913" s="146"/>
      <c r="N913" s="146"/>
      <c r="O913" s="146"/>
      <c r="P913" s="146"/>
      <c r="Q913" s="30"/>
      <c r="R913" s="146"/>
      <c r="S913" s="147"/>
      <c r="T913" s="146"/>
      <c r="U913" s="146"/>
      <c r="V913" s="146"/>
      <c r="W913" s="146"/>
      <c r="X913" s="146"/>
      <c r="Y913" s="146"/>
      <c r="Z913" s="146"/>
      <c r="AA913" s="146"/>
      <c r="AB913" s="146"/>
      <c r="AC913" s="146"/>
      <c r="AD913" s="146"/>
      <c r="AE913" s="146"/>
      <c r="AF913" s="146"/>
      <c r="AG913" s="146"/>
      <c r="AH913" s="146"/>
      <c r="AI913" s="146"/>
    </row>
    <row r="914" spans="1:35" ht="13.5" customHeight="1" x14ac:dyDescent="0.25">
      <c r="A914" s="28"/>
      <c r="B914" s="28"/>
      <c r="C914" s="28"/>
      <c r="D914" s="28"/>
      <c r="E914" s="28"/>
      <c r="F914" s="28"/>
      <c r="G914" s="29"/>
      <c r="H914" s="28"/>
      <c r="I914" s="147"/>
      <c r="J914" s="147"/>
      <c r="K914" s="146"/>
      <c r="L914" s="146"/>
      <c r="M914" s="146"/>
      <c r="N914" s="146"/>
      <c r="O914" s="146"/>
      <c r="P914" s="146"/>
      <c r="Q914" s="30"/>
      <c r="R914" s="146"/>
      <c r="S914" s="147"/>
      <c r="T914" s="146"/>
      <c r="U914" s="146"/>
      <c r="V914" s="146"/>
      <c r="W914" s="146"/>
      <c r="X914" s="146"/>
      <c r="Y914" s="146"/>
      <c r="Z914" s="146"/>
      <c r="AA914" s="146"/>
      <c r="AB914" s="146"/>
      <c r="AC914" s="146"/>
      <c r="AD914" s="146"/>
      <c r="AE914" s="146"/>
      <c r="AF914" s="146"/>
      <c r="AG914" s="146"/>
      <c r="AH914" s="146"/>
      <c r="AI914" s="146"/>
    </row>
    <row r="915" spans="1:35" ht="13.5" customHeight="1" x14ac:dyDescent="0.25">
      <c r="A915" s="28"/>
      <c r="B915" s="28"/>
      <c r="C915" s="28"/>
      <c r="D915" s="28"/>
      <c r="E915" s="28"/>
      <c r="F915" s="28"/>
      <c r="G915" s="29"/>
      <c r="H915" s="28"/>
      <c r="I915" s="147"/>
      <c r="J915" s="147"/>
      <c r="K915" s="146"/>
      <c r="L915" s="146"/>
      <c r="M915" s="146"/>
      <c r="N915" s="146"/>
      <c r="O915" s="146"/>
      <c r="P915" s="146"/>
      <c r="Q915" s="30"/>
      <c r="R915" s="146"/>
      <c r="S915" s="147"/>
      <c r="T915" s="146"/>
      <c r="U915" s="146"/>
      <c r="V915" s="146"/>
      <c r="W915" s="146"/>
      <c r="X915" s="146"/>
      <c r="Y915" s="146"/>
      <c r="Z915" s="146"/>
      <c r="AA915" s="146"/>
      <c r="AB915" s="146"/>
      <c r="AC915" s="146"/>
      <c r="AD915" s="146"/>
      <c r="AE915" s="146"/>
      <c r="AF915" s="146"/>
      <c r="AG915" s="146"/>
      <c r="AH915" s="146"/>
      <c r="AI915" s="146"/>
    </row>
    <row r="916" spans="1:35" ht="13.5" customHeight="1" x14ac:dyDescent="0.25">
      <c r="A916" s="28"/>
      <c r="B916" s="28"/>
      <c r="C916" s="28"/>
      <c r="D916" s="28"/>
      <c r="E916" s="28"/>
      <c r="F916" s="28"/>
      <c r="G916" s="29"/>
      <c r="H916" s="28"/>
      <c r="I916" s="147"/>
      <c r="J916" s="147"/>
      <c r="K916" s="146"/>
      <c r="L916" s="146"/>
      <c r="M916" s="146"/>
      <c r="N916" s="146"/>
      <c r="O916" s="146"/>
      <c r="P916" s="146"/>
      <c r="Q916" s="30"/>
      <c r="R916" s="146"/>
      <c r="S916" s="147"/>
      <c r="T916" s="146"/>
      <c r="U916" s="146"/>
      <c r="V916" s="146"/>
      <c r="W916" s="146"/>
      <c r="X916" s="146"/>
      <c r="Y916" s="146"/>
      <c r="Z916" s="146"/>
      <c r="AA916" s="146"/>
      <c r="AB916" s="146"/>
      <c r="AC916" s="146"/>
      <c r="AD916" s="146"/>
      <c r="AE916" s="146"/>
      <c r="AF916" s="146"/>
      <c r="AG916" s="146"/>
      <c r="AH916" s="146"/>
      <c r="AI916" s="146"/>
    </row>
    <row r="917" spans="1:35" ht="13.5" customHeight="1" x14ac:dyDescent="0.25">
      <c r="A917" s="28"/>
      <c r="B917" s="28"/>
      <c r="C917" s="28"/>
      <c r="D917" s="28"/>
      <c r="E917" s="28"/>
      <c r="F917" s="28"/>
      <c r="G917" s="29"/>
      <c r="H917" s="28"/>
      <c r="I917" s="147"/>
      <c r="J917" s="147"/>
      <c r="K917" s="146"/>
      <c r="L917" s="146"/>
      <c r="M917" s="146"/>
      <c r="N917" s="146"/>
      <c r="O917" s="146"/>
      <c r="P917" s="146"/>
      <c r="Q917" s="30"/>
      <c r="R917" s="146"/>
      <c r="S917" s="147"/>
      <c r="T917" s="146"/>
      <c r="U917" s="146"/>
      <c r="V917" s="146"/>
      <c r="W917" s="146"/>
      <c r="X917" s="146"/>
      <c r="Y917" s="146"/>
      <c r="Z917" s="146"/>
      <c r="AA917" s="146"/>
      <c r="AB917" s="146"/>
      <c r="AC917" s="146"/>
      <c r="AD917" s="146"/>
      <c r="AE917" s="146"/>
      <c r="AF917" s="146"/>
      <c r="AG917" s="146"/>
      <c r="AH917" s="146"/>
      <c r="AI917" s="146"/>
    </row>
    <row r="918" spans="1:35" ht="13.5" customHeight="1" x14ac:dyDescent="0.25">
      <c r="A918" s="28"/>
      <c r="B918" s="28"/>
      <c r="C918" s="28"/>
      <c r="D918" s="28"/>
      <c r="E918" s="28"/>
      <c r="F918" s="28"/>
      <c r="G918" s="29"/>
      <c r="H918" s="28"/>
      <c r="I918" s="147"/>
      <c r="J918" s="147"/>
      <c r="K918" s="146"/>
      <c r="L918" s="146"/>
      <c r="M918" s="146"/>
      <c r="N918" s="146"/>
      <c r="O918" s="146"/>
      <c r="P918" s="146"/>
      <c r="Q918" s="30"/>
      <c r="R918" s="146"/>
      <c r="S918" s="147"/>
      <c r="T918" s="146"/>
      <c r="U918" s="146"/>
      <c r="V918" s="146"/>
      <c r="W918" s="146"/>
      <c r="X918" s="146"/>
      <c r="Y918" s="146"/>
      <c r="Z918" s="146"/>
      <c r="AA918" s="146"/>
      <c r="AB918" s="146"/>
      <c r="AC918" s="146"/>
      <c r="AD918" s="146"/>
      <c r="AE918" s="146"/>
      <c r="AF918" s="146"/>
      <c r="AG918" s="146"/>
      <c r="AH918" s="146"/>
      <c r="AI918" s="146"/>
    </row>
    <row r="919" spans="1:35" ht="13.5" customHeight="1" x14ac:dyDescent="0.25">
      <c r="A919" s="28"/>
      <c r="B919" s="28"/>
      <c r="C919" s="28"/>
      <c r="D919" s="28"/>
      <c r="E919" s="28"/>
      <c r="F919" s="28"/>
      <c r="G919" s="29"/>
      <c r="H919" s="28"/>
      <c r="I919" s="147"/>
      <c r="J919" s="147"/>
      <c r="K919" s="146"/>
      <c r="L919" s="146"/>
      <c r="M919" s="146"/>
      <c r="N919" s="146"/>
      <c r="O919" s="146"/>
      <c r="P919" s="146"/>
      <c r="Q919" s="30"/>
      <c r="R919" s="146"/>
      <c r="S919" s="147"/>
      <c r="T919" s="146"/>
      <c r="U919" s="146"/>
      <c r="V919" s="146"/>
      <c r="W919" s="146"/>
      <c r="X919" s="146"/>
      <c r="Y919" s="146"/>
      <c r="Z919" s="146"/>
      <c r="AA919" s="146"/>
      <c r="AB919" s="146"/>
      <c r="AC919" s="146"/>
      <c r="AD919" s="146"/>
      <c r="AE919" s="146"/>
      <c r="AF919" s="146"/>
      <c r="AG919" s="146"/>
      <c r="AH919" s="146"/>
      <c r="AI919" s="146"/>
    </row>
    <row r="920" spans="1:35" ht="13.5" customHeight="1" x14ac:dyDescent="0.25">
      <c r="A920" s="28"/>
      <c r="B920" s="28"/>
      <c r="C920" s="28"/>
      <c r="D920" s="28"/>
      <c r="E920" s="28"/>
      <c r="F920" s="28"/>
      <c r="G920" s="29"/>
      <c r="H920" s="28"/>
      <c r="I920" s="147"/>
      <c r="J920" s="147"/>
      <c r="K920" s="146"/>
      <c r="L920" s="146"/>
      <c r="M920" s="146"/>
      <c r="N920" s="146"/>
      <c r="O920" s="146"/>
      <c r="P920" s="146"/>
      <c r="Q920" s="30"/>
      <c r="R920" s="146"/>
      <c r="S920" s="147"/>
      <c r="T920" s="146"/>
      <c r="U920" s="146"/>
      <c r="V920" s="146"/>
      <c r="W920" s="146"/>
      <c r="X920" s="146"/>
      <c r="Y920" s="146"/>
      <c r="Z920" s="146"/>
      <c r="AA920" s="146"/>
      <c r="AB920" s="146"/>
      <c r="AC920" s="146"/>
      <c r="AD920" s="146"/>
      <c r="AE920" s="146"/>
      <c r="AF920" s="146"/>
      <c r="AG920" s="146"/>
      <c r="AH920" s="146"/>
      <c r="AI920" s="146"/>
    </row>
    <row r="921" spans="1:35" ht="13.5" customHeight="1" x14ac:dyDescent="0.25">
      <c r="A921" s="28"/>
      <c r="B921" s="28"/>
      <c r="C921" s="28"/>
      <c r="D921" s="28"/>
      <c r="E921" s="28"/>
      <c r="F921" s="28"/>
      <c r="G921" s="29"/>
      <c r="H921" s="28"/>
      <c r="I921" s="147"/>
      <c r="J921" s="147"/>
      <c r="K921" s="146"/>
      <c r="L921" s="146"/>
      <c r="M921" s="146"/>
      <c r="N921" s="146"/>
      <c r="O921" s="146"/>
      <c r="P921" s="146"/>
      <c r="Q921" s="30"/>
      <c r="R921" s="146"/>
      <c r="S921" s="147"/>
      <c r="T921" s="146"/>
      <c r="U921" s="146"/>
      <c r="V921" s="146"/>
      <c r="W921" s="146"/>
      <c r="X921" s="146"/>
      <c r="Y921" s="146"/>
      <c r="Z921" s="146"/>
      <c r="AA921" s="146"/>
      <c r="AB921" s="146"/>
      <c r="AC921" s="146"/>
      <c r="AD921" s="146"/>
      <c r="AE921" s="146"/>
      <c r="AF921" s="146"/>
      <c r="AG921" s="146"/>
      <c r="AH921" s="146"/>
      <c r="AI921" s="146"/>
    </row>
    <row r="922" spans="1:35" ht="13.5" customHeight="1" x14ac:dyDescent="0.25">
      <c r="A922" s="28"/>
      <c r="B922" s="28"/>
      <c r="C922" s="28"/>
      <c r="D922" s="28"/>
      <c r="E922" s="28"/>
      <c r="F922" s="28"/>
      <c r="G922" s="29"/>
      <c r="H922" s="28"/>
      <c r="I922" s="147"/>
      <c r="J922" s="147"/>
      <c r="K922" s="146"/>
      <c r="L922" s="146"/>
      <c r="M922" s="146"/>
      <c r="N922" s="146"/>
      <c r="O922" s="146"/>
      <c r="P922" s="146"/>
      <c r="Q922" s="30"/>
      <c r="R922" s="146"/>
      <c r="S922" s="147"/>
      <c r="T922" s="146"/>
      <c r="U922" s="146"/>
      <c r="V922" s="146"/>
      <c r="W922" s="146"/>
      <c r="X922" s="146"/>
      <c r="Y922" s="146"/>
      <c r="Z922" s="146"/>
      <c r="AA922" s="146"/>
      <c r="AB922" s="146"/>
      <c r="AC922" s="146"/>
      <c r="AD922" s="146"/>
      <c r="AE922" s="146"/>
      <c r="AF922" s="146"/>
      <c r="AG922" s="146"/>
      <c r="AH922" s="146"/>
      <c r="AI922" s="146"/>
    </row>
    <row r="923" spans="1:35" ht="13.5" customHeight="1" x14ac:dyDescent="0.25">
      <c r="A923" s="28"/>
      <c r="B923" s="28"/>
      <c r="C923" s="28"/>
      <c r="D923" s="28"/>
      <c r="E923" s="28"/>
      <c r="F923" s="28"/>
      <c r="G923" s="29"/>
      <c r="H923" s="28"/>
      <c r="I923" s="147"/>
      <c r="J923" s="147"/>
      <c r="K923" s="146"/>
      <c r="L923" s="146"/>
      <c r="M923" s="146"/>
      <c r="N923" s="146"/>
      <c r="O923" s="146"/>
      <c r="P923" s="146"/>
      <c r="Q923" s="30"/>
      <c r="R923" s="146"/>
      <c r="S923" s="147"/>
      <c r="T923" s="146"/>
      <c r="U923" s="146"/>
      <c r="V923" s="146"/>
      <c r="W923" s="146"/>
      <c r="X923" s="146"/>
      <c r="Y923" s="146"/>
      <c r="Z923" s="146"/>
      <c r="AA923" s="146"/>
      <c r="AB923" s="146"/>
      <c r="AC923" s="146"/>
      <c r="AD923" s="146"/>
      <c r="AE923" s="146"/>
      <c r="AF923" s="146"/>
      <c r="AG923" s="146"/>
      <c r="AH923" s="146"/>
      <c r="AI923" s="146"/>
    </row>
    <row r="924" spans="1:35" ht="13.5" customHeight="1" x14ac:dyDescent="0.25">
      <c r="A924" s="28"/>
      <c r="B924" s="28"/>
      <c r="C924" s="28"/>
      <c r="D924" s="28"/>
      <c r="E924" s="28"/>
      <c r="F924" s="28"/>
      <c r="G924" s="29"/>
      <c r="H924" s="28"/>
      <c r="I924" s="147"/>
      <c r="J924" s="147"/>
      <c r="K924" s="146"/>
      <c r="L924" s="146"/>
      <c r="M924" s="146"/>
      <c r="N924" s="146"/>
      <c r="O924" s="146"/>
      <c r="P924" s="146"/>
      <c r="Q924" s="30"/>
      <c r="R924" s="146"/>
      <c r="S924" s="147"/>
      <c r="T924" s="146"/>
      <c r="U924" s="146"/>
      <c r="V924" s="146"/>
      <c r="W924" s="146"/>
      <c r="X924" s="146"/>
      <c r="Y924" s="146"/>
      <c r="Z924" s="146"/>
      <c r="AA924" s="146"/>
      <c r="AB924" s="146"/>
      <c r="AC924" s="146"/>
      <c r="AD924" s="146"/>
      <c r="AE924" s="146"/>
      <c r="AF924" s="146"/>
      <c r="AG924" s="146"/>
      <c r="AH924" s="146"/>
      <c r="AI924" s="146"/>
    </row>
    <row r="925" spans="1:35" ht="13.5" customHeight="1" x14ac:dyDescent="0.25">
      <c r="A925" s="28"/>
      <c r="B925" s="28"/>
      <c r="C925" s="28"/>
      <c r="D925" s="28"/>
      <c r="E925" s="28"/>
      <c r="F925" s="28"/>
      <c r="G925" s="29"/>
      <c r="H925" s="28"/>
      <c r="I925" s="147"/>
      <c r="J925" s="147"/>
      <c r="K925" s="146"/>
      <c r="L925" s="146"/>
      <c r="M925" s="146"/>
      <c r="N925" s="146"/>
      <c r="O925" s="146"/>
      <c r="P925" s="146"/>
      <c r="Q925" s="30"/>
      <c r="R925" s="146"/>
      <c r="S925" s="147"/>
      <c r="T925" s="146"/>
      <c r="U925" s="146"/>
      <c r="V925" s="146"/>
      <c r="W925" s="146"/>
      <c r="X925" s="146"/>
      <c r="Y925" s="146"/>
      <c r="Z925" s="146"/>
      <c r="AA925" s="146"/>
      <c r="AB925" s="146"/>
      <c r="AC925" s="146"/>
      <c r="AD925" s="146"/>
      <c r="AE925" s="146"/>
      <c r="AF925" s="146"/>
      <c r="AG925" s="146"/>
      <c r="AH925" s="146"/>
      <c r="AI925" s="146"/>
    </row>
    <row r="926" spans="1:35" ht="13.5" customHeight="1" x14ac:dyDescent="0.25">
      <c r="A926" s="28"/>
      <c r="B926" s="28"/>
      <c r="C926" s="28"/>
      <c r="D926" s="28"/>
      <c r="E926" s="28"/>
      <c r="F926" s="28"/>
      <c r="G926" s="29"/>
      <c r="H926" s="28"/>
      <c r="I926" s="147"/>
      <c r="J926" s="147"/>
      <c r="K926" s="146"/>
      <c r="L926" s="146"/>
      <c r="M926" s="146"/>
      <c r="N926" s="146"/>
      <c r="O926" s="146"/>
      <c r="P926" s="146"/>
      <c r="Q926" s="30"/>
      <c r="R926" s="146"/>
      <c r="S926" s="147"/>
      <c r="T926" s="146"/>
      <c r="U926" s="146"/>
      <c r="V926" s="146"/>
      <c r="W926" s="146"/>
      <c r="X926" s="146"/>
      <c r="Y926" s="146"/>
      <c r="Z926" s="146"/>
      <c r="AA926" s="146"/>
      <c r="AB926" s="146"/>
      <c r="AC926" s="146"/>
      <c r="AD926" s="146"/>
      <c r="AE926" s="146"/>
      <c r="AF926" s="146"/>
      <c r="AG926" s="146"/>
      <c r="AH926" s="146"/>
      <c r="AI926" s="146"/>
    </row>
    <row r="927" spans="1:35" ht="13.5" customHeight="1" x14ac:dyDescent="0.25">
      <c r="A927" s="28"/>
      <c r="B927" s="28"/>
      <c r="C927" s="28"/>
      <c r="D927" s="28"/>
      <c r="E927" s="28"/>
      <c r="F927" s="28"/>
      <c r="G927" s="29"/>
      <c r="H927" s="28"/>
      <c r="I927" s="147"/>
      <c r="J927" s="147"/>
      <c r="K927" s="146"/>
      <c r="L927" s="146"/>
      <c r="M927" s="146"/>
      <c r="N927" s="146"/>
      <c r="O927" s="146"/>
      <c r="P927" s="146"/>
      <c r="Q927" s="30"/>
      <c r="R927" s="146"/>
      <c r="S927" s="147"/>
      <c r="T927" s="146"/>
      <c r="U927" s="146"/>
      <c r="V927" s="146"/>
      <c r="W927" s="146"/>
      <c r="X927" s="146"/>
      <c r="Y927" s="146"/>
      <c r="Z927" s="146"/>
      <c r="AA927" s="146"/>
      <c r="AB927" s="146"/>
      <c r="AC927" s="146"/>
      <c r="AD927" s="146"/>
      <c r="AE927" s="146"/>
      <c r="AF927" s="146"/>
      <c r="AG927" s="146"/>
      <c r="AH927" s="146"/>
      <c r="AI927" s="146"/>
    </row>
    <row r="928" spans="1:35" ht="13.5" customHeight="1" x14ac:dyDescent="0.25">
      <c r="A928" s="28"/>
      <c r="B928" s="28"/>
      <c r="C928" s="28"/>
      <c r="D928" s="28"/>
      <c r="E928" s="28"/>
      <c r="F928" s="28"/>
      <c r="G928" s="29"/>
      <c r="H928" s="28"/>
      <c r="I928" s="147"/>
      <c r="J928" s="147"/>
      <c r="K928" s="146"/>
      <c r="L928" s="146"/>
      <c r="M928" s="146"/>
      <c r="N928" s="146"/>
      <c r="O928" s="146"/>
      <c r="P928" s="146"/>
      <c r="Q928" s="30"/>
      <c r="R928" s="146"/>
      <c r="S928" s="147"/>
      <c r="T928" s="146"/>
      <c r="U928" s="146"/>
      <c r="V928" s="146"/>
      <c r="W928" s="146"/>
      <c r="X928" s="146"/>
      <c r="Y928" s="146"/>
      <c r="Z928" s="146"/>
      <c r="AA928" s="146"/>
      <c r="AB928" s="146"/>
      <c r="AC928" s="146"/>
      <c r="AD928" s="146"/>
      <c r="AE928" s="146"/>
      <c r="AF928" s="146"/>
      <c r="AG928" s="146"/>
      <c r="AH928" s="146"/>
      <c r="AI928" s="146"/>
    </row>
    <row r="929" spans="1:35" ht="13.5" customHeight="1" x14ac:dyDescent="0.25">
      <c r="A929" s="28"/>
      <c r="B929" s="28"/>
      <c r="C929" s="28"/>
      <c r="D929" s="28"/>
      <c r="E929" s="28"/>
      <c r="F929" s="28"/>
      <c r="G929" s="29"/>
      <c r="H929" s="28"/>
      <c r="I929" s="147"/>
      <c r="J929" s="147"/>
      <c r="K929" s="146"/>
      <c r="L929" s="146"/>
      <c r="M929" s="146"/>
      <c r="N929" s="146"/>
      <c r="O929" s="146"/>
      <c r="P929" s="146"/>
      <c r="Q929" s="30"/>
      <c r="R929" s="146"/>
      <c r="S929" s="147"/>
      <c r="T929" s="146"/>
      <c r="U929" s="146"/>
      <c r="V929" s="146"/>
      <c r="W929" s="146"/>
      <c r="X929" s="146"/>
      <c r="Y929" s="146"/>
      <c r="Z929" s="146"/>
      <c r="AA929" s="146"/>
      <c r="AB929" s="146"/>
      <c r="AC929" s="146"/>
      <c r="AD929" s="146"/>
      <c r="AE929" s="146"/>
      <c r="AF929" s="146"/>
      <c r="AG929" s="146"/>
      <c r="AH929" s="146"/>
      <c r="AI929" s="146"/>
    </row>
    <row r="930" spans="1:35" ht="13.5" customHeight="1" x14ac:dyDescent="0.25">
      <c r="A930" s="28"/>
      <c r="B930" s="28"/>
      <c r="C930" s="28"/>
      <c r="D930" s="28"/>
      <c r="E930" s="28"/>
      <c r="F930" s="28"/>
      <c r="G930" s="29"/>
      <c r="H930" s="28"/>
      <c r="I930" s="147"/>
      <c r="J930" s="147"/>
      <c r="K930" s="146"/>
      <c r="L930" s="146"/>
      <c r="M930" s="146"/>
      <c r="N930" s="146"/>
      <c r="O930" s="146"/>
      <c r="P930" s="146"/>
      <c r="Q930" s="30"/>
      <c r="R930" s="146"/>
      <c r="S930" s="147"/>
      <c r="T930" s="146"/>
      <c r="U930" s="146"/>
      <c r="V930" s="146"/>
      <c r="W930" s="146"/>
      <c r="X930" s="146"/>
      <c r="Y930" s="146"/>
      <c r="Z930" s="146"/>
      <c r="AA930" s="146"/>
      <c r="AB930" s="146"/>
      <c r="AC930" s="146"/>
      <c r="AD930" s="146"/>
      <c r="AE930" s="146"/>
      <c r="AF930" s="146"/>
      <c r="AG930" s="146"/>
      <c r="AH930" s="146"/>
      <c r="AI930" s="146"/>
    </row>
    <row r="931" spans="1:35" ht="13.5" customHeight="1" x14ac:dyDescent="0.25">
      <c r="A931" s="28"/>
      <c r="B931" s="28"/>
      <c r="C931" s="28"/>
      <c r="D931" s="28"/>
      <c r="E931" s="28"/>
      <c r="F931" s="28"/>
      <c r="G931" s="29"/>
      <c r="H931" s="28"/>
      <c r="I931" s="147"/>
      <c r="J931" s="147"/>
      <c r="K931" s="146"/>
      <c r="L931" s="146"/>
      <c r="M931" s="146"/>
      <c r="N931" s="146"/>
      <c r="O931" s="146"/>
      <c r="P931" s="146"/>
      <c r="Q931" s="30"/>
      <c r="R931" s="146"/>
      <c r="S931" s="147"/>
      <c r="T931" s="146"/>
      <c r="U931" s="146"/>
      <c r="V931" s="146"/>
      <c r="W931" s="146"/>
      <c r="X931" s="146"/>
      <c r="Y931" s="146"/>
      <c r="Z931" s="146"/>
      <c r="AA931" s="146"/>
      <c r="AB931" s="146"/>
      <c r="AC931" s="146"/>
      <c r="AD931" s="146"/>
      <c r="AE931" s="146"/>
      <c r="AF931" s="146"/>
      <c r="AG931" s="146"/>
      <c r="AH931" s="146"/>
      <c r="AI931" s="146"/>
    </row>
    <row r="932" spans="1:35" ht="13.5" customHeight="1" x14ac:dyDescent="0.25">
      <c r="A932" s="28"/>
      <c r="B932" s="28"/>
      <c r="C932" s="28"/>
      <c r="D932" s="28"/>
      <c r="E932" s="28"/>
      <c r="F932" s="28"/>
      <c r="G932" s="29"/>
      <c r="H932" s="28"/>
      <c r="I932" s="147"/>
      <c r="J932" s="147"/>
      <c r="K932" s="146"/>
      <c r="L932" s="146"/>
      <c r="M932" s="146"/>
      <c r="N932" s="146"/>
      <c r="O932" s="146"/>
      <c r="P932" s="146"/>
      <c r="Q932" s="30"/>
      <c r="R932" s="146"/>
      <c r="S932" s="147"/>
      <c r="T932" s="146"/>
      <c r="U932" s="146"/>
      <c r="V932" s="146"/>
      <c r="W932" s="146"/>
      <c r="X932" s="146"/>
      <c r="Y932" s="146"/>
      <c r="Z932" s="146"/>
      <c r="AA932" s="146"/>
      <c r="AB932" s="146"/>
      <c r="AC932" s="146"/>
      <c r="AD932" s="146"/>
      <c r="AE932" s="146"/>
      <c r="AF932" s="146"/>
      <c r="AG932" s="146"/>
      <c r="AH932" s="146"/>
      <c r="AI932" s="146"/>
    </row>
    <row r="933" spans="1:35" ht="13.5" customHeight="1" x14ac:dyDescent="0.25">
      <c r="A933" s="28"/>
      <c r="B933" s="28"/>
      <c r="C933" s="28"/>
      <c r="D933" s="28"/>
      <c r="E933" s="28"/>
      <c r="F933" s="28"/>
      <c r="G933" s="29"/>
      <c r="H933" s="28"/>
      <c r="I933" s="147"/>
      <c r="J933" s="147"/>
      <c r="K933" s="146"/>
      <c r="L933" s="146"/>
      <c r="M933" s="146"/>
      <c r="N933" s="146"/>
      <c r="O933" s="146"/>
      <c r="P933" s="146"/>
      <c r="Q933" s="30"/>
      <c r="R933" s="146"/>
      <c r="S933" s="147"/>
      <c r="T933" s="146"/>
      <c r="U933" s="146"/>
      <c r="V933" s="146"/>
      <c r="W933" s="146"/>
      <c r="X933" s="146"/>
      <c r="Y933" s="146"/>
      <c r="Z933" s="146"/>
      <c r="AA933" s="146"/>
      <c r="AB933" s="146"/>
      <c r="AC933" s="146"/>
      <c r="AD933" s="146"/>
      <c r="AE933" s="146"/>
      <c r="AF933" s="146"/>
      <c r="AG933" s="146"/>
      <c r="AH933" s="146"/>
      <c r="AI933" s="146"/>
    </row>
    <row r="934" spans="1:35" ht="13.5" customHeight="1" x14ac:dyDescent="0.25">
      <c r="A934" s="28"/>
      <c r="B934" s="28"/>
      <c r="C934" s="28"/>
      <c r="D934" s="28"/>
      <c r="E934" s="28"/>
      <c r="F934" s="28"/>
      <c r="G934" s="29"/>
      <c r="H934" s="28"/>
      <c r="I934" s="147"/>
      <c r="J934" s="147"/>
      <c r="K934" s="146"/>
      <c r="L934" s="146"/>
      <c r="M934" s="146"/>
      <c r="N934" s="146"/>
      <c r="O934" s="146"/>
      <c r="P934" s="146"/>
      <c r="Q934" s="30"/>
      <c r="R934" s="146"/>
      <c r="S934" s="147"/>
      <c r="T934" s="146"/>
      <c r="U934" s="146"/>
      <c r="V934" s="146"/>
      <c r="W934" s="146"/>
      <c r="X934" s="146"/>
      <c r="Y934" s="146"/>
      <c r="Z934" s="146"/>
      <c r="AA934" s="146"/>
      <c r="AB934" s="146"/>
      <c r="AC934" s="146"/>
      <c r="AD934" s="146"/>
      <c r="AE934" s="146"/>
      <c r="AF934" s="146"/>
      <c r="AG934" s="146"/>
      <c r="AH934" s="146"/>
      <c r="AI934" s="146"/>
    </row>
    <row r="935" spans="1:35" ht="13.5" customHeight="1" x14ac:dyDescent="0.25">
      <c r="A935" s="28"/>
      <c r="B935" s="28"/>
      <c r="C935" s="28"/>
      <c r="D935" s="28"/>
      <c r="E935" s="28"/>
      <c r="F935" s="28"/>
      <c r="G935" s="29"/>
      <c r="H935" s="28"/>
      <c r="I935" s="147"/>
      <c r="J935" s="147"/>
      <c r="K935" s="146"/>
      <c r="L935" s="146"/>
      <c r="M935" s="146"/>
      <c r="N935" s="146"/>
      <c r="O935" s="146"/>
      <c r="P935" s="146"/>
      <c r="Q935" s="30"/>
      <c r="R935" s="146"/>
      <c r="S935" s="147"/>
      <c r="T935" s="146"/>
      <c r="U935" s="146"/>
      <c r="V935" s="146"/>
      <c r="W935" s="146"/>
      <c r="X935" s="146"/>
      <c r="Y935" s="146"/>
      <c r="Z935" s="146"/>
      <c r="AA935" s="146"/>
      <c r="AB935" s="146"/>
      <c r="AC935" s="146"/>
      <c r="AD935" s="146"/>
      <c r="AE935" s="146"/>
      <c r="AF935" s="146"/>
      <c r="AG935" s="146"/>
      <c r="AH935" s="146"/>
      <c r="AI935" s="146"/>
    </row>
    <row r="936" spans="1:35" ht="13.5" customHeight="1" x14ac:dyDescent="0.25">
      <c r="A936" s="28"/>
      <c r="B936" s="28"/>
      <c r="C936" s="28"/>
      <c r="D936" s="28"/>
      <c r="E936" s="28"/>
      <c r="F936" s="28"/>
      <c r="G936" s="29"/>
      <c r="H936" s="28"/>
      <c r="I936" s="147"/>
      <c r="J936" s="147"/>
      <c r="K936" s="146"/>
      <c r="L936" s="146"/>
      <c r="M936" s="146"/>
      <c r="N936" s="146"/>
      <c r="O936" s="146"/>
      <c r="P936" s="146"/>
      <c r="Q936" s="30"/>
      <c r="R936" s="146"/>
      <c r="S936" s="147"/>
      <c r="T936" s="146"/>
      <c r="U936" s="146"/>
      <c r="V936" s="146"/>
      <c r="W936" s="146"/>
      <c r="X936" s="146"/>
      <c r="Y936" s="146"/>
      <c r="Z936" s="146"/>
      <c r="AA936" s="146"/>
      <c r="AB936" s="146"/>
      <c r="AC936" s="146"/>
      <c r="AD936" s="146"/>
      <c r="AE936" s="146"/>
      <c r="AF936" s="146"/>
      <c r="AG936" s="146"/>
      <c r="AH936" s="146"/>
      <c r="AI936" s="146"/>
    </row>
    <row r="937" spans="1:35" ht="13.5" customHeight="1" x14ac:dyDescent="0.25">
      <c r="A937" s="28"/>
      <c r="B937" s="28"/>
      <c r="C937" s="28"/>
      <c r="D937" s="28"/>
      <c r="E937" s="28"/>
      <c r="F937" s="28"/>
      <c r="G937" s="29"/>
      <c r="H937" s="28"/>
      <c r="I937" s="147"/>
      <c r="J937" s="147"/>
      <c r="K937" s="146"/>
      <c r="L937" s="146"/>
      <c r="M937" s="146"/>
      <c r="N937" s="146"/>
      <c r="O937" s="146"/>
      <c r="P937" s="146"/>
      <c r="Q937" s="30"/>
      <c r="R937" s="146"/>
      <c r="S937" s="147"/>
      <c r="T937" s="146"/>
      <c r="U937" s="146"/>
      <c r="V937" s="146"/>
      <c r="W937" s="146"/>
      <c r="X937" s="146"/>
      <c r="Y937" s="146"/>
      <c r="Z937" s="146"/>
      <c r="AA937" s="146"/>
      <c r="AB937" s="146"/>
      <c r="AC937" s="146"/>
      <c r="AD937" s="146"/>
      <c r="AE937" s="146"/>
      <c r="AF937" s="146"/>
      <c r="AG937" s="146"/>
      <c r="AH937" s="146"/>
      <c r="AI937" s="146"/>
    </row>
    <row r="938" spans="1:35" ht="13.5" customHeight="1" x14ac:dyDescent="0.25">
      <c r="A938" s="28"/>
      <c r="B938" s="28"/>
      <c r="C938" s="28"/>
      <c r="D938" s="28"/>
      <c r="E938" s="28"/>
      <c r="F938" s="28"/>
      <c r="G938" s="29"/>
      <c r="H938" s="28"/>
      <c r="I938" s="147"/>
      <c r="J938" s="147"/>
      <c r="K938" s="146"/>
      <c r="L938" s="146"/>
      <c r="M938" s="146"/>
      <c r="N938" s="146"/>
      <c r="O938" s="146"/>
      <c r="P938" s="146"/>
      <c r="Q938" s="30"/>
      <c r="R938" s="146"/>
      <c r="S938" s="147"/>
      <c r="T938" s="146"/>
      <c r="U938" s="146"/>
      <c r="V938" s="146"/>
      <c r="W938" s="146"/>
      <c r="X938" s="146"/>
      <c r="Y938" s="146"/>
      <c r="Z938" s="146"/>
      <c r="AA938" s="146"/>
      <c r="AB938" s="146"/>
      <c r="AC938" s="146"/>
      <c r="AD938" s="146"/>
      <c r="AE938" s="146"/>
      <c r="AF938" s="146"/>
      <c r="AG938" s="146"/>
      <c r="AH938" s="146"/>
      <c r="AI938" s="146"/>
    </row>
    <row r="939" spans="1:35" ht="13.5" customHeight="1" x14ac:dyDescent="0.25">
      <c r="A939" s="28"/>
      <c r="B939" s="28"/>
      <c r="C939" s="28"/>
      <c r="D939" s="28"/>
      <c r="E939" s="28"/>
      <c r="F939" s="28"/>
      <c r="G939" s="29"/>
      <c r="H939" s="28"/>
      <c r="I939" s="147"/>
      <c r="J939" s="147"/>
      <c r="K939" s="146"/>
      <c r="L939" s="146"/>
      <c r="M939" s="146"/>
      <c r="N939" s="146"/>
      <c r="O939" s="146"/>
      <c r="P939" s="146"/>
      <c r="Q939" s="30"/>
      <c r="R939" s="146"/>
      <c r="S939" s="147"/>
      <c r="T939" s="146"/>
      <c r="U939" s="146"/>
      <c r="V939" s="146"/>
      <c r="W939" s="146"/>
      <c r="X939" s="146"/>
      <c r="Y939" s="146"/>
      <c r="Z939" s="146"/>
      <c r="AA939" s="146"/>
      <c r="AB939" s="146"/>
      <c r="AC939" s="146"/>
      <c r="AD939" s="146"/>
      <c r="AE939" s="146"/>
      <c r="AF939" s="146"/>
      <c r="AG939" s="146"/>
      <c r="AH939" s="146"/>
      <c r="AI939" s="146"/>
    </row>
    <row r="940" spans="1:35" ht="13.5" customHeight="1" x14ac:dyDescent="0.25">
      <c r="A940" s="28"/>
      <c r="B940" s="28"/>
      <c r="C940" s="28"/>
      <c r="D940" s="28"/>
      <c r="E940" s="28"/>
      <c r="F940" s="28"/>
      <c r="G940" s="29"/>
      <c r="H940" s="28"/>
      <c r="I940" s="147"/>
      <c r="J940" s="147"/>
      <c r="K940" s="146"/>
      <c r="L940" s="146"/>
      <c r="M940" s="146"/>
      <c r="N940" s="146"/>
      <c r="O940" s="146"/>
      <c r="P940" s="146"/>
      <c r="Q940" s="30"/>
      <c r="R940" s="146"/>
      <c r="S940" s="147"/>
      <c r="T940" s="146"/>
      <c r="U940" s="146"/>
      <c r="V940" s="146"/>
      <c r="W940" s="146"/>
      <c r="X940" s="146"/>
      <c r="Y940" s="146"/>
      <c r="Z940" s="146"/>
      <c r="AA940" s="146"/>
      <c r="AB940" s="146"/>
      <c r="AC940" s="146"/>
      <c r="AD940" s="146"/>
      <c r="AE940" s="146"/>
      <c r="AF940" s="146"/>
      <c r="AG940" s="146"/>
      <c r="AH940" s="146"/>
      <c r="AI940" s="146"/>
    </row>
    <row r="941" spans="1:35" ht="13.5" customHeight="1" x14ac:dyDescent="0.25">
      <c r="A941" s="28"/>
      <c r="B941" s="28"/>
      <c r="C941" s="28"/>
      <c r="D941" s="28"/>
      <c r="E941" s="28"/>
      <c r="F941" s="28"/>
      <c r="G941" s="29"/>
      <c r="H941" s="28"/>
      <c r="I941" s="147"/>
      <c r="J941" s="147"/>
      <c r="K941" s="146"/>
      <c r="L941" s="146"/>
      <c r="M941" s="146"/>
      <c r="N941" s="146"/>
      <c r="O941" s="146"/>
      <c r="P941" s="146"/>
      <c r="Q941" s="30"/>
      <c r="R941" s="146"/>
      <c r="S941" s="147"/>
      <c r="T941" s="146"/>
      <c r="U941" s="146"/>
      <c r="V941" s="146"/>
      <c r="W941" s="146"/>
      <c r="X941" s="146"/>
      <c r="Y941" s="146"/>
      <c r="Z941" s="146"/>
      <c r="AA941" s="146"/>
      <c r="AB941" s="146"/>
      <c r="AC941" s="146"/>
      <c r="AD941" s="146"/>
      <c r="AE941" s="146"/>
      <c r="AF941" s="146"/>
      <c r="AG941" s="146"/>
      <c r="AH941" s="146"/>
      <c r="AI941" s="146"/>
    </row>
    <row r="942" spans="1:35" ht="13.5" customHeight="1" x14ac:dyDescent="0.25">
      <c r="A942" s="28"/>
      <c r="B942" s="28"/>
      <c r="C942" s="28"/>
      <c r="D942" s="28"/>
      <c r="E942" s="28"/>
      <c r="F942" s="28"/>
      <c r="G942" s="29"/>
      <c r="H942" s="28"/>
      <c r="I942" s="147"/>
      <c r="J942" s="147"/>
      <c r="K942" s="146"/>
      <c r="L942" s="146"/>
      <c r="M942" s="146"/>
      <c r="N942" s="146"/>
      <c r="O942" s="146"/>
      <c r="P942" s="146"/>
      <c r="Q942" s="30"/>
      <c r="R942" s="146"/>
      <c r="S942" s="147"/>
      <c r="T942" s="146"/>
      <c r="U942" s="146"/>
      <c r="V942" s="146"/>
      <c r="W942" s="146"/>
      <c r="X942" s="146"/>
      <c r="Y942" s="146"/>
      <c r="Z942" s="146"/>
      <c r="AA942" s="146"/>
      <c r="AB942" s="146"/>
      <c r="AC942" s="146"/>
      <c r="AD942" s="146"/>
      <c r="AE942" s="146"/>
      <c r="AF942" s="146"/>
      <c r="AG942" s="146"/>
      <c r="AH942" s="146"/>
      <c r="AI942" s="146"/>
    </row>
    <row r="943" spans="1:35" ht="13.5" customHeight="1" x14ac:dyDescent="0.25">
      <c r="A943" s="28"/>
      <c r="B943" s="28"/>
      <c r="C943" s="28"/>
      <c r="D943" s="28"/>
      <c r="E943" s="28"/>
      <c r="F943" s="28"/>
      <c r="G943" s="29"/>
      <c r="H943" s="28"/>
      <c r="I943" s="147"/>
      <c r="J943" s="147"/>
      <c r="K943" s="146"/>
      <c r="L943" s="146"/>
      <c r="M943" s="146"/>
      <c r="N943" s="146"/>
      <c r="O943" s="146"/>
      <c r="P943" s="146"/>
      <c r="Q943" s="30"/>
      <c r="R943" s="146"/>
      <c r="S943" s="147"/>
      <c r="T943" s="146"/>
      <c r="U943" s="146"/>
      <c r="V943" s="146"/>
      <c r="W943" s="146"/>
      <c r="X943" s="146"/>
      <c r="Y943" s="146"/>
      <c r="Z943" s="146"/>
      <c r="AA943" s="146"/>
      <c r="AB943" s="146"/>
      <c r="AC943" s="146"/>
      <c r="AD943" s="146"/>
      <c r="AE943" s="146"/>
      <c r="AF943" s="146"/>
      <c r="AG943" s="146"/>
      <c r="AH943" s="146"/>
      <c r="AI943" s="146"/>
    </row>
    <row r="944" spans="1:35" ht="13.5" customHeight="1" x14ac:dyDescent="0.25">
      <c r="A944" s="28"/>
      <c r="B944" s="28"/>
      <c r="C944" s="28"/>
      <c r="D944" s="28"/>
      <c r="E944" s="28"/>
      <c r="F944" s="28"/>
      <c r="G944" s="29"/>
      <c r="H944" s="28"/>
      <c r="I944" s="147"/>
      <c r="J944" s="147"/>
      <c r="K944" s="146"/>
      <c r="L944" s="146"/>
      <c r="M944" s="146"/>
      <c r="N944" s="146"/>
      <c r="O944" s="146"/>
      <c r="P944" s="146"/>
      <c r="Q944" s="30"/>
      <c r="R944" s="146"/>
      <c r="S944" s="147"/>
      <c r="T944" s="146"/>
      <c r="U944" s="146"/>
      <c r="V944" s="146"/>
      <c r="W944" s="146"/>
      <c r="X944" s="146"/>
      <c r="Y944" s="146"/>
      <c r="Z944" s="146"/>
      <c r="AA944" s="146"/>
      <c r="AB944" s="146"/>
      <c r="AC944" s="146"/>
      <c r="AD944" s="146"/>
      <c r="AE944" s="146"/>
      <c r="AF944" s="146"/>
      <c r="AG944" s="146"/>
      <c r="AH944" s="146"/>
      <c r="AI944" s="146"/>
    </row>
    <row r="945" spans="1:35" ht="13.5" customHeight="1" x14ac:dyDescent="0.25">
      <c r="A945" s="28"/>
      <c r="B945" s="28"/>
      <c r="C945" s="28"/>
      <c r="D945" s="28"/>
      <c r="E945" s="28"/>
      <c r="F945" s="28"/>
      <c r="G945" s="29"/>
      <c r="H945" s="28"/>
      <c r="I945" s="147"/>
      <c r="J945" s="147"/>
      <c r="K945" s="146"/>
      <c r="L945" s="146"/>
      <c r="M945" s="146"/>
      <c r="N945" s="146"/>
      <c r="O945" s="146"/>
      <c r="P945" s="146"/>
      <c r="Q945" s="30"/>
      <c r="R945" s="146"/>
      <c r="S945" s="147"/>
      <c r="T945" s="146"/>
      <c r="U945" s="146"/>
      <c r="V945" s="146"/>
      <c r="W945" s="146"/>
      <c r="X945" s="146"/>
      <c r="Y945" s="146"/>
      <c r="Z945" s="146"/>
      <c r="AA945" s="146"/>
      <c r="AB945" s="146"/>
      <c r="AC945" s="146"/>
      <c r="AD945" s="146"/>
      <c r="AE945" s="146"/>
      <c r="AF945" s="146"/>
      <c r="AG945" s="146"/>
      <c r="AH945" s="146"/>
      <c r="AI945" s="146"/>
    </row>
    <row r="946" spans="1:35" ht="13.5" customHeight="1" x14ac:dyDescent="0.25">
      <c r="A946" s="28"/>
      <c r="B946" s="28"/>
      <c r="C946" s="28"/>
      <c r="D946" s="28"/>
      <c r="E946" s="28"/>
      <c r="F946" s="28"/>
      <c r="G946" s="29"/>
      <c r="H946" s="28"/>
      <c r="I946" s="147"/>
      <c r="J946" s="147"/>
      <c r="K946" s="146"/>
      <c r="L946" s="146"/>
      <c r="M946" s="146"/>
      <c r="N946" s="146"/>
      <c r="O946" s="146"/>
      <c r="P946" s="146"/>
      <c r="Q946" s="30"/>
      <c r="R946" s="146"/>
      <c r="S946" s="147"/>
      <c r="T946" s="146"/>
      <c r="U946" s="146"/>
      <c r="V946" s="146"/>
      <c r="W946" s="146"/>
      <c r="X946" s="146"/>
      <c r="Y946" s="146"/>
      <c r="Z946" s="146"/>
      <c r="AA946" s="146"/>
      <c r="AB946" s="146"/>
      <c r="AC946" s="146"/>
      <c r="AD946" s="146"/>
      <c r="AE946" s="146"/>
      <c r="AF946" s="146"/>
      <c r="AG946" s="146"/>
      <c r="AH946" s="146"/>
      <c r="AI946" s="146"/>
    </row>
    <row r="947" spans="1:35" ht="13.5" customHeight="1" x14ac:dyDescent="0.25">
      <c r="A947" s="28"/>
      <c r="B947" s="28"/>
      <c r="C947" s="28"/>
      <c r="D947" s="28"/>
      <c r="E947" s="28"/>
      <c r="F947" s="28"/>
      <c r="G947" s="29"/>
      <c r="H947" s="28"/>
      <c r="I947" s="147"/>
      <c r="J947" s="147"/>
      <c r="K947" s="146"/>
      <c r="L947" s="146"/>
      <c r="M947" s="146"/>
      <c r="N947" s="146"/>
      <c r="O947" s="146"/>
      <c r="P947" s="146"/>
      <c r="Q947" s="30"/>
      <c r="R947" s="146"/>
      <c r="S947" s="147"/>
      <c r="T947" s="146"/>
      <c r="U947" s="146"/>
      <c r="V947" s="146"/>
      <c r="W947" s="146"/>
      <c r="X947" s="146"/>
      <c r="Y947" s="146"/>
      <c r="Z947" s="146"/>
      <c r="AA947" s="146"/>
      <c r="AB947" s="146"/>
      <c r="AC947" s="146"/>
      <c r="AD947" s="146"/>
      <c r="AE947" s="146"/>
      <c r="AF947" s="146"/>
      <c r="AG947" s="146"/>
      <c r="AH947" s="146"/>
      <c r="AI947" s="146"/>
    </row>
    <row r="948" spans="1:35" ht="13.5" customHeight="1" x14ac:dyDescent="0.25">
      <c r="A948" s="28"/>
      <c r="B948" s="28"/>
      <c r="C948" s="28"/>
      <c r="D948" s="28"/>
      <c r="E948" s="28"/>
      <c r="F948" s="28"/>
      <c r="G948" s="29"/>
      <c r="H948" s="28"/>
      <c r="I948" s="147"/>
      <c r="J948" s="147"/>
      <c r="K948" s="146"/>
      <c r="L948" s="146"/>
      <c r="M948" s="146"/>
      <c r="N948" s="146"/>
      <c r="O948" s="146"/>
      <c r="P948" s="146"/>
      <c r="Q948" s="30"/>
      <c r="R948" s="146"/>
      <c r="S948" s="147"/>
      <c r="T948" s="146"/>
      <c r="U948" s="146"/>
      <c r="V948" s="146"/>
      <c r="W948" s="146"/>
      <c r="X948" s="146"/>
      <c r="Y948" s="146"/>
      <c r="Z948" s="146"/>
      <c r="AA948" s="146"/>
      <c r="AB948" s="146"/>
      <c r="AC948" s="146"/>
      <c r="AD948" s="146"/>
      <c r="AE948" s="146"/>
      <c r="AF948" s="146"/>
      <c r="AG948" s="146"/>
      <c r="AH948" s="146"/>
      <c r="AI948" s="146"/>
    </row>
    <row r="949" spans="1:35" ht="13.5" customHeight="1" x14ac:dyDescent="0.25">
      <c r="A949" s="28"/>
      <c r="B949" s="28"/>
      <c r="C949" s="28"/>
      <c r="D949" s="28"/>
      <c r="E949" s="28"/>
      <c r="F949" s="28"/>
      <c r="G949" s="29"/>
      <c r="H949" s="28"/>
      <c r="I949" s="147"/>
      <c r="J949" s="147"/>
      <c r="K949" s="146"/>
      <c r="L949" s="146"/>
      <c r="M949" s="146"/>
      <c r="N949" s="146"/>
      <c r="O949" s="146"/>
      <c r="P949" s="146"/>
      <c r="Q949" s="30"/>
      <c r="R949" s="146"/>
      <c r="S949" s="147"/>
      <c r="T949" s="146"/>
      <c r="U949" s="146"/>
      <c r="V949" s="146"/>
      <c r="W949" s="146"/>
      <c r="X949" s="146"/>
      <c r="Y949" s="146"/>
      <c r="Z949" s="146"/>
      <c r="AA949" s="146"/>
      <c r="AB949" s="146"/>
      <c r="AC949" s="146"/>
      <c r="AD949" s="146"/>
      <c r="AE949" s="146"/>
      <c r="AF949" s="146"/>
      <c r="AG949" s="146"/>
      <c r="AH949" s="146"/>
      <c r="AI949" s="146"/>
    </row>
    <row r="950" spans="1:35" ht="13.5" customHeight="1" x14ac:dyDescent="0.25">
      <c r="A950" s="28"/>
      <c r="B950" s="28"/>
      <c r="C950" s="28"/>
      <c r="D950" s="28"/>
      <c r="E950" s="28"/>
      <c r="F950" s="28"/>
      <c r="G950" s="29"/>
      <c r="H950" s="28"/>
      <c r="I950" s="147"/>
      <c r="J950" s="147"/>
      <c r="K950" s="146"/>
      <c r="L950" s="146"/>
      <c r="M950" s="146"/>
      <c r="N950" s="146"/>
      <c r="O950" s="146"/>
      <c r="P950" s="146"/>
      <c r="Q950" s="30"/>
      <c r="R950" s="146"/>
      <c r="S950" s="147"/>
      <c r="T950" s="146"/>
      <c r="U950" s="146"/>
      <c r="V950" s="146"/>
      <c r="W950" s="146"/>
      <c r="X950" s="146"/>
      <c r="Y950" s="146"/>
      <c r="Z950" s="146"/>
      <c r="AA950" s="146"/>
      <c r="AB950" s="146"/>
      <c r="AC950" s="146"/>
      <c r="AD950" s="146"/>
      <c r="AE950" s="146"/>
      <c r="AF950" s="146"/>
      <c r="AG950" s="146"/>
      <c r="AH950" s="146"/>
      <c r="AI950" s="146"/>
    </row>
    <row r="951" spans="1:35" ht="13.5" customHeight="1" x14ac:dyDescent="0.25">
      <c r="A951" s="28"/>
      <c r="B951" s="28"/>
      <c r="C951" s="28"/>
      <c r="D951" s="28"/>
      <c r="E951" s="28"/>
      <c r="F951" s="28"/>
      <c r="G951" s="29"/>
      <c r="H951" s="28"/>
      <c r="I951" s="147"/>
      <c r="J951" s="147"/>
      <c r="K951" s="146"/>
      <c r="L951" s="146"/>
      <c r="M951" s="146"/>
      <c r="N951" s="146"/>
      <c r="O951" s="146"/>
      <c r="P951" s="146"/>
      <c r="Q951" s="30"/>
      <c r="R951" s="146"/>
      <c r="S951" s="147"/>
      <c r="T951" s="146"/>
      <c r="U951" s="146"/>
      <c r="V951" s="146"/>
      <c r="W951" s="146"/>
      <c r="X951" s="146"/>
      <c r="Y951" s="146"/>
      <c r="Z951" s="146"/>
      <c r="AA951" s="146"/>
      <c r="AB951" s="146"/>
      <c r="AC951" s="146"/>
      <c r="AD951" s="146"/>
      <c r="AE951" s="146"/>
      <c r="AF951" s="146"/>
      <c r="AG951" s="146"/>
      <c r="AH951" s="146"/>
      <c r="AI951" s="146"/>
    </row>
    <row r="952" spans="1:35" ht="13.5" customHeight="1" x14ac:dyDescent="0.25">
      <c r="A952" s="28"/>
      <c r="B952" s="28"/>
      <c r="C952" s="28"/>
      <c r="D952" s="28"/>
      <c r="E952" s="28"/>
      <c r="F952" s="28"/>
      <c r="G952" s="29"/>
      <c r="H952" s="28"/>
      <c r="I952" s="147"/>
      <c r="J952" s="147"/>
      <c r="K952" s="146"/>
      <c r="L952" s="146"/>
      <c r="M952" s="146"/>
      <c r="N952" s="146"/>
      <c r="O952" s="146"/>
      <c r="P952" s="146"/>
      <c r="Q952" s="30"/>
      <c r="R952" s="146"/>
      <c r="S952" s="147"/>
      <c r="T952" s="146"/>
      <c r="U952" s="146"/>
      <c r="V952" s="146"/>
      <c r="W952" s="146"/>
      <c r="X952" s="146"/>
      <c r="Y952" s="146"/>
      <c r="Z952" s="146"/>
      <c r="AA952" s="146"/>
      <c r="AB952" s="146"/>
      <c r="AC952" s="146"/>
      <c r="AD952" s="146"/>
      <c r="AE952" s="146"/>
      <c r="AF952" s="146"/>
      <c r="AG952" s="146"/>
      <c r="AH952" s="146"/>
      <c r="AI952" s="146"/>
    </row>
    <row r="953" spans="1:35" ht="13.5" customHeight="1" x14ac:dyDescent="0.25">
      <c r="A953" s="28"/>
      <c r="B953" s="28"/>
      <c r="C953" s="28"/>
      <c r="D953" s="28"/>
      <c r="E953" s="28"/>
      <c r="F953" s="28"/>
      <c r="G953" s="29"/>
      <c r="H953" s="28"/>
      <c r="I953" s="147"/>
      <c r="J953" s="147"/>
      <c r="K953" s="146"/>
      <c r="L953" s="146"/>
      <c r="M953" s="146"/>
      <c r="N953" s="146"/>
      <c r="O953" s="146"/>
      <c r="P953" s="146"/>
      <c r="Q953" s="30"/>
      <c r="R953" s="146"/>
      <c r="S953" s="147"/>
      <c r="T953" s="146"/>
      <c r="U953" s="146"/>
      <c r="V953" s="146"/>
      <c r="W953" s="146"/>
      <c r="X953" s="146"/>
      <c r="Y953" s="146"/>
      <c r="Z953" s="146"/>
      <c r="AA953" s="146"/>
      <c r="AB953" s="146"/>
      <c r="AC953" s="146"/>
      <c r="AD953" s="146"/>
      <c r="AE953" s="146"/>
      <c r="AF953" s="146"/>
      <c r="AG953" s="146"/>
      <c r="AH953" s="146"/>
      <c r="AI953" s="146"/>
    </row>
    <row r="954" spans="1:35" ht="13.5" customHeight="1" x14ac:dyDescent="0.25">
      <c r="A954" s="28"/>
      <c r="B954" s="28"/>
      <c r="C954" s="28"/>
      <c r="D954" s="28"/>
      <c r="E954" s="28"/>
      <c r="F954" s="28"/>
      <c r="G954" s="29"/>
      <c r="H954" s="28"/>
      <c r="I954" s="147"/>
      <c r="J954" s="147"/>
      <c r="K954" s="146"/>
      <c r="L954" s="146"/>
      <c r="M954" s="146"/>
      <c r="N954" s="146"/>
      <c r="O954" s="146"/>
      <c r="P954" s="146"/>
      <c r="Q954" s="30"/>
      <c r="R954" s="146"/>
      <c r="S954" s="147"/>
      <c r="T954" s="146"/>
      <c r="U954" s="146"/>
      <c r="V954" s="146"/>
      <c r="W954" s="146"/>
      <c r="X954" s="146"/>
      <c r="Y954" s="146"/>
      <c r="Z954" s="146"/>
      <c r="AA954" s="146"/>
      <c r="AB954" s="146"/>
      <c r="AC954" s="146"/>
      <c r="AD954" s="146"/>
      <c r="AE954" s="146"/>
      <c r="AF954" s="146"/>
      <c r="AG954" s="146"/>
      <c r="AH954" s="146"/>
      <c r="AI954" s="146"/>
    </row>
    <row r="955" spans="1:35" ht="13.5" customHeight="1" x14ac:dyDescent="0.25">
      <c r="A955" s="28"/>
      <c r="B955" s="28"/>
      <c r="C955" s="28"/>
      <c r="D955" s="28"/>
      <c r="E955" s="28"/>
      <c r="F955" s="28"/>
      <c r="G955" s="29"/>
      <c r="H955" s="28"/>
      <c r="I955" s="147"/>
      <c r="J955" s="147"/>
      <c r="K955" s="146"/>
      <c r="L955" s="146"/>
      <c r="M955" s="146"/>
      <c r="N955" s="146"/>
      <c r="O955" s="146"/>
      <c r="P955" s="146"/>
      <c r="Q955" s="30"/>
      <c r="R955" s="146"/>
      <c r="S955" s="147"/>
      <c r="T955" s="146"/>
      <c r="U955" s="146"/>
      <c r="V955" s="146"/>
      <c r="W955" s="146"/>
      <c r="X955" s="146"/>
      <c r="Y955" s="146"/>
      <c r="Z955" s="146"/>
      <c r="AA955" s="146"/>
      <c r="AB955" s="146"/>
      <c r="AC955" s="146"/>
      <c r="AD955" s="146"/>
      <c r="AE955" s="146"/>
      <c r="AF955" s="146"/>
      <c r="AG955" s="146"/>
      <c r="AH955" s="146"/>
      <c r="AI955" s="146"/>
    </row>
    <row r="956" spans="1:35" ht="13.5" customHeight="1" x14ac:dyDescent="0.25">
      <c r="A956" s="28"/>
      <c r="B956" s="28"/>
      <c r="C956" s="28"/>
      <c r="D956" s="28"/>
      <c r="E956" s="28"/>
      <c r="F956" s="28"/>
      <c r="G956" s="29"/>
      <c r="H956" s="28"/>
      <c r="I956" s="147"/>
      <c r="J956" s="147"/>
      <c r="K956" s="146"/>
      <c r="L956" s="146"/>
      <c r="M956" s="146"/>
      <c r="N956" s="146"/>
      <c r="O956" s="146"/>
      <c r="P956" s="146"/>
      <c r="Q956" s="30"/>
      <c r="R956" s="146"/>
      <c r="S956" s="147"/>
      <c r="T956" s="146"/>
      <c r="U956" s="146"/>
      <c r="V956" s="146"/>
      <c r="W956" s="146"/>
      <c r="X956" s="146"/>
      <c r="Y956" s="146"/>
      <c r="Z956" s="146"/>
      <c r="AA956" s="146"/>
      <c r="AB956" s="146"/>
      <c r="AC956" s="146"/>
      <c r="AD956" s="146"/>
      <c r="AE956" s="146"/>
      <c r="AF956" s="146"/>
      <c r="AG956" s="146"/>
      <c r="AH956" s="146"/>
      <c r="AI956" s="146"/>
    </row>
    <row r="957" spans="1:35" ht="13.5" customHeight="1" x14ac:dyDescent="0.25">
      <c r="A957" s="28"/>
      <c r="B957" s="28"/>
      <c r="C957" s="28"/>
      <c r="D957" s="28"/>
      <c r="E957" s="28"/>
      <c r="F957" s="28"/>
      <c r="G957" s="29"/>
      <c r="H957" s="28"/>
      <c r="I957" s="147"/>
      <c r="J957" s="147"/>
      <c r="K957" s="146"/>
      <c r="L957" s="146"/>
      <c r="M957" s="146"/>
      <c r="N957" s="146"/>
      <c r="O957" s="146"/>
      <c r="P957" s="146"/>
      <c r="Q957" s="30"/>
      <c r="R957" s="146"/>
      <c r="S957" s="147"/>
      <c r="T957" s="146"/>
      <c r="U957" s="146"/>
      <c r="V957" s="146"/>
      <c r="W957" s="146"/>
      <c r="X957" s="146"/>
      <c r="Y957" s="146"/>
      <c r="Z957" s="146"/>
      <c r="AA957" s="146"/>
      <c r="AB957" s="146"/>
      <c r="AC957" s="146"/>
      <c r="AD957" s="146"/>
      <c r="AE957" s="146"/>
      <c r="AF957" s="146"/>
      <c r="AG957" s="146"/>
      <c r="AH957" s="146"/>
      <c r="AI957" s="146"/>
    </row>
    <row r="958" spans="1:35" ht="13.5" customHeight="1" x14ac:dyDescent="0.25">
      <c r="A958" s="28"/>
      <c r="B958" s="28"/>
      <c r="C958" s="28"/>
      <c r="D958" s="28"/>
      <c r="E958" s="28"/>
      <c r="F958" s="28"/>
      <c r="G958" s="29"/>
      <c r="H958" s="28"/>
      <c r="I958" s="147"/>
      <c r="J958" s="147"/>
      <c r="K958" s="146"/>
      <c r="L958" s="146"/>
      <c r="M958" s="146"/>
      <c r="N958" s="146"/>
      <c r="O958" s="146"/>
      <c r="P958" s="146"/>
      <c r="Q958" s="30"/>
      <c r="R958" s="146"/>
      <c r="S958" s="147"/>
      <c r="T958" s="146"/>
      <c r="U958" s="146"/>
      <c r="V958" s="146"/>
      <c r="W958" s="146"/>
      <c r="X958" s="146"/>
      <c r="Y958" s="146"/>
      <c r="Z958" s="146"/>
      <c r="AA958" s="146"/>
      <c r="AB958" s="146"/>
      <c r="AC958" s="146"/>
      <c r="AD958" s="146"/>
      <c r="AE958" s="146"/>
      <c r="AF958" s="146"/>
      <c r="AG958" s="146"/>
      <c r="AH958" s="146"/>
      <c r="AI958" s="146"/>
    </row>
    <row r="959" spans="1:35" ht="13.5" customHeight="1" x14ac:dyDescent="0.25">
      <c r="A959" s="28"/>
      <c r="B959" s="28"/>
      <c r="C959" s="28"/>
      <c r="D959" s="28"/>
      <c r="E959" s="28"/>
      <c r="F959" s="28"/>
      <c r="G959" s="29"/>
      <c r="H959" s="28"/>
      <c r="I959" s="147"/>
      <c r="J959" s="147"/>
      <c r="K959" s="146"/>
      <c r="L959" s="146"/>
      <c r="M959" s="146"/>
      <c r="N959" s="146"/>
      <c r="O959" s="146"/>
      <c r="P959" s="146"/>
      <c r="Q959" s="30"/>
      <c r="R959" s="146"/>
      <c r="S959" s="147"/>
      <c r="T959" s="146"/>
      <c r="U959" s="146"/>
      <c r="V959" s="146"/>
      <c r="W959" s="146"/>
      <c r="X959" s="146"/>
      <c r="Y959" s="146"/>
      <c r="Z959" s="146"/>
      <c r="AA959" s="146"/>
      <c r="AB959" s="146"/>
      <c r="AC959" s="146"/>
      <c r="AD959" s="146"/>
      <c r="AE959" s="146"/>
      <c r="AF959" s="146"/>
      <c r="AG959" s="146"/>
      <c r="AH959" s="146"/>
      <c r="AI959" s="146"/>
    </row>
    <row r="960" spans="1:35" ht="13.5" customHeight="1" x14ac:dyDescent="0.25">
      <c r="A960" s="28"/>
      <c r="B960" s="28"/>
      <c r="C960" s="28"/>
      <c r="D960" s="28"/>
      <c r="E960" s="28"/>
      <c r="F960" s="28"/>
      <c r="G960" s="29"/>
      <c r="H960" s="28"/>
      <c r="I960" s="147"/>
      <c r="J960" s="147"/>
      <c r="K960" s="146"/>
      <c r="L960" s="146"/>
      <c r="M960" s="146"/>
      <c r="N960" s="146"/>
      <c r="O960" s="146"/>
      <c r="P960" s="146"/>
      <c r="Q960" s="30"/>
      <c r="R960" s="146"/>
      <c r="S960" s="147"/>
      <c r="T960" s="146"/>
      <c r="U960" s="146"/>
      <c r="V960" s="146"/>
      <c r="W960" s="146"/>
      <c r="X960" s="146"/>
      <c r="Y960" s="146"/>
      <c r="Z960" s="146"/>
      <c r="AA960" s="146"/>
      <c r="AB960" s="146"/>
      <c r="AC960" s="146"/>
      <c r="AD960" s="146"/>
      <c r="AE960" s="146"/>
      <c r="AF960" s="146"/>
      <c r="AG960" s="146"/>
      <c r="AH960" s="146"/>
      <c r="AI960" s="146"/>
    </row>
    <row r="961" spans="1:35" ht="13.5" customHeight="1" x14ac:dyDescent="0.25">
      <c r="A961" s="28"/>
      <c r="B961" s="28"/>
      <c r="C961" s="28"/>
      <c r="D961" s="28"/>
      <c r="E961" s="28"/>
      <c r="F961" s="28"/>
      <c r="G961" s="29"/>
      <c r="H961" s="28"/>
      <c r="I961" s="147"/>
      <c r="J961" s="147"/>
      <c r="K961" s="146"/>
      <c r="L961" s="146"/>
      <c r="M961" s="146"/>
      <c r="N961" s="146"/>
      <c r="O961" s="146"/>
      <c r="P961" s="146"/>
      <c r="Q961" s="30"/>
      <c r="R961" s="146"/>
      <c r="S961" s="147"/>
      <c r="T961" s="146"/>
      <c r="U961" s="146"/>
      <c r="V961" s="146"/>
      <c r="W961" s="146"/>
      <c r="X961" s="146"/>
      <c r="Y961" s="146"/>
      <c r="Z961" s="146"/>
      <c r="AA961" s="146"/>
      <c r="AB961" s="146"/>
      <c r="AC961" s="146"/>
      <c r="AD961" s="146"/>
      <c r="AE961" s="146"/>
      <c r="AF961" s="146"/>
      <c r="AG961" s="146"/>
      <c r="AH961" s="146"/>
      <c r="AI961" s="146"/>
    </row>
    <row r="962" spans="1:35" ht="13.5" customHeight="1" x14ac:dyDescent="0.25">
      <c r="A962" s="28"/>
      <c r="B962" s="28"/>
      <c r="C962" s="28"/>
      <c r="D962" s="28"/>
      <c r="E962" s="28"/>
      <c r="F962" s="28"/>
      <c r="G962" s="29"/>
      <c r="H962" s="28"/>
      <c r="I962" s="147"/>
      <c r="J962" s="147"/>
      <c r="K962" s="146"/>
      <c r="L962" s="146"/>
      <c r="M962" s="146"/>
      <c r="N962" s="146"/>
      <c r="O962" s="146"/>
      <c r="P962" s="146"/>
      <c r="Q962" s="30"/>
      <c r="R962" s="146"/>
      <c r="S962" s="147"/>
      <c r="T962" s="146"/>
      <c r="U962" s="146"/>
      <c r="V962" s="146"/>
      <c r="W962" s="146"/>
      <c r="X962" s="146"/>
      <c r="Y962" s="146"/>
      <c r="Z962" s="146"/>
      <c r="AA962" s="146"/>
      <c r="AB962" s="146"/>
      <c r="AC962" s="146"/>
      <c r="AD962" s="146"/>
      <c r="AE962" s="146"/>
      <c r="AF962" s="146"/>
      <c r="AG962" s="146"/>
      <c r="AH962" s="146"/>
      <c r="AI962" s="146"/>
    </row>
    <row r="963" spans="1:35" ht="13.5" customHeight="1" x14ac:dyDescent="0.25">
      <c r="A963" s="28"/>
      <c r="B963" s="28"/>
      <c r="C963" s="28"/>
      <c r="D963" s="28"/>
      <c r="E963" s="28"/>
      <c r="F963" s="28"/>
      <c r="G963" s="29"/>
      <c r="H963" s="28"/>
      <c r="I963" s="147"/>
      <c r="J963" s="147"/>
      <c r="K963" s="146"/>
      <c r="L963" s="146"/>
      <c r="M963" s="146"/>
      <c r="N963" s="146"/>
      <c r="O963" s="146"/>
      <c r="P963" s="146"/>
      <c r="Q963" s="30"/>
      <c r="R963" s="146"/>
      <c r="S963" s="147"/>
      <c r="T963" s="146"/>
      <c r="U963" s="146"/>
      <c r="V963" s="146"/>
      <c r="W963" s="146"/>
      <c r="X963" s="146"/>
      <c r="Y963" s="146"/>
      <c r="Z963" s="146"/>
      <c r="AA963" s="146"/>
      <c r="AB963" s="146"/>
      <c r="AC963" s="146"/>
      <c r="AD963" s="146"/>
      <c r="AE963" s="146"/>
      <c r="AF963" s="146"/>
      <c r="AG963" s="146"/>
      <c r="AH963" s="146"/>
      <c r="AI963" s="146"/>
    </row>
    <row r="964" spans="1:35" ht="13.5" customHeight="1" x14ac:dyDescent="0.25">
      <c r="A964" s="28"/>
      <c r="B964" s="28"/>
      <c r="C964" s="28"/>
      <c r="D964" s="28"/>
      <c r="E964" s="28"/>
      <c r="F964" s="28"/>
      <c r="G964" s="29"/>
      <c r="H964" s="28"/>
      <c r="I964" s="147"/>
      <c r="J964" s="147"/>
      <c r="K964" s="146"/>
      <c r="L964" s="146"/>
      <c r="M964" s="146"/>
      <c r="N964" s="146"/>
      <c r="O964" s="146"/>
      <c r="P964" s="146"/>
      <c r="Q964" s="30"/>
      <c r="R964" s="146"/>
      <c r="S964" s="147"/>
      <c r="T964" s="146"/>
      <c r="U964" s="146"/>
      <c r="V964" s="146"/>
      <c r="W964" s="146"/>
      <c r="X964" s="146"/>
      <c r="Y964" s="146"/>
      <c r="Z964" s="146"/>
      <c r="AA964" s="146"/>
      <c r="AB964" s="146"/>
      <c r="AC964" s="146"/>
      <c r="AD964" s="146"/>
      <c r="AE964" s="146"/>
      <c r="AF964" s="146"/>
      <c r="AG964" s="146"/>
      <c r="AH964" s="146"/>
      <c r="AI964" s="146"/>
    </row>
    <row r="965" spans="1:35" ht="13.5" customHeight="1" x14ac:dyDescent="0.25">
      <c r="A965" s="28"/>
      <c r="B965" s="28"/>
      <c r="C965" s="28"/>
      <c r="D965" s="28"/>
      <c r="E965" s="28"/>
      <c r="F965" s="28"/>
      <c r="G965" s="29"/>
      <c r="H965" s="28"/>
      <c r="I965" s="147"/>
      <c r="J965" s="147"/>
      <c r="K965" s="146"/>
      <c r="L965" s="146"/>
      <c r="M965" s="146"/>
      <c r="N965" s="146"/>
      <c r="O965" s="146"/>
      <c r="P965" s="146"/>
      <c r="Q965" s="30"/>
      <c r="R965" s="146"/>
      <c r="S965" s="147"/>
      <c r="T965" s="146"/>
      <c r="U965" s="146"/>
      <c r="V965" s="146"/>
      <c r="W965" s="146"/>
      <c r="X965" s="146"/>
      <c r="Y965" s="146"/>
      <c r="Z965" s="146"/>
      <c r="AA965" s="146"/>
      <c r="AB965" s="146"/>
      <c r="AC965" s="146"/>
      <c r="AD965" s="146"/>
      <c r="AE965" s="146"/>
      <c r="AF965" s="146"/>
      <c r="AG965" s="146"/>
      <c r="AH965" s="146"/>
      <c r="AI965" s="146"/>
    </row>
    <row r="966" spans="1:35" ht="13.5" customHeight="1" x14ac:dyDescent="0.25">
      <c r="A966" s="28"/>
      <c r="B966" s="28"/>
      <c r="C966" s="28"/>
      <c r="D966" s="28"/>
      <c r="E966" s="28"/>
      <c r="F966" s="28"/>
      <c r="G966" s="29"/>
      <c r="H966" s="28"/>
      <c r="I966" s="147"/>
      <c r="J966" s="147"/>
      <c r="K966" s="146"/>
      <c r="L966" s="146"/>
      <c r="M966" s="146"/>
      <c r="N966" s="146"/>
      <c r="O966" s="146"/>
      <c r="P966" s="146"/>
      <c r="Q966" s="30"/>
      <c r="R966" s="146"/>
      <c r="S966" s="147"/>
      <c r="T966" s="146"/>
      <c r="U966" s="146"/>
      <c r="V966" s="146"/>
      <c r="W966" s="146"/>
      <c r="X966" s="146"/>
      <c r="Y966" s="146"/>
      <c r="Z966" s="146"/>
      <c r="AA966" s="146"/>
      <c r="AB966" s="146"/>
      <c r="AC966" s="146"/>
      <c r="AD966" s="146"/>
      <c r="AE966" s="146"/>
      <c r="AF966" s="146"/>
      <c r="AG966" s="146"/>
      <c r="AH966" s="146"/>
      <c r="AI966" s="146"/>
    </row>
    <row r="967" spans="1:35" ht="13.5" customHeight="1" x14ac:dyDescent="0.25">
      <c r="A967" s="28"/>
      <c r="B967" s="28"/>
      <c r="C967" s="28"/>
      <c r="D967" s="28"/>
      <c r="E967" s="28"/>
      <c r="F967" s="28"/>
      <c r="G967" s="29"/>
      <c r="H967" s="28"/>
      <c r="I967" s="147"/>
      <c r="J967" s="147"/>
      <c r="K967" s="146"/>
      <c r="L967" s="146"/>
      <c r="M967" s="146"/>
      <c r="N967" s="146"/>
      <c r="O967" s="146"/>
      <c r="P967" s="146"/>
      <c r="Q967" s="30"/>
      <c r="R967" s="146"/>
      <c r="S967" s="147"/>
      <c r="T967" s="146"/>
      <c r="U967" s="146"/>
      <c r="V967" s="146"/>
      <c r="W967" s="146"/>
      <c r="X967" s="146"/>
      <c r="Y967" s="146"/>
      <c r="Z967" s="146"/>
      <c r="AA967" s="146"/>
      <c r="AB967" s="146"/>
      <c r="AC967" s="146"/>
      <c r="AD967" s="146"/>
      <c r="AE967" s="146"/>
      <c r="AF967" s="146"/>
      <c r="AG967" s="146"/>
      <c r="AH967" s="146"/>
      <c r="AI967" s="146"/>
    </row>
    <row r="968" spans="1:35" ht="13.5" customHeight="1" x14ac:dyDescent="0.25">
      <c r="A968" s="28"/>
      <c r="B968" s="28"/>
      <c r="C968" s="28"/>
      <c r="D968" s="28"/>
      <c r="E968" s="28"/>
      <c r="F968" s="28"/>
      <c r="G968" s="29"/>
      <c r="H968" s="28"/>
      <c r="I968" s="147"/>
      <c r="J968" s="147"/>
      <c r="K968" s="146"/>
      <c r="L968" s="146"/>
      <c r="M968" s="146"/>
      <c r="N968" s="146"/>
      <c r="O968" s="146"/>
      <c r="P968" s="146"/>
      <c r="Q968" s="30"/>
      <c r="R968" s="146"/>
      <c r="S968" s="147"/>
      <c r="T968" s="146"/>
      <c r="U968" s="146"/>
      <c r="V968" s="146"/>
      <c r="W968" s="146"/>
      <c r="X968" s="146"/>
      <c r="Y968" s="146"/>
      <c r="Z968" s="146"/>
      <c r="AA968" s="146"/>
      <c r="AB968" s="146"/>
      <c r="AC968" s="146"/>
      <c r="AD968" s="146"/>
      <c r="AE968" s="146"/>
      <c r="AF968" s="146"/>
      <c r="AG968" s="146"/>
      <c r="AH968" s="146"/>
      <c r="AI968" s="146"/>
    </row>
    <row r="969" spans="1:35" ht="13.5" customHeight="1" x14ac:dyDescent="0.25">
      <c r="A969" s="28"/>
      <c r="B969" s="28"/>
      <c r="C969" s="28"/>
      <c r="D969" s="28"/>
      <c r="E969" s="28"/>
      <c r="F969" s="28"/>
      <c r="G969" s="29"/>
      <c r="H969" s="28"/>
      <c r="I969" s="147"/>
      <c r="J969" s="147"/>
      <c r="K969" s="146"/>
      <c r="L969" s="146"/>
      <c r="M969" s="146"/>
      <c r="N969" s="146"/>
      <c r="O969" s="146"/>
      <c r="P969" s="146"/>
      <c r="Q969" s="30"/>
      <c r="R969" s="146"/>
      <c r="S969" s="147"/>
      <c r="T969" s="146"/>
      <c r="U969" s="146"/>
      <c r="V969" s="146"/>
      <c r="W969" s="146"/>
      <c r="X969" s="146"/>
      <c r="Y969" s="146"/>
      <c r="Z969" s="146"/>
      <c r="AA969" s="146"/>
      <c r="AB969" s="146"/>
      <c r="AC969" s="146"/>
      <c r="AD969" s="146"/>
      <c r="AE969" s="146"/>
      <c r="AF969" s="146"/>
      <c r="AG969" s="146"/>
      <c r="AH969" s="146"/>
      <c r="AI969" s="146"/>
    </row>
    <row r="970" spans="1:35" ht="13.5" customHeight="1" x14ac:dyDescent="0.25">
      <c r="A970" s="28"/>
      <c r="B970" s="28"/>
      <c r="C970" s="28"/>
      <c r="D970" s="28"/>
      <c r="E970" s="28"/>
      <c r="F970" s="28"/>
      <c r="G970" s="29"/>
      <c r="H970" s="28"/>
      <c r="I970" s="147"/>
      <c r="J970" s="147"/>
      <c r="K970" s="146"/>
      <c r="L970" s="146"/>
      <c r="M970" s="146"/>
      <c r="N970" s="146"/>
      <c r="O970" s="146"/>
      <c r="P970" s="146"/>
      <c r="Q970" s="30"/>
      <c r="R970" s="146"/>
      <c r="S970" s="147"/>
      <c r="T970" s="146"/>
      <c r="U970" s="146"/>
      <c r="V970" s="146"/>
      <c r="W970" s="146"/>
      <c r="X970" s="146"/>
      <c r="Y970" s="146"/>
      <c r="Z970" s="146"/>
      <c r="AA970" s="146"/>
      <c r="AB970" s="146"/>
      <c r="AC970" s="146"/>
      <c r="AD970" s="146"/>
      <c r="AE970" s="146"/>
      <c r="AF970" s="146"/>
      <c r="AG970" s="146"/>
      <c r="AH970" s="146"/>
      <c r="AI970" s="146"/>
    </row>
    <row r="971" spans="1:35" ht="13.5" customHeight="1" x14ac:dyDescent="0.25">
      <c r="A971" s="28"/>
      <c r="B971" s="28"/>
      <c r="C971" s="28"/>
      <c r="D971" s="28"/>
      <c r="E971" s="28"/>
      <c r="F971" s="28"/>
      <c r="G971" s="29"/>
      <c r="H971" s="28"/>
      <c r="I971" s="147"/>
      <c r="J971" s="147"/>
      <c r="K971" s="146"/>
      <c r="L971" s="146"/>
      <c r="M971" s="146"/>
      <c r="N971" s="146"/>
      <c r="O971" s="146"/>
      <c r="P971" s="146"/>
      <c r="Q971" s="30"/>
      <c r="R971" s="146"/>
      <c r="S971" s="147"/>
      <c r="T971" s="146"/>
      <c r="U971" s="146"/>
      <c r="V971" s="146"/>
      <c r="W971" s="146"/>
      <c r="X971" s="146"/>
      <c r="Y971" s="146"/>
      <c r="Z971" s="146"/>
      <c r="AA971" s="146"/>
      <c r="AB971" s="146"/>
      <c r="AC971" s="146"/>
      <c r="AD971" s="146"/>
      <c r="AE971" s="146"/>
      <c r="AF971" s="146"/>
      <c r="AG971" s="146"/>
      <c r="AH971" s="146"/>
      <c r="AI971" s="146"/>
    </row>
    <row r="972" spans="1:35" ht="13.5" customHeight="1" x14ac:dyDescent="0.25">
      <c r="A972" s="28"/>
      <c r="B972" s="28"/>
      <c r="C972" s="28"/>
      <c r="D972" s="28"/>
      <c r="E972" s="28"/>
      <c r="F972" s="28"/>
      <c r="G972" s="29"/>
      <c r="H972" s="28"/>
      <c r="I972" s="147"/>
      <c r="J972" s="147"/>
      <c r="K972" s="146"/>
      <c r="L972" s="146"/>
      <c r="M972" s="146"/>
      <c r="N972" s="146"/>
      <c r="O972" s="146"/>
      <c r="P972" s="146"/>
      <c r="Q972" s="30"/>
      <c r="R972" s="146"/>
      <c r="S972" s="147"/>
      <c r="T972" s="146"/>
      <c r="U972" s="146"/>
      <c r="V972" s="146"/>
      <c r="W972" s="146"/>
      <c r="X972" s="146"/>
      <c r="Y972" s="146"/>
      <c r="Z972" s="146"/>
      <c r="AA972" s="146"/>
      <c r="AB972" s="146"/>
      <c r="AC972" s="146"/>
      <c r="AD972" s="146"/>
      <c r="AE972" s="146"/>
      <c r="AF972" s="146"/>
      <c r="AG972" s="146"/>
      <c r="AH972" s="146"/>
      <c r="AI972" s="146"/>
    </row>
    <row r="973" spans="1:35" ht="13.5" customHeight="1" x14ac:dyDescent="0.25">
      <c r="A973" s="28"/>
      <c r="B973" s="28"/>
      <c r="C973" s="28"/>
      <c r="D973" s="28"/>
      <c r="E973" s="28"/>
      <c r="F973" s="28"/>
      <c r="G973" s="29"/>
      <c r="H973" s="28"/>
      <c r="I973" s="147"/>
      <c r="J973" s="147"/>
      <c r="K973" s="146"/>
      <c r="L973" s="146"/>
      <c r="M973" s="146"/>
      <c r="N973" s="146"/>
      <c r="O973" s="146"/>
      <c r="P973" s="146"/>
      <c r="Q973" s="30"/>
      <c r="R973" s="146"/>
      <c r="S973" s="147"/>
      <c r="T973" s="146"/>
      <c r="U973" s="146"/>
      <c r="V973" s="146"/>
      <c r="W973" s="146"/>
      <c r="X973" s="146"/>
      <c r="Y973" s="146"/>
      <c r="Z973" s="146"/>
      <c r="AA973" s="146"/>
      <c r="AB973" s="146"/>
      <c r="AC973" s="146"/>
      <c r="AD973" s="146"/>
      <c r="AE973" s="146"/>
      <c r="AF973" s="146"/>
      <c r="AG973" s="146"/>
      <c r="AH973" s="146"/>
      <c r="AI973" s="146"/>
    </row>
    <row r="974" spans="1:35" ht="13.5" customHeight="1" x14ac:dyDescent="0.25">
      <c r="A974" s="28"/>
      <c r="B974" s="28"/>
      <c r="C974" s="28"/>
      <c r="D974" s="28"/>
      <c r="E974" s="28"/>
      <c r="F974" s="28"/>
      <c r="G974" s="29"/>
      <c r="H974" s="28"/>
      <c r="I974" s="147"/>
      <c r="J974" s="147"/>
      <c r="K974" s="146"/>
      <c r="L974" s="146"/>
      <c r="M974" s="146"/>
      <c r="N974" s="146"/>
      <c r="O974" s="146"/>
      <c r="P974" s="146"/>
      <c r="Q974" s="30"/>
      <c r="R974" s="146"/>
      <c r="S974" s="147"/>
      <c r="T974" s="146"/>
      <c r="U974" s="146"/>
      <c r="V974" s="146"/>
      <c r="W974" s="146"/>
      <c r="X974" s="146"/>
      <c r="Y974" s="146"/>
      <c r="Z974" s="146"/>
      <c r="AA974" s="146"/>
      <c r="AB974" s="146"/>
      <c r="AC974" s="146"/>
      <c r="AD974" s="146"/>
      <c r="AE974" s="146"/>
      <c r="AF974" s="146"/>
      <c r="AG974" s="146"/>
      <c r="AH974" s="146"/>
      <c r="AI974" s="146"/>
    </row>
    <row r="975" spans="1:35" ht="13.5" customHeight="1" x14ac:dyDescent="0.25">
      <c r="A975" s="28"/>
      <c r="B975" s="28"/>
      <c r="C975" s="28"/>
      <c r="D975" s="28"/>
      <c r="E975" s="28"/>
      <c r="F975" s="28"/>
      <c r="G975" s="29"/>
      <c r="H975" s="28"/>
      <c r="I975" s="147"/>
      <c r="J975" s="147"/>
      <c r="K975" s="146"/>
      <c r="L975" s="146"/>
      <c r="M975" s="146"/>
      <c r="N975" s="146"/>
      <c r="O975" s="146"/>
      <c r="P975" s="146"/>
      <c r="Q975" s="30"/>
      <c r="R975" s="146"/>
      <c r="S975" s="147"/>
      <c r="T975" s="146"/>
      <c r="U975" s="146"/>
      <c r="V975" s="146"/>
      <c r="W975" s="146"/>
      <c r="X975" s="146"/>
      <c r="Y975" s="146"/>
      <c r="Z975" s="146"/>
      <c r="AA975" s="146"/>
      <c r="AB975" s="146"/>
      <c r="AC975" s="146"/>
      <c r="AD975" s="146"/>
      <c r="AE975" s="146"/>
      <c r="AF975" s="146"/>
      <c r="AG975" s="146"/>
      <c r="AH975" s="146"/>
      <c r="AI975" s="146"/>
    </row>
    <row r="976" spans="1:35" ht="13.5" customHeight="1" x14ac:dyDescent="0.25">
      <c r="A976" s="28"/>
      <c r="B976" s="28"/>
      <c r="C976" s="28"/>
      <c r="D976" s="28"/>
      <c r="E976" s="28"/>
      <c r="F976" s="28"/>
      <c r="G976" s="29"/>
      <c r="H976" s="28"/>
      <c r="I976" s="147"/>
      <c r="J976" s="147"/>
      <c r="K976" s="146"/>
      <c r="L976" s="146"/>
      <c r="M976" s="146"/>
      <c r="N976" s="146"/>
      <c r="O976" s="146"/>
      <c r="P976" s="146"/>
      <c r="Q976" s="30"/>
      <c r="R976" s="146"/>
      <c r="S976" s="147"/>
      <c r="T976" s="146"/>
      <c r="U976" s="146"/>
      <c r="V976" s="146"/>
      <c r="W976" s="146"/>
      <c r="X976" s="146"/>
      <c r="Y976" s="146"/>
      <c r="Z976" s="146"/>
      <c r="AA976" s="146"/>
      <c r="AB976" s="146"/>
      <c r="AC976" s="146"/>
      <c r="AD976" s="146"/>
      <c r="AE976" s="146"/>
      <c r="AF976" s="146"/>
      <c r="AG976" s="146"/>
      <c r="AH976" s="146"/>
      <c r="AI976" s="146"/>
    </row>
    <row r="977" spans="1:35" ht="13.5" customHeight="1" x14ac:dyDescent="0.25">
      <c r="A977" s="28"/>
      <c r="B977" s="28"/>
      <c r="C977" s="28"/>
      <c r="D977" s="28"/>
      <c r="E977" s="28"/>
      <c r="F977" s="28"/>
      <c r="G977" s="29"/>
      <c r="H977" s="28"/>
      <c r="I977" s="147"/>
      <c r="J977" s="147"/>
      <c r="K977" s="146"/>
      <c r="L977" s="146"/>
      <c r="M977" s="146"/>
      <c r="N977" s="146"/>
      <c r="O977" s="146"/>
      <c r="P977" s="146"/>
      <c r="Q977" s="30"/>
      <c r="R977" s="146"/>
      <c r="S977" s="147"/>
      <c r="T977" s="146"/>
      <c r="U977" s="146"/>
      <c r="V977" s="146"/>
      <c r="W977" s="146"/>
      <c r="X977" s="146"/>
      <c r="Y977" s="146"/>
      <c r="Z977" s="146"/>
      <c r="AA977" s="146"/>
      <c r="AB977" s="146"/>
      <c r="AC977" s="146"/>
      <c r="AD977" s="146"/>
      <c r="AE977" s="146"/>
      <c r="AF977" s="146"/>
      <c r="AG977" s="146"/>
      <c r="AH977" s="146"/>
      <c r="AI977" s="146"/>
    </row>
    <row r="978" spans="1:35" ht="13.5" customHeight="1" x14ac:dyDescent="0.25">
      <c r="A978" s="28"/>
      <c r="B978" s="28"/>
      <c r="C978" s="28"/>
      <c r="D978" s="28"/>
      <c r="E978" s="28"/>
      <c r="F978" s="28"/>
      <c r="G978" s="29"/>
      <c r="H978" s="28"/>
      <c r="I978" s="147"/>
      <c r="J978" s="147"/>
      <c r="K978" s="146"/>
      <c r="L978" s="146"/>
      <c r="M978" s="146"/>
      <c r="N978" s="146"/>
      <c r="O978" s="146"/>
      <c r="P978" s="146"/>
      <c r="Q978" s="30"/>
      <c r="R978" s="146"/>
      <c r="S978" s="147"/>
      <c r="T978" s="146"/>
      <c r="U978" s="146"/>
      <c r="V978" s="146"/>
      <c r="W978" s="146"/>
      <c r="X978" s="146"/>
      <c r="Y978" s="146"/>
      <c r="Z978" s="146"/>
      <c r="AA978" s="146"/>
      <c r="AB978" s="146"/>
      <c r="AC978" s="146"/>
      <c r="AD978" s="146"/>
      <c r="AE978" s="146"/>
      <c r="AF978" s="146"/>
      <c r="AG978" s="146"/>
      <c r="AH978" s="146"/>
      <c r="AI978" s="146"/>
    </row>
    <row r="979" spans="1:35" ht="13.5" customHeight="1" x14ac:dyDescent="0.25">
      <c r="A979" s="28"/>
      <c r="B979" s="28"/>
      <c r="C979" s="28"/>
      <c r="D979" s="28"/>
      <c r="E979" s="28"/>
      <c r="F979" s="28"/>
      <c r="G979" s="29"/>
      <c r="H979" s="28"/>
      <c r="I979" s="147"/>
      <c r="J979" s="147"/>
      <c r="K979" s="146"/>
      <c r="L979" s="146"/>
      <c r="M979" s="146"/>
      <c r="N979" s="146"/>
      <c r="O979" s="146"/>
      <c r="P979" s="146"/>
      <c r="Q979" s="30"/>
      <c r="R979" s="146"/>
      <c r="S979" s="147"/>
      <c r="T979" s="146"/>
      <c r="U979" s="146"/>
      <c r="V979" s="146"/>
      <c r="W979" s="146"/>
      <c r="X979" s="146"/>
      <c r="Y979" s="146"/>
      <c r="Z979" s="146"/>
      <c r="AA979" s="146"/>
      <c r="AB979" s="146"/>
      <c r="AC979" s="146"/>
      <c r="AD979" s="146"/>
      <c r="AE979" s="146"/>
      <c r="AF979" s="146"/>
      <c r="AG979" s="146"/>
      <c r="AH979" s="146"/>
      <c r="AI979" s="146"/>
    </row>
    <row r="980" spans="1:35" ht="13.5" customHeight="1" x14ac:dyDescent="0.25">
      <c r="A980" s="28"/>
      <c r="B980" s="28"/>
      <c r="C980" s="28"/>
      <c r="D980" s="28"/>
      <c r="E980" s="28"/>
      <c r="F980" s="28"/>
      <c r="G980" s="29"/>
      <c r="H980" s="28"/>
      <c r="I980" s="147"/>
      <c r="J980" s="147"/>
      <c r="K980" s="146"/>
      <c r="L980" s="146"/>
      <c r="M980" s="146"/>
      <c r="N980" s="146"/>
      <c r="O980" s="146"/>
      <c r="P980" s="146"/>
      <c r="Q980" s="30"/>
      <c r="R980" s="146"/>
      <c r="S980" s="147"/>
      <c r="T980" s="146"/>
      <c r="U980" s="146"/>
      <c r="V980" s="146"/>
      <c r="W980" s="146"/>
      <c r="X980" s="146"/>
      <c r="Y980" s="146"/>
      <c r="Z980" s="146"/>
      <c r="AA980" s="146"/>
      <c r="AB980" s="146"/>
      <c r="AC980" s="146"/>
      <c r="AD980" s="146"/>
      <c r="AE980" s="146"/>
      <c r="AF980" s="146"/>
      <c r="AG980" s="146"/>
      <c r="AH980" s="146"/>
      <c r="AI980" s="146"/>
    </row>
    <row r="981" spans="1:35" ht="13.5" customHeight="1" x14ac:dyDescent="0.25">
      <c r="A981" s="28"/>
      <c r="B981" s="28"/>
      <c r="C981" s="28"/>
      <c r="D981" s="28"/>
      <c r="E981" s="28"/>
      <c r="F981" s="28"/>
      <c r="G981" s="29"/>
      <c r="H981" s="28"/>
      <c r="I981" s="147"/>
      <c r="J981" s="147"/>
      <c r="K981" s="146"/>
      <c r="L981" s="146"/>
      <c r="M981" s="146"/>
      <c r="N981" s="146"/>
      <c r="O981" s="146"/>
      <c r="P981" s="146"/>
      <c r="Q981" s="30"/>
      <c r="R981" s="146"/>
      <c r="S981" s="147"/>
      <c r="T981" s="146"/>
      <c r="U981" s="146"/>
      <c r="V981" s="146"/>
      <c r="W981" s="146"/>
      <c r="X981" s="146"/>
      <c r="Y981" s="146"/>
      <c r="Z981" s="146"/>
      <c r="AA981" s="146"/>
      <c r="AB981" s="146"/>
      <c r="AC981" s="146"/>
      <c r="AD981" s="146"/>
      <c r="AE981" s="146"/>
      <c r="AF981" s="146"/>
      <c r="AG981" s="146"/>
      <c r="AH981" s="146"/>
      <c r="AI981" s="146"/>
    </row>
    <row r="982" spans="1:35" ht="13.5" customHeight="1" x14ac:dyDescent="0.25">
      <c r="A982" s="28"/>
      <c r="B982" s="28"/>
      <c r="C982" s="28"/>
      <c r="D982" s="28"/>
      <c r="E982" s="28"/>
      <c r="F982" s="28"/>
      <c r="G982" s="29"/>
      <c r="H982" s="28"/>
      <c r="I982" s="147"/>
      <c r="J982" s="147"/>
      <c r="K982" s="146"/>
      <c r="L982" s="146"/>
      <c r="M982" s="146"/>
      <c r="N982" s="146"/>
      <c r="O982" s="146"/>
      <c r="P982" s="146"/>
      <c r="Q982" s="30"/>
      <c r="R982" s="146"/>
      <c r="S982" s="147"/>
      <c r="T982" s="146"/>
      <c r="U982" s="146"/>
      <c r="V982" s="146"/>
      <c r="W982" s="146"/>
      <c r="X982" s="146"/>
      <c r="Y982" s="146"/>
      <c r="Z982" s="146"/>
      <c r="AA982" s="146"/>
      <c r="AB982" s="146"/>
      <c r="AC982" s="146"/>
      <c r="AD982" s="146"/>
      <c r="AE982" s="146"/>
      <c r="AF982" s="146"/>
      <c r="AG982" s="146"/>
      <c r="AH982" s="146"/>
      <c r="AI982" s="146"/>
    </row>
    <row r="983" spans="1:35" ht="13.5" customHeight="1" x14ac:dyDescent="0.25">
      <c r="A983" s="28"/>
      <c r="B983" s="28"/>
      <c r="C983" s="28"/>
      <c r="D983" s="28"/>
      <c r="E983" s="28"/>
      <c r="F983" s="28"/>
      <c r="G983" s="29"/>
      <c r="H983" s="28"/>
      <c r="I983" s="147"/>
      <c r="J983" s="147"/>
      <c r="K983" s="146"/>
      <c r="L983" s="146"/>
      <c r="M983" s="146"/>
      <c r="N983" s="146"/>
      <c r="O983" s="146"/>
      <c r="P983" s="146"/>
      <c r="Q983" s="30"/>
      <c r="R983" s="146"/>
      <c r="S983" s="147"/>
      <c r="T983" s="146"/>
      <c r="U983" s="146"/>
      <c r="V983" s="146"/>
      <c r="W983" s="146"/>
      <c r="X983" s="146"/>
      <c r="Y983" s="146"/>
      <c r="Z983" s="146"/>
      <c r="AA983" s="146"/>
      <c r="AB983" s="146"/>
      <c r="AC983" s="146"/>
      <c r="AD983" s="146"/>
      <c r="AE983" s="146"/>
      <c r="AF983" s="146"/>
      <c r="AG983" s="146"/>
      <c r="AH983" s="146"/>
      <c r="AI983" s="146"/>
    </row>
    <row r="984" spans="1:35" ht="13.5" customHeight="1" x14ac:dyDescent="0.25">
      <c r="A984" s="28"/>
      <c r="B984" s="28"/>
      <c r="C984" s="28"/>
      <c r="D984" s="28"/>
      <c r="E984" s="28"/>
      <c r="F984" s="28"/>
      <c r="G984" s="29"/>
      <c r="H984" s="28"/>
      <c r="I984" s="147"/>
      <c r="J984" s="147"/>
      <c r="K984" s="146"/>
      <c r="L984" s="146"/>
      <c r="M984" s="146"/>
      <c r="N984" s="146"/>
      <c r="O984" s="146"/>
      <c r="P984" s="146"/>
      <c r="Q984" s="30"/>
      <c r="R984" s="146"/>
      <c r="S984" s="147"/>
      <c r="T984" s="146"/>
      <c r="U984" s="146"/>
      <c r="V984" s="146"/>
      <c r="W984" s="146"/>
      <c r="X984" s="146"/>
      <c r="Y984" s="146"/>
      <c r="Z984" s="146"/>
      <c r="AA984" s="146"/>
      <c r="AB984" s="146"/>
      <c r="AC984" s="146"/>
      <c r="AD984" s="146"/>
      <c r="AE984" s="146"/>
      <c r="AF984" s="146"/>
      <c r="AG984" s="146"/>
      <c r="AH984" s="146"/>
      <c r="AI984" s="146"/>
    </row>
    <row r="985" spans="1:35" ht="13.5" customHeight="1" x14ac:dyDescent="0.25">
      <c r="A985" s="28"/>
      <c r="B985" s="28"/>
      <c r="C985" s="28"/>
      <c r="D985" s="28"/>
      <c r="E985" s="28"/>
      <c r="F985" s="28"/>
      <c r="G985" s="29"/>
      <c r="H985" s="28"/>
      <c r="I985" s="147"/>
      <c r="J985" s="147"/>
      <c r="K985" s="146"/>
      <c r="L985" s="146"/>
      <c r="M985" s="146"/>
      <c r="N985" s="146"/>
      <c r="O985" s="146"/>
      <c r="P985" s="146"/>
      <c r="Q985" s="30"/>
      <c r="R985" s="146"/>
      <c r="S985" s="147"/>
      <c r="T985" s="146"/>
      <c r="U985" s="146"/>
      <c r="V985" s="146"/>
      <c r="W985" s="146"/>
      <c r="X985" s="146"/>
      <c r="Y985" s="146"/>
      <c r="Z985" s="146"/>
      <c r="AA985" s="146"/>
      <c r="AB985" s="146"/>
      <c r="AC985" s="146"/>
      <c r="AD985" s="146"/>
      <c r="AE985" s="146"/>
      <c r="AF985" s="146"/>
      <c r="AG985" s="146"/>
      <c r="AH985" s="146"/>
      <c r="AI985" s="146"/>
    </row>
    <row r="986" spans="1:35" ht="13.5" customHeight="1" x14ac:dyDescent="0.25">
      <c r="A986" s="28"/>
      <c r="B986" s="28"/>
      <c r="C986" s="28"/>
      <c r="D986" s="28"/>
      <c r="E986" s="28"/>
      <c r="F986" s="28"/>
      <c r="G986" s="29"/>
      <c r="H986" s="28"/>
      <c r="I986" s="147"/>
      <c r="J986" s="147"/>
      <c r="K986" s="146"/>
      <c r="L986" s="146"/>
      <c r="M986" s="146"/>
      <c r="N986" s="146"/>
      <c r="O986" s="146"/>
      <c r="P986" s="146"/>
      <c r="Q986" s="30"/>
      <c r="R986" s="146"/>
      <c r="S986" s="147"/>
      <c r="T986" s="146"/>
      <c r="U986" s="146"/>
      <c r="V986" s="146"/>
      <c r="W986" s="146"/>
      <c r="X986" s="146"/>
      <c r="Y986" s="146"/>
      <c r="Z986" s="146"/>
      <c r="AA986" s="146"/>
      <c r="AB986" s="146"/>
      <c r="AC986" s="146"/>
      <c r="AD986" s="146"/>
      <c r="AE986" s="146"/>
      <c r="AF986" s="146"/>
      <c r="AG986" s="146"/>
      <c r="AH986" s="146"/>
      <c r="AI986" s="146"/>
    </row>
    <row r="987" spans="1:35" ht="13.5" customHeight="1" x14ac:dyDescent="0.25">
      <c r="A987" s="28"/>
      <c r="B987" s="28"/>
      <c r="C987" s="28"/>
      <c r="D987" s="28"/>
      <c r="E987" s="28"/>
      <c r="F987" s="28"/>
      <c r="G987" s="29"/>
      <c r="H987" s="28"/>
      <c r="I987" s="147"/>
      <c r="J987" s="147"/>
      <c r="K987" s="146"/>
      <c r="L987" s="146"/>
      <c r="M987" s="146"/>
      <c r="N987" s="146"/>
      <c r="O987" s="146"/>
      <c r="P987" s="146"/>
      <c r="Q987" s="30"/>
      <c r="R987" s="146"/>
      <c r="S987" s="147"/>
      <c r="T987" s="146"/>
      <c r="U987" s="146"/>
      <c r="V987" s="146"/>
      <c r="W987" s="146"/>
      <c r="X987" s="146"/>
      <c r="Y987" s="146"/>
      <c r="Z987" s="146"/>
      <c r="AA987" s="146"/>
      <c r="AB987" s="146"/>
      <c r="AC987" s="146"/>
      <c r="AD987" s="146"/>
      <c r="AE987" s="146"/>
      <c r="AF987" s="146"/>
      <c r="AG987" s="146"/>
      <c r="AH987" s="146"/>
      <c r="AI987" s="146"/>
    </row>
    <row r="988" spans="1:35" ht="13.5" customHeight="1" x14ac:dyDescent="0.25">
      <c r="A988" s="28"/>
      <c r="B988" s="28"/>
      <c r="C988" s="28"/>
      <c r="D988" s="28"/>
      <c r="E988" s="28"/>
      <c r="F988" s="28"/>
      <c r="G988" s="29"/>
      <c r="H988" s="28"/>
      <c r="I988" s="147"/>
      <c r="J988" s="147"/>
      <c r="K988" s="146"/>
      <c r="L988" s="146"/>
      <c r="M988" s="146"/>
      <c r="N988" s="146"/>
      <c r="O988" s="146"/>
      <c r="P988" s="146"/>
      <c r="Q988" s="30"/>
      <c r="R988" s="146"/>
      <c r="S988" s="147"/>
      <c r="T988" s="146"/>
      <c r="U988" s="146"/>
      <c r="V988" s="146"/>
      <c r="W988" s="146"/>
      <c r="X988" s="146"/>
      <c r="Y988" s="146"/>
      <c r="Z988" s="146"/>
      <c r="AA988" s="146"/>
      <c r="AB988" s="146"/>
      <c r="AC988" s="146"/>
      <c r="AD988" s="146"/>
      <c r="AE988" s="146"/>
      <c r="AF988" s="146"/>
      <c r="AG988" s="146"/>
      <c r="AH988" s="146"/>
      <c r="AI988" s="146"/>
    </row>
    <row r="989" spans="1:35" ht="13.5" customHeight="1" x14ac:dyDescent="0.25">
      <c r="A989" s="28"/>
      <c r="B989" s="28"/>
      <c r="C989" s="28"/>
      <c r="D989" s="28"/>
      <c r="E989" s="28"/>
      <c r="F989" s="28"/>
      <c r="G989" s="29"/>
      <c r="H989" s="28"/>
      <c r="I989" s="147"/>
      <c r="J989" s="147"/>
      <c r="K989" s="146"/>
      <c r="L989" s="146"/>
      <c r="M989" s="146"/>
      <c r="N989" s="146"/>
      <c r="O989" s="146"/>
      <c r="P989" s="146"/>
      <c r="Q989" s="30"/>
      <c r="R989" s="146"/>
      <c r="S989" s="147"/>
      <c r="T989" s="146"/>
      <c r="U989" s="146"/>
      <c r="V989" s="146"/>
      <c r="W989" s="146"/>
      <c r="X989" s="146"/>
      <c r="Y989" s="146"/>
      <c r="Z989" s="146"/>
      <c r="AA989" s="146"/>
      <c r="AB989" s="146"/>
      <c r="AC989" s="146"/>
      <c r="AD989" s="146"/>
      <c r="AE989" s="146"/>
      <c r="AF989" s="146"/>
      <c r="AG989" s="146"/>
      <c r="AH989" s="146"/>
      <c r="AI989" s="146"/>
    </row>
    <row r="990" spans="1:35" ht="13.5" customHeight="1" x14ac:dyDescent="0.25">
      <c r="A990" s="28"/>
      <c r="B990" s="28"/>
      <c r="C990" s="28"/>
      <c r="D990" s="28"/>
      <c r="E990" s="28"/>
      <c r="F990" s="28"/>
      <c r="G990" s="29"/>
      <c r="H990" s="28"/>
      <c r="I990" s="147"/>
      <c r="J990" s="147"/>
      <c r="K990" s="146"/>
      <c r="L990" s="146"/>
      <c r="M990" s="146"/>
      <c r="N990" s="146"/>
      <c r="O990" s="146"/>
      <c r="P990" s="146"/>
      <c r="Q990" s="30"/>
      <c r="R990" s="146"/>
      <c r="S990" s="147"/>
      <c r="T990" s="146"/>
      <c r="U990" s="146"/>
      <c r="V990" s="146"/>
      <c r="W990" s="146"/>
      <c r="X990" s="146"/>
      <c r="Y990" s="146"/>
      <c r="Z990" s="146"/>
      <c r="AA990" s="146"/>
      <c r="AB990" s="146"/>
      <c r="AC990" s="146"/>
      <c r="AD990" s="146"/>
      <c r="AE990" s="146"/>
      <c r="AF990" s="146"/>
      <c r="AG990" s="146"/>
      <c r="AH990" s="146"/>
      <c r="AI990" s="146"/>
    </row>
    <row r="991" spans="1:35" ht="13.5" customHeight="1" x14ac:dyDescent="0.25">
      <c r="A991" s="28"/>
      <c r="B991" s="28"/>
      <c r="C991" s="28"/>
      <c r="D991" s="28"/>
      <c r="E991" s="28"/>
      <c r="F991" s="28"/>
      <c r="G991" s="29"/>
      <c r="H991" s="28"/>
      <c r="I991" s="147"/>
      <c r="J991" s="147"/>
      <c r="K991" s="146"/>
      <c r="L991" s="146"/>
      <c r="M991" s="146"/>
      <c r="N991" s="146"/>
      <c r="O991" s="146"/>
      <c r="P991" s="146"/>
      <c r="Q991" s="30"/>
      <c r="R991" s="146"/>
      <c r="S991" s="147"/>
      <c r="T991" s="146"/>
      <c r="U991" s="146"/>
      <c r="V991" s="146"/>
      <c r="W991" s="146"/>
      <c r="X991" s="146"/>
      <c r="Y991" s="146"/>
      <c r="Z991" s="146"/>
      <c r="AA991" s="146"/>
      <c r="AB991" s="146"/>
      <c r="AC991" s="146"/>
      <c r="AD991" s="146"/>
      <c r="AE991" s="146"/>
      <c r="AF991" s="146"/>
      <c r="AG991" s="146"/>
      <c r="AH991" s="146"/>
      <c r="AI991" s="146"/>
    </row>
    <row r="992" spans="1:35" ht="13.5" customHeight="1" x14ac:dyDescent="0.25">
      <c r="A992" s="28"/>
      <c r="B992" s="28"/>
      <c r="C992" s="28"/>
      <c r="D992" s="28"/>
      <c r="E992" s="28"/>
      <c r="F992" s="28"/>
      <c r="G992" s="29"/>
      <c r="H992" s="28"/>
      <c r="I992" s="147"/>
      <c r="J992" s="147"/>
      <c r="K992" s="146"/>
      <c r="L992" s="146"/>
      <c r="M992" s="146"/>
      <c r="N992" s="146"/>
      <c r="O992" s="146"/>
      <c r="P992" s="146"/>
      <c r="Q992" s="30"/>
      <c r="R992" s="146"/>
      <c r="S992" s="147"/>
      <c r="T992" s="146"/>
      <c r="U992" s="146"/>
      <c r="V992" s="146"/>
      <c r="W992" s="146"/>
      <c r="X992" s="146"/>
      <c r="Y992" s="146"/>
      <c r="Z992" s="146"/>
      <c r="AA992" s="146"/>
      <c r="AB992" s="146"/>
      <c r="AC992" s="146"/>
      <c r="AD992" s="146"/>
      <c r="AE992" s="146"/>
      <c r="AF992" s="146"/>
      <c r="AG992" s="146"/>
      <c r="AH992" s="146"/>
      <c r="AI992" s="146"/>
    </row>
    <row r="993" spans="1:35" ht="13.5" customHeight="1" x14ac:dyDescent="0.25">
      <c r="A993" s="28"/>
      <c r="B993" s="28"/>
      <c r="C993" s="28"/>
      <c r="D993" s="28"/>
      <c r="E993" s="28"/>
      <c r="F993" s="28"/>
      <c r="G993" s="29"/>
      <c r="H993" s="28"/>
      <c r="I993" s="147"/>
      <c r="J993" s="147"/>
      <c r="K993" s="146"/>
      <c r="L993" s="146"/>
      <c r="M993" s="146"/>
      <c r="N993" s="146"/>
      <c r="O993" s="146"/>
      <c r="P993" s="146"/>
      <c r="Q993" s="30"/>
      <c r="R993" s="146"/>
      <c r="S993" s="147"/>
      <c r="T993" s="146"/>
      <c r="U993" s="146"/>
      <c r="V993" s="146"/>
      <c r="W993" s="146"/>
      <c r="X993" s="146"/>
      <c r="Y993" s="146"/>
      <c r="Z993" s="146"/>
      <c r="AA993" s="146"/>
      <c r="AB993" s="146"/>
      <c r="AC993" s="146"/>
      <c r="AD993" s="146"/>
      <c r="AE993" s="146"/>
      <c r="AF993" s="146"/>
      <c r="AG993" s="146"/>
      <c r="AH993" s="146"/>
      <c r="AI993" s="146"/>
    </row>
    <row r="994" spans="1:35" ht="13.5" customHeight="1" x14ac:dyDescent="0.25">
      <c r="A994" s="28"/>
      <c r="B994" s="28"/>
      <c r="C994" s="28"/>
      <c r="D994" s="28"/>
      <c r="E994" s="28"/>
      <c r="F994" s="28"/>
      <c r="G994" s="29"/>
      <c r="H994" s="28"/>
      <c r="I994" s="147"/>
      <c r="J994" s="147"/>
      <c r="K994" s="146"/>
      <c r="L994" s="146"/>
      <c r="M994" s="146"/>
      <c r="N994" s="146"/>
      <c r="O994" s="146"/>
      <c r="P994" s="146"/>
      <c r="Q994" s="30"/>
      <c r="R994" s="146"/>
      <c r="S994" s="147"/>
      <c r="T994" s="146"/>
      <c r="U994" s="146"/>
      <c r="V994" s="146"/>
      <c r="W994" s="146"/>
      <c r="X994" s="146"/>
      <c r="Y994" s="146"/>
      <c r="Z994" s="146"/>
      <c r="AA994" s="146"/>
      <c r="AB994" s="146"/>
      <c r="AC994" s="146"/>
      <c r="AD994" s="146"/>
      <c r="AE994" s="146"/>
      <c r="AF994" s="146"/>
      <c r="AG994" s="146"/>
      <c r="AH994" s="146"/>
      <c r="AI994" s="146"/>
    </row>
    <row r="995" spans="1:35" ht="13.5" customHeight="1" x14ac:dyDescent="0.25">
      <c r="A995" s="28"/>
      <c r="B995" s="28"/>
      <c r="C995" s="28"/>
      <c r="D995" s="28"/>
      <c r="E995" s="28"/>
      <c r="F995" s="28"/>
      <c r="G995" s="29"/>
      <c r="H995" s="28"/>
      <c r="I995" s="147"/>
      <c r="J995" s="147"/>
      <c r="K995" s="146"/>
      <c r="L995" s="146"/>
      <c r="M995" s="146"/>
      <c r="N995" s="146"/>
      <c r="O995" s="146"/>
      <c r="P995" s="146"/>
      <c r="Q995" s="30"/>
      <c r="R995" s="146"/>
      <c r="S995" s="147"/>
      <c r="T995" s="146"/>
      <c r="U995" s="146"/>
      <c r="V995" s="146"/>
      <c r="W995" s="146"/>
      <c r="X995" s="146"/>
      <c r="Y995" s="146"/>
      <c r="Z995" s="146"/>
      <c r="AA995" s="146"/>
      <c r="AB995" s="146"/>
      <c r="AC995" s="146"/>
      <c r="AD995" s="146"/>
      <c r="AE995" s="146"/>
      <c r="AF995" s="146"/>
      <c r="AG995" s="146"/>
      <c r="AH995" s="146"/>
      <c r="AI995" s="146"/>
    </row>
    <row r="996" spans="1:35" ht="13.5" customHeight="1" x14ac:dyDescent="0.25">
      <c r="A996" s="28"/>
      <c r="B996" s="28"/>
      <c r="C996" s="28"/>
      <c r="D996" s="28"/>
      <c r="E996" s="28"/>
      <c r="F996" s="28"/>
      <c r="G996" s="29"/>
      <c r="H996" s="28"/>
      <c r="I996" s="147"/>
      <c r="J996" s="147"/>
      <c r="K996" s="146"/>
      <c r="L996" s="146"/>
      <c r="M996" s="146"/>
      <c r="N996" s="146"/>
      <c r="O996" s="146"/>
      <c r="P996" s="146"/>
      <c r="Q996" s="30"/>
      <c r="R996" s="146"/>
      <c r="S996" s="147"/>
      <c r="T996" s="146"/>
      <c r="U996" s="146"/>
      <c r="V996" s="146"/>
      <c r="W996" s="146"/>
      <c r="X996" s="146"/>
      <c r="Y996" s="146"/>
      <c r="Z996" s="146"/>
      <c r="AA996" s="146"/>
      <c r="AB996" s="146"/>
      <c r="AC996" s="146"/>
      <c r="AD996" s="146"/>
      <c r="AE996" s="146"/>
      <c r="AF996" s="146"/>
      <c r="AG996" s="146"/>
      <c r="AH996" s="146"/>
      <c r="AI996" s="146"/>
    </row>
    <row r="997" spans="1:35" ht="13.5" customHeight="1" x14ac:dyDescent="0.25">
      <c r="A997" s="28"/>
      <c r="B997" s="28"/>
      <c r="C997" s="28"/>
      <c r="D997" s="28"/>
      <c r="E997" s="28"/>
      <c r="F997" s="28"/>
      <c r="G997" s="29"/>
      <c r="H997" s="28"/>
      <c r="I997" s="147"/>
      <c r="J997" s="147"/>
      <c r="K997" s="146"/>
      <c r="L997" s="146"/>
      <c r="M997" s="146"/>
      <c r="N997" s="146"/>
      <c r="O997" s="146"/>
      <c r="P997" s="146"/>
      <c r="Q997" s="30"/>
      <c r="R997" s="146"/>
      <c r="S997" s="147"/>
      <c r="T997" s="146"/>
      <c r="U997" s="146"/>
      <c r="V997" s="146"/>
      <c r="W997" s="146"/>
      <c r="X997" s="146"/>
      <c r="Y997" s="146"/>
      <c r="Z997" s="146"/>
      <c r="AA997" s="146"/>
      <c r="AB997" s="146"/>
      <c r="AC997" s="146"/>
      <c r="AD997" s="146"/>
      <c r="AE997" s="146"/>
      <c r="AF997" s="146"/>
      <c r="AG997" s="146"/>
      <c r="AH997" s="146"/>
      <c r="AI997" s="146"/>
    </row>
    <row r="998" spans="1:35" ht="13.5" customHeight="1" x14ac:dyDescent="0.25">
      <c r="A998" s="28"/>
      <c r="B998" s="28"/>
      <c r="C998" s="28"/>
      <c r="D998" s="28"/>
      <c r="E998" s="28"/>
      <c r="F998" s="28"/>
      <c r="G998" s="29"/>
      <c r="H998" s="28"/>
      <c r="I998" s="147"/>
      <c r="J998" s="147"/>
      <c r="K998" s="146"/>
      <c r="L998" s="146"/>
      <c r="M998" s="146"/>
      <c r="N998" s="146"/>
      <c r="O998" s="146"/>
      <c r="P998" s="146"/>
      <c r="Q998" s="30"/>
      <c r="R998" s="146"/>
      <c r="S998" s="147"/>
      <c r="T998" s="146"/>
      <c r="U998" s="146"/>
      <c r="V998" s="146"/>
      <c r="W998" s="146"/>
      <c r="X998" s="146"/>
      <c r="Y998" s="146"/>
      <c r="Z998" s="146"/>
      <c r="AA998" s="146"/>
      <c r="AB998" s="146"/>
      <c r="AC998" s="146"/>
      <c r="AD998" s="146"/>
      <c r="AE998" s="146"/>
      <c r="AF998" s="146"/>
      <c r="AG998" s="146"/>
      <c r="AH998" s="146"/>
      <c r="AI998" s="146"/>
    </row>
    <row r="999" spans="1:35" ht="13.5" customHeight="1" x14ac:dyDescent="0.25">
      <c r="A999" s="28"/>
      <c r="B999" s="28"/>
      <c r="C999" s="28"/>
      <c r="D999" s="28"/>
      <c r="E999" s="28"/>
      <c r="F999" s="28"/>
      <c r="G999" s="29"/>
      <c r="H999" s="28"/>
      <c r="I999" s="147"/>
      <c r="J999" s="147"/>
      <c r="K999" s="146"/>
      <c r="L999" s="146"/>
      <c r="M999" s="146"/>
      <c r="N999" s="146"/>
      <c r="O999" s="146"/>
      <c r="P999" s="146"/>
      <c r="Q999" s="30"/>
      <c r="R999" s="146"/>
      <c r="S999" s="147"/>
      <c r="T999" s="146"/>
      <c r="U999" s="146"/>
      <c r="V999" s="146"/>
      <c r="W999" s="146"/>
      <c r="X999" s="146"/>
      <c r="Y999" s="146"/>
      <c r="Z999" s="146"/>
      <c r="AA999" s="146"/>
      <c r="AB999" s="146"/>
      <c r="AC999" s="146"/>
      <c r="AD999" s="146"/>
      <c r="AE999" s="146"/>
      <c r="AF999" s="146"/>
      <c r="AG999" s="146"/>
      <c r="AH999" s="146"/>
      <c r="AI999" s="146"/>
    </row>
    <row r="1000" spans="1:35" ht="13.5" customHeight="1" x14ac:dyDescent="0.25">
      <c r="A1000" s="28"/>
      <c r="B1000" s="28"/>
      <c r="C1000" s="28"/>
      <c r="D1000" s="28"/>
      <c r="E1000" s="28"/>
      <c r="F1000" s="28"/>
      <c r="G1000" s="29"/>
      <c r="H1000" s="28"/>
      <c r="I1000" s="147"/>
      <c r="J1000" s="147"/>
      <c r="K1000" s="146"/>
      <c r="L1000" s="146"/>
      <c r="M1000" s="146"/>
      <c r="N1000" s="146"/>
      <c r="O1000" s="146"/>
      <c r="P1000" s="146"/>
      <c r="Q1000" s="30"/>
      <c r="R1000" s="146"/>
      <c r="S1000" s="147"/>
      <c r="T1000" s="146"/>
      <c r="U1000" s="146"/>
      <c r="V1000" s="146"/>
      <c r="W1000" s="146"/>
      <c r="X1000" s="146"/>
      <c r="Y1000" s="146"/>
      <c r="Z1000" s="146"/>
      <c r="AA1000" s="146"/>
      <c r="AB1000" s="146"/>
      <c r="AC1000" s="146"/>
      <c r="AD1000" s="146"/>
      <c r="AE1000" s="146"/>
      <c r="AF1000" s="146"/>
      <c r="AG1000" s="146"/>
      <c r="AH1000" s="146"/>
      <c r="AI1000" s="146"/>
    </row>
    <row r="1001" spans="1:35" ht="13.5" customHeight="1" x14ac:dyDescent="0.25">
      <c r="A1001" s="28"/>
      <c r="B1001" s="28"/>
      <c r="C1001" s="28"/>
      <c r="D1001" s="28"/>
      <c r="E1001" s="28"/>
      <c r="F1001" s="28"/>
      <c r="G1001" s="29"/>
      <c r="H1001" s="28"/>
      <c r="I1001" s="147"/>
      <c r="J1001" s="147"/>
      <c r="K1001" s="146"/>
      <c r="L1001" s="146"/>
      <c r="M1001" s="146"/>
      <c r="N1001" s="146"/>
      <c r="O1001" s="146"/>
      <c r="P1001" s="146"/>
      <c r="Q1001" s="30"/>
      <c r="R1001" s="146"/>
      <c r="S1001" s="147"/>
      <c r="T1001" s="146"/>
      <c r="U1001" s="146"/>
      <c r="V1001" s="146"/>
      <c r="W1001" s="146"/>
      <c r="X1001" s="146"/>
      <c r="Y1001" s="146"/>
      <c r="Z1001" s="146"/>
      <c r="AA1001" s="146"/>
      <c r="AB1001" s="146"/>
      <c r="AC1001" s="146"/>
      <c r="AD1001" s="146"/>
      <c r="AE1001" s="146"/>
      <c r="AF1001" s="146"/>
      <c r="AG1001" s="146"/>
      <c r="AH1001" s="146"/>
      <c r="AI1001" s="146"/>
    </row>
  </sheetData>
  <mergeCells count="33">
    <mergeCell ref="J7:J8"/>
    <mergeCell ref="C86:D86"/>
    <mergeCell ref="B106:H106"/>
    <mergeCell ref="B46:C48"/>
    <mergeCell ref="F7:F8"/>
    <mergeCell ref="C218:D218"/>
    <mergeCell ref="C190:D190"/>
    <mergeCell ref="C164:D164"/>
    <mergeCell ref="C144:D144"/>
    <mergeCell ref="C107:D107"/>
    <mergeCell ref="C189:F189"/>
    <mergeCell ref="C217:F217"/>
    <mergeCell ref="B118:H118"/>
    <mergeCell ref="B143:F143"/>
    <mergeCell ref="B137:H137"/>
    <mergeCell ref="B163:F163"/>
    <mergeCell ref="C119:D119"/>
    <mergeCell ref="E2:P5"/>
    <mergeCell ref="E7:E8"/>
    <mergeCell ref="P7:P8"/>
    <mergeCell ref="B85:H85"/>
    <mergeCell ref="Q71:X71"/>
    <mergeCell ref="B37:C37"/>
    <mergeCell ref="B24:B25"/>
    <mergeCell ref="B23:C23"/>
    <mergeCell ref="C74:D74"/>
    <mergeCell ref="B71:H71"/>
    <mergeCell ref="E6:K6"/>
    <mergeCell ref="M6:P6"/>
    <mergeCell ref="K7:K8"/>
    <mergeCell ref="I7:I8"/>
    <mergeCell ref="H7:H8"/>
    <mergeCell ref="G7:G8"/>
  </mergeCells>
  <conditionalFormatting sqref="C25">
    <cfRule type="expression" dxfId="0" priority="4">
      <formula>$C$24="Zebuíno"</formula>
    </cfRule>
  </conditionalFormatting>
  <conditionalFormatting sqref="K9:K55">
    <cfRule type="iconSet" priority="2">
      <iconSet iconSet="3Arrows">
        <cfvo type="percent" val="0"/>
        <cfvo type="num" val="-0.05"/>
        <cfvo type="num" val="0.1" gte="0"/>
      </iconSet>
    </cfRule>
  </conditionalFormatting>
  <conditionalFormatting sqref="N9:N40 N43 N46 N49:N55">
    <cfRule type="iconSet" priority="1">
      <iconSet iconSet="3Arrows">
        <cfvo type="percent" val="0"/>
        <cfvo type="num" val="0"/>
        <cfvo type="num" val="0" gte="0"/>
      </iconSet>
    </cfRule>
  </conditionalFormatting>
  <dataValidations count="5">
    <dataValidation type="list" allowBlank="1" showInputMessage="1" showErrorMessage="1" sqref="C32" xr:uid="{00000000-0002-0000-0000-000004000000}">
      <formula1>$B$57:$B$60</formula1>
    </dataValidation>
    <dataValidation type="list" allowBlank="1" showErrorMessage="1" sqref="C26" xr:uid="{00000000-0002-0000-0000-000003000000}">
      <formula1>$B$140:$D$140</formula1>
    </dataValidation>
    <dataValidation type="list" allowBlank="1" showErrorMessage="1" sqref="C27" xr:uid="{00000000-0002-0000-0000-000002000000}">
      <formula1>$B$141:$C$141</formula1>
    </dataValidation>
    <dataValidation type="list" allowBlank="1" showErrorMessage="1" sqref="C24" xr:uid="{00000000-0002-0000-0000-000001000000}">
      <formula1>$B$139:$C$139</formula1>
    </dataValidation>
    <dataValidation type="list" allowBlank="1" showInputMessage="1" showErrorMessage="1" prompt="APENAS PARA ANIMAIS CRUZADOS." sqref="C25" xr:uid="{00000000-0002-0000-0000-000000000000}">
      <formula1>$B$73:$C$73</formula1>
    </dataValidation>
  </dataValidations>
  <pageMargins left="0.7" right="0.7" top="0.75" bottom="0.75" header="0.3" footer="0.3"/>
  <pageSetup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7ACA5B7509409CE718B156520624" ma:contentTypeVersion="16" ma:contentTypeDescription="Crie um novo documento." ma:contentTypeScope="" ma:versionID="24576c1439ed771818b39e1a526c5243">
  <xsd:schema xmlns:xsd="http://www.w3.org/2001/XMLSchema" xmlns:xs="http://www.w3.org/2001/XMLSchema" xmlns:p="http://schemas.microsoft.com/office/2006/metadata/properties" xmlns:ns3="a3fc4dec-0e06-409d-8823-cbc83bd059b3" xmlns:ns4="77c4272d-f755-48bd-a228-e7e35c9e2c14" targetNamespace="http://schemas.microsoft.com/office/2006/metadata/properties" ma:root="true" ma:fieldsID="de47c4a29aa5f666d7e59e3b78ae0300" ns3:_="" ns4:_="">
    <xsd:import namespace="a3fc4dec-0e06-409d-8823-cbc83bd059b3"/>
    <xsd:import namespace="77c4272d-f755-48bd-a228-e7e35c9e2c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c4dec-0e06-409d-8823-cbc83bd05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4272d-f755-48bd-a228-e7e35c9e2c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3fc4dec-0e06-409d-8823-cbc83bd059b3" xsi:nil="true"/>
  </documentManagement>
</p:properties>
</file>

<file path=customXml/itemProps1.xml><?xml version="1.0" encoding="utf-8"?>
<ds:datastoreItem xmlns:ds="http://schemas.openxmlformats.org/officeDocument/2006/customXml" ds:itemID="{0B93DCB2-EED4-43AF-ABFA-ABAAA48A7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fc4dec-0e06-409d-8823-cbc83bd059b3"/>
    <ds:schemaRef ds:uri="77c4272d-f755-48bd-a228-e7e35c9e2c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576611-9B3D-4CB9-9E18-D9D5E06BBE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B754EE-B993-4855-9462-C4A9AB08794C}">
  <ds:schemaRefs>
    <ds:schemaRef ds:uri="http://purl.org/dc/terms/"/>
    <ds:schemaRef ds:uri="a3fc4dec-0e06-409d-8823-cbc83bd059b3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7c4272d-f755-48bd-a228-e7e35c9e2c1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PBmic1</vt:lpstr>
      <vt:lpstr>PBmic Cresc e Term</vt:lpstr>
      <vt:lpstr>PBmic Vacas</vt:lpstr>
      <vt:lpstr>PBmic Bezerros</vt:lpstr>
      <vt:lpstr>Crescimento</vt:lpstr>
      <vt:lpstr>Vacas e Bezerros</vt:lpstr>
      <vt:lpstr>Cálculo de exigências</vt:lpstr>
      <vt:lpstr>'Cálculo de exigências'!Area_de_impressao</vt:lpstr>
      <vt:lpstr>'Cálculo de exigências'!Corte</vt:lpstr>
      <vt:lpstr>'Cálculo de exigências'!Leite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DEL BIANCO BENEDETI</dc:creator>
  <cp:lastModifiedBy>PEDRO DEL BIANCO BENEDETI</cp:lastModifiedBy>
  <cp:lastPrinted>2023-08-09T18:10:00Z</cp:lastPrinted>
  <dcterms:created xsi:type="dcterms:W3CDTF">2016-10-19T11:50:39Z</dcterms:created>
  <dcterms:modified xsi:type="dcterms:W3CDTF">2023-08-10T11:28:15Z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0x010100B8387ACA5B7509409CE718B156520624</vt:lpwstr>
  </property>
</Properties>
</file>